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1_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<sst xmlns="http://schemas.openxmlformats.org/spreadsheetml/2006/main" count="248" uniqueCount="69">
  <si>
    <t xml:space="preserve">Manual Inputs</t>
  </si>
  <si>
    <t xml:space="preserve">Standard</t>
  </si>
  <si>
    <t xml:space="preserve">Alex</t>
  </si>
  <si>
    <t xml:space="preserve">52W</t>
  </si>
  <si>
    <t xml:space="preserve">Hours per day</t>
  </si>
  <si>
    <t xml:space="preserve">hours</t>
  </si>
  <si>
    <t xml:space="preserve">Hours per week</t>
  </si>
  <si>
    <t xml:space="preserve">Days per week</t>
  </si>
  <si>
    <t xml:space="preserve">days</t>
  </si>
  <si>
    <t xml:space="preserve">Weeks per year</t>
  </si>
  <si>
    <t xml:space="preserve">weeks</t>
  </si>
  <si>
    <t xml:space="preserve">Annual Leave Not Billed</t>
  </si>
  <si>
    <t xml:space="preserve">Model</t>
  </si>
  <si>
    <t xml:space="preserve">Standard Model</t>
  </si>
  <si>
    <t xml:space="preserve">ALEX Model</t>
  </si>
  <si>
    <t xml:space="preserve">52 Week Model</t>
  </si>
  <si>
    <t xml:space="preserve">Annual Leave Weeks To Take</t>
  </si>
  <si>
    <t xml:space="preserve">Weeks</t>
  </si>
  <si>
    <t xml:space="preserve">Pay Rate</t>
  </si>
  <si>
    <t xml:space="preserve">Leave Loading</t>
  </si>
  <si>
    <t xml:space="preserve">Annual Leave</t>
  </si>
  <si>
    <t xml:space="preserve">AL wage</t>
  </si>
  <si>
    <t xml:space="preserve">Annual Leave Adjustment</t>
  </si>
  <si>
    <t xml:space="preserve">Al total wage</t>
  </si>
  <si>
    <t xml:space="preserve">Public Holidays</t>
  </si>
  <si>
    <t xml:space="preserve">Sick Leave</t>
  </si>
  <si>
    <t xml:space="preserve">Off the job training</t>
  </si>
  <si>
    <t xml:space="preserve">Off the Job Training</t>
  </si>
  <si>
    <t xml:space="preserve">Total Weeks Availablefor billing</t>
  </si>
  <si>
    <t xml:space="preserve">Study Costs</t>
  </si>
  <si>
    <t xml:space="preserve">year</t>
  </si>
  <si>
    <t xml:space="preserve">Protective Clothing Costs</t>
  </si>
  <si>
    <t xml:space="preserve">Protective Clothing</t>
  </si>
  <si>
    <t xml:space="preserve">Superannuation</t>
  </si>
  <si>
    <t xml:space="preserve">Unbilled Weeks</t>
  </si>
  <si>
    <t xml:space="preserve">Workers Compensation</t>
  </si>
  <si>
    <t xml:space="preserve">Total Cost</t>
  </si>
  <si>
    <t xml:space="preserve">Mark Up %</t>
  </si>
  <si>
    <t xml:space="preserve">Charge Rate</t>
  </si>
  <si>
    <t xml:space="preserve">Annual Total Charge</t>
  </si>
  <si>
    <t xml:space="preserve">Oncosts subtotal</t>
  </si>
  <si>
    <t xml:space="preserve">Total Billable Days Available</t>
  </si>
  <si>
    <t xml:space="preserve">Total Billable Hours Available</t>
  </si>
  <si>
    <t xml:space="preserve">Total Oncost</t>
  </si>
  <si>
    <t xml:space="preserve">On Cost</t>
  </si>
  <si>
    <t xml:space="preserve">Leave Loading total</t>
  </si>
  <si>
    <t xml:space="preserve">BCPA</t>
  </si>
  <si>
    <t xml:space="preserve">Leave Loading Per Billed Hour</t>
  </si>
  <si>
    <t xml:space="preserve">Margin%</t>
  </si>
  <si>
    <t xml:space="preserve">AL Pay</t>
  </si>
  <si>
    <t xml:space="preserve">Margin$</t>
  </si>
  <si>
    <t xml:space="preserve">Super Worked days</t>
  </si>
  <si>
    <t xml:space="preserve">AL Super</t>
  </si>
  <si>
    <t xml:space="preserve">Charge</t>
  </si>
  <si>
    <t xml:space="preserve">Super TAFE Days</t>
  </si>
  <si>
    <t xml:space="preserve">Total Weeks Available</t>
  </si>
  <si>
    <t xml:space="preserve">Normal Pay Hours</t>
  </si>
  <si>
    <t xml:space="preserve">OT Wage</t>
  </si>
  <si>
    <t xml:space="preserve">Super PH not Worked</t>
  </si>
  <si>
    <t xml:space="preserve">Annual Leave Hours</t>
  </si>
  <si>
    <t xml:space="preserve">Super Sick Leave</t>
  </si>
  <si>
    <t xml:space="preserve">Super Leave Loading</t>
  </si>
  <si>
    <t xml:space="preserve">Super Ordinary AL</t>
  </si>
  <si>
    <t xml:space="preserve">Total Unworked Super</t>
  </si>
  <si>
    <t xml:space="preserve">Wage</t>
  </si>
  <si>
    <t xml:space="preserve">OT Oncost</t>
  </si>
  <si>
    <t xml:space="preserve">Billed Super</t>
  </si>
  <si>
    <t xml:space="preserve">OT Margin</t>
  </si>
  <si>
    <t xml:space="preserve">OT Charge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</si>
</sst>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"/>
    <numFmt numFmtId="166" formatCode="_-\$* #,##0.00_-;&quot;-$&quot;* #,##0.00_-;_-\$* \-??_-;_-@_-"/>
    <numFmt numFmtId="167" formatCode="0.00%"/>
    <numFmt numFmtId="168" formatCode="0.0000"/>
    <numFmt numFmtId="169" formatCode="\$#,##0;[RED]&quot;-$&quot;#,##0"/>
    <numFmt numFmtId="170" formatCode="\$#,##0.000;[RED]&quot;-$&quot;#,##0.000"/>
    <numFmt numFmtId="171" formatCode="\$#,##0.0000;[RED]&quot;-$&quot;#,##0.0000"/>
    <numFmt numFmtId="172" formatCode="0.00"/>
    <numFmt numFmtId="173" formatCode="[$$-C09]#,##0.00;[RED]\-[$$-C09]#,##0.00"/>
    <numFmt numFmtId="174" formatCode="0%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V32" activeCellId="0" sqref="V32"/>
    </sheetView>
  </sheetViews>
  <sheetFormatPr defaultColWidth="9.14453125" defaultRowHeight="15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9.37"/>
    <col collapsed="false" customWidth="true" hidden="false" outlineLevel="0" max="4" min="4" style="1" width="19.77"/>
    <col collapsed="false" customWidth="false" hidden="false" outlineLevel="0" max="8" min="5" style="1" width="9.14"/>
    <col collapsed="false" customWidth="true" hidden="false" outlineLevel="0" max="9" min="9" style="1" width="16.01"/>
    <col collapsed="false" customWidth="true" hidden="false" outlineLevel="0" max="10" min="10" style="1" width="14.55"/>
    <col collapsed="false" customWidth="false" hidden="false" outlineLevel="0" max="15" min="11" style="1" width="9.14"/>
    <col collapsed="false" customWidth="true" hidden="false" outlineLevel="0" max="16" min="16" style="1" width="30.4"/>
    <col collapsed="false" customWidth="true" hidden="false" outlineLevel="0" max="17" min="17" style="1" width="8.48"/>
    <col collapsed="false" customWidth="true" hidden="false" outlineLevel="0" max="18" min="18" style="1" width="16.01"/>
    <col collapsed="false" customWidth="true" hidden="false" outlineLevel="0" max="20" min="19" style="1" width="14.13"/>
    <col collapsed="false" customWidth="false" hidden="false" outlineLevel="0" max="21" min="21" style="1" width="9.14"/>
    <col collapsed="false" customWidth="true" hidden="false" outlineLevel="0" max="24" min="22" style="1" width="14.39"/>
    <col collapsed="false" customWidth="false" hidden="false" outlineLevel="0" max="16384" min="25" style="1" width="9.14"/>
  </cols>
  <sheetData>
    <row r="1" customFormat="false" ht="15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.75" hidden="false" customHeight="true" outlineLevel="0" collapsed="false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customFormat="false" ht="15.75" hidden="false" customHeight="true" outlineLevel="0" collapsed="false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 t="s">
        <v>0</v>
      </c>
    </row>
    <row r="4" customFormat="false" ht="15.75" hidden="false" customHeight="true" outlineLevel="0" collapsed="false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R4" s="1" t="s">
        <v>1</v>
      </c>
      <c r="S4" s="1" t="s">
        <v>2</v>
      </c>
      <c r="T4" s="1" t="s">
        <v>3</v>
      </c>
      <c r="V4" s="1" t="s">
        <v>1</v>
      </c>
      <c r="W4" s="1" t="s">
        <v>2</v>
      </c>
      <c r="X4" s="1" t="s">
        <v>3</v>
      </c>
    </row>
    <row r="5" customFormat="false" ht="15.75" hidden="false" customHeight="true" outlineLevel="0" collapsed="false">
      <c r="P5" s="1" t="s">
        <v>4</v>
      </c>
      <c r="Q5" s="1" t="s">
        <v>5</v>
      </c>
      <c r="R5" s="6" t="n">
        <v>7.6</v>
      </c>
      <c r="S5" s="6" t="n">
        <v>7.6</v>
      </c>
      <c r="T5" s="6" t="n">
        <v>7.6</v>
      </c>
      <c r="V5" s="7" t="n">
        <f aca="false">R5*H11</f>
        <v>224.2</v>
      </c>
      <c r="W5" s="1" t="n">
        <f aca="false">S5*I11</f>
        <v>224.2</v>
      </c>
      <c r="X5" s="1" t="n">
        <f aca="false">T5*J11</f>
        <v>224.2</v>
      </c>
    </row>
    <row r="6" customFormat="false" ht="15.75" hidden="false" customHeight="true" outlineLevel="0" collapsed="false">
      <c r="P6" s="1" t="s">
        <v>6</v>
      </c>
      <c r="Q6" s="1" t="s">
        <v>5</v>
      </c>
      <c r="R6" s="6" t="n">
        <v>38</v>
      </c>
      <c r="S6" s="6" t="n">
        <v>38</v>
      </c>
      <c r="T6" s="6" t="n">
        <v>38</v>
      </c>
      <c r="V6" s="7" t="n">
        <f aca="false">H11*R6</f>
        <v>1121</v>
      </c>
      <c r="W6" s="1" t="n">
        <f aca="false">I11*S6</f>
        <v>1121</v>
      </c>
      <c r="X6" s="1" t="n">
        <f aca="false">J11*T6</f>
        <v>1121</v>
      </c>
    </row>
    <row r="7" customFormat="false" ht="15.75" hidden="false" customHeight="true" outlineLevel="0" collapsed="false">
      <c r="P7" s="1" t="s">
        <v>7</v>
      </c>
      <c r="Q7" s="1" t="s">
        <v>8</v>
      </c>
      <c r="R7" s="6" t="n">
        <v>5</v>
      </c>
      <c r="S7" s="6" t="n">
        <v>5</v>
      </c>
      <c r="T7" s="6" t="n">
        <v>5</v>
      </c>
      <c r="V7" s="7" t="n">
        <f aca="false">V5*R7</f>
        <v>1121</v>
      </c>
      <c r="W7" s="1" t="n">
        <f aca="false">W5*S7</f>
        <v>1121</v>
      </c>
      <c r="X7" s="1" t="n">
        <f aca="false">X5*T7</f>
        <v>1121</v>
      </c>
    </row>
    <row r="8" customFormat="false" ht="15.75" hidden="false" customHeight="true" outlineLevel="0" collapsed="false">
      <c r="P8" s="1" t="s">
        <v>9</v>
      </c>
      <c r="Q8" s="1" t="s">
        <v>10</v>
      </c>
      <c r="R8" s="6" t="n">
        <v>52</v>
      </c>
      <c r="S8" s="6" t="n">
        <v>52</v>
      </c>
      <c r="T8" s="6" t="n">
        <v>52</v>
      </c>
      <c r="V8" s="7"/>
    </row>
    <row r="9" customFormat="false" ht="15.75" hidden="false" customHeight="true" outlineLevel="0" collapsed="false">
      <c r="P9" s="1" t="s">
        <v>11</v>
      </c>
      <c r="Q9" s="1" t="s">
        <v>8</v>
      </c>
      <c r="R9" s="6" t="n">
        <v>20</v>
      </c>
      <c r="S9" s="6" t="n">
        <v>20</v>
      </c>
      <c r="T9" s="6" t="n">
        <v>0</v>
      </c>
    </row>
    <row r="10" customFormat="false" ht="15.75" hidden="false" customHeight="true" outlineLevel="0" collapsed="false">
      <c r="C10" s="2" t="s">
        <v>12</v>
      </c>
      <c r="D10" s="3" t="s">
        <v>13</v>
      </c>
      <c r="E10" s="3" t="s">
        <v>14</v>
      </c>
      <c r="F10" s="3" t="s">
        <v>15</v>
      </c>
      <c r="H10" s="3" t="s">
        <v>13</v>
      </c>
      <c r="I10" s="3" t="s">
        <v>14</v>
      </c>
      <c r="J10" s="3" t="s">
        <v>15</v>
      </c>
      <c r="P10" s="3" t="s">
        <v>16</v>
      </c>
      <c r="Q10" s="3" t="s">
        <v>17</v>
      </c>
      <c r="R10" s="6" t="n">
        <v>4</v>
      </c>
      <c r="S10" s="6" t="n">
        <v>4</v>
      </c>
      <c r="T10" s="6" t="n">
        <v>4</v>
      </c>
    </row>
    <row r="11" customFormat="false" ht="15.75" hidden="false" customHeight="true" outlineLevel="0" collapsed="false">
      <c r="C11" s="2" t="s">
        <v>18</v>
      </c>
      <c r="D11" s="8" t="n">
        <v>29.5</v>
      </c>
      <c r="E11" s="4" t="n">
        <f aca="false">D11</f>
        <v>29.5</v>
      </c>
      <c r="F11" s="4" t="n">
        <f aca="false">E11</f>
        <v>29.5</v>
      </c>
      <c r="G11" s="4" t="n">
        <f aca="false">F11</f>
        <v>29.5</v>
      </c>
      <c r="H11" s="4" t="n">
        <f aca="false">D11</f>
        <v>29.5</v>
      </c>
      <c r="I11" s="4" t="n">
        <f aca="false">H11</f>
        <v>29.5</v>
      </c>
      <c r="J11" s="4" t="n">
        <f aca="false">I11</f>
        <v>29.5</v>
      </c>
      <c r="K11" s="4"/>
      <c r="L11" s="3" t="s">
        <v>13</v>
      </c>
      <c r="M11" s="3" t="s">
        <v>14</v>
      </c>
      <c r="N11" s="3" t="s">
        <v>15</v>
      </c>
      <c r="P11" s="1" t="s">
        <v>19</v>
      </c>
      <c r="R11" s="9" t="n">
        <v>0.175</v>
      </c>
      <c r="S11" s="9" t="n">
        <v>0.175</v>
      </c>
      <c r="T11" s="9" t="n">
        <v>0.175</v>
      </c>
    </row>
    <row r="12" customFormat="false" ht="15.75" hidden="false" customHeight="true" outlineLevel="0" collapsed="false">
      <c r="C12" s="2" t="s">
        <v>20</v>
      </c>
      <c r="D12" s="4" t="n">
        <v>1.6646</v>
      </c>
      <c r="E12" s="4" t="n">
        <v>1.7056</v>
      </c>
      <c r="F12" s="4" t="n">
        <v>0</v>
      </c>
      <c r="H12" s="1" t="n">
        <f aca="false">(H$11*R$5*R$9)/R$17/R$6</f>
        <v>3.02564102564103</v>
      </c>
      <c r="I12" s="1" t="n">
        <f aca="false">(I$11*S$5*S$9)/S$17/S$6</f>
        <v>2.45833333333333</v>
      </c>
      <c r="J12" s="1" t="n">
        <f aca="false">(J$11*T$5*T$9)/T$17/T$6</f>
        <v>0</v>
      </c>
      <c r="P12" s="1" t="s">
        <v>21</v>
      </c>
      <c r="Q12" s="1" t="s">
        <v>5</v>
      </c>
      <c r="R12" s="7" t="n">
        <f aca="false">(H11*R11)+H11</f>
        <v>34.6625</v>
      </c>
      <c r="S12" s="7" t="n">
        <f aca="false">(I11*S11)+I11</f>
        <v>34.6625</v>
      </c>
      <c r="T12" s="7" t="n">
        <f aca="false">(J11*T11)+J11</f>
        <v>34.6625</v>
      </c>
      <c r="V12" s="7" t="n">
        <f aca="false">R12*R5*R9</f>
        <v>5268.7</v>
      </c>
      <c r="W12" s="10" t="n">
        <f aca="false">S12*S5*S9</f>
        <v>5268.7</v>
      </c>
      <c r="X12" s="10" t="n">
        <f aca="false">W12-(X6*T10)</f>
        <v>784.7</v>
      </c>
    </row>
    <row r="13" customFormat="false" ht="15.75" hidden="false" customHeight="true" outlineLevel="0" collapsed="false">
      <c r="C13" s="2" t="s">
        <v>22</v>
      </c>
      <c r="D13" s="4" t="n">
        <v>0.279</v>
      </c>
      <c r="E13" s="4" t="n">
        <v>0.2986</v>
      </c>
      <c r="F13" s="4" t="n">
        <v>0</v>
      </c>
      <c r="H13" s="11" t="n">
        <f aca="false">H12*R11</f>
        <v>0.529487179487179</v>
      </c>
      <c r="I13" s="11" t="n">
        <f aca="false">I12*S11</f>
        <v>0.430208333333333</v>
      </c>
      <c r="J13" s="11" t="n">
        <f aca="false">J12*T11</f>
        <v>0</v>
      </c>
      <c r="P13" s="1" t="s">
        <v>23</v>
      </c>
      <c r="Q13" s="1" t="s">
        <v>17</v>
      </c>
      <c r="R13" s="12"/>
      <c r="S13" s="12"/>
      <c r="T13" s="12"/>
    </row>
    <row r="14" customFormat="false" ht="15.75" hidden="false" customHeight="true" outlineLevel="0" collapsed="false">
      <c r="C14" s="2" t="s">
        <v>19</v>
      </c>
      <c r="D14" s="4" t="n">
        <v>0.3401</v>
      </c>
      <c r="E14" s="4" t="n">
        <v>0.2986</v>
      </c>
      <c r="F14" s="4" t="n">
        <v>0</v>
      </c>
      <c r="H14" s="11" t="n">
        <f aca="false">(H13*(1+R24))</f>
        <v>0.615264102564102</v>
      </c>
      <c r="I14" s="11" t="n">
        <f aca="false">(I13*(1+S24))</f>
        <v>0.499902083333333</v>
      </c>
      <c r="J14" s="11" t="n">
        <f aca="false">(J13*(1+T24))</f>
        <v>0</v>
      </c>
      <c r="P14" s="1" t="s">
        <v>24</v>
      </c>
      <c r="Q14" s="1" t="s">
        <v>8</v>
      </c>
      <c r="R14" s="6" t="n">
        <v>10</v>
      </c>
      <c r="S14" s="6" t="n">
        <v>0</v>
      </c>
      <c r="T14" s="6" t="n">
        <v>0</v>
      </c>
      <c r="V14" s="7" t="n">
        <f aca="false">V5*R14</f>
        <v>2242</v>
      </c>
      <c r="W14" s="1" t="n">
        <f aca="false">W5*S14</f>
        <v>0</v>
      </c>
      <c r="X14" s="1" t="n">
        <f aca="false">X5*T14</f>
        <v>0</v>
      </c>
    </row>
    <row r="15" customFormat="false" ht="15.75" hidden="false" customHeight="true" outlineLevel="0" collapsed="false">
      <c r="C15" s="2" t="s">
        <v>24</v>
      </c>
      <c r="D15" s="4" t="n">
        <v>0.8323</v>
      </c>
      <c r="E15" s="4" t="n">
        <v>0</v>
      </c>
      <c r="F15" s="4" t="n">
        <v>0</v>
      </c>
      <c r="H15" s="11"/>
      <c r="I15" s="11"/>
      <c r="J15" s="11"/>
      <c r="L15" s="1" t="n">
        <f aca="false">$D11*R5*R9</f>
        <v>4484</v>
      </c>
      <c r="M15" s="1" t="n">
        <f aca="false">$D11*S5*S9</f>
        <v>4484</v>
      </c>
      <c r="N15" s="1" t="n">
        <f aca="false">$D11*T5*T9</f>
        <v>0</v>
      </c>
      <c r="P15" s="1" t="s">
        <v>25</v>
      </c>
      <c r="Q15" s="1" t="s">
        <v>8</v>
      </c>
      <c r="R15" s="6" t="n">
        <v>10</v>
      </c>
      <c r="S15" s="6" t="n">
        <v>0</v>
      </c>
      <c r="T15" s="6" t="n">
        <v>0</v>
      </c>
      <c r="V15" s="7" t="n">
        <f aca="false">V5*R15</f>
        <v>2242</v>
      </c>
      <c r="W15" s="1" t="n">
        <f aca="false">W5*S15</f>
        <v>0</v>
      </c>
      <c r="X15" s="1" t="n">
        <f aca="false">X5*T15</f>
        <v>0</v>
      </c>
    </row>
    <row r="16" customFormat="false" ht="15.75" hidden="false" customHeight="true" outlineLevel="0" collapsed="false">
      <c r="C16" s="2" t="s">
        <v>25</v>
      </c>
      <c r="D16" s="4" t="n">
        <v>0.8323</v>
      </c>
      <c r="E16" s="4" t="n">
        <v>0</v>
      </c>
      <c r="F16" s="4" t="n">
        <v>0</v>
      </c>
      <c r="H16" s="11"/>
      <c r="I16" s="11"/>
      <c r="J16" s="11"/>
      <c r="P16" s="1" t="s">
        <v>26</v>
      </c>
      <c r="Q16" s="1" t="s">
        <v>10</v>
      </c>
      <c r="R16" s="6" t="n">
        <v>5</v>
      </c>
      <c r="S16" s="6" t="n">
        <v>0</v>
      </c>
      <c r="T16" s="6" t="n">
        <v>0</v>
      </c>
      <c r="V16" s="7" t="n">
        <f aca="false">(R16*V6)</f>
        <v>5605</v>
      </c>
      <c r="W16" s="1" t="n">
        <f aca="false">(S16*W6)</f>
        <v>0</v>
      </c>
      <c r="X16" s="1" t="n">
        <f aca="false">(T16*X6)</f>
        <v>0</v>
      </c>
    </row>
    <row r="17" customFormat="false" ht="15.75" hidden="false" customHeight="true" outlineLevel="0" collapsed="false">
      <c r="C17" s="2" t="s">
        <v>27</v>
      </c>
      <c r="D17" s="4" t="n">
        <v>2.0808</v>
      </c>
      <c r="E17" s="4" t="n">
        <v>0</v>
      </c>
      <c r="F17" s="4" t="n">
        <v>0</v>
      </c>
      <c r="H17" s="11"/>
      <c r="I17" s="11"/>
      <c r="J17" s="11"/>
      <c r="P17" s="1" t="s">
        <v>28</v>
      </c>
      <c r="Q17" s="1" t="s">
        <v>10</v>
      </c>
      <c r="R17" s="6" t="n">
        <f aca="false">R8-(R9/R7)-R16-((R15+R14)/R7)</f>
        <v>39</v>
      </c>
      <c r="S17" s="6" t="n">
        <f aca="false">S8-(S9/S7)-S16-((S15+S14)/S7)</f>
        <v>48</v>
      </c>
      <c r="T17" s="6" t="n">
        <f aca="false">T8-(T9/T7)-T16-((T15+T14)/T7)</f>
        <v>52</v>
      </c>
      <c r="V17" s="7" t="n">
        <f aca="false">(V6*R17)+SUM(V12:V16)</f>
        <v>59076.7</v>
      </c>
      <c r="W17" s="7" t="n">
        <f aca="false">(W6*S17)+SUM(W12:W16)</f>
        <v>59076.7</v>
      </c>
      <c r="X17" s="7" t="n">
        <f aca="false">(X6*T17)+SUM(X12:X16)</f>
        <v>59076.7</v>
      </c>
    </row>
    <row r="18" customFormat="false" ht="15.75" hidden="false" customHeight="true" outlineLevel="0" collapsed="false">
      <c r="C18" s="2" t="s">
        <v>29</v>
      </c>
      <c r="D18" s="4" t="n">
        <v>0.5735</v>
      </c>
      <c r="E18" s="4" t="n">
        <v>0.5753</v>
      </c>
      <c r="F18" s="4" t="n">
        <v>0.5753</v>
      </c>
      <c r="H18" s="11"/>
      <c r="I18" s="11"/>
      <c r="J18" s="11"/>
      <c r="P18" s="1" t="s">
        <v>29</v>
      </c>
      <c r="Q18" s="1" t="s">
        <v>30</v>
      </c>
      <c r="R18" s="13" t="n">
        <v>850</v>
      </c>
      <c r="S18" s="13" t="n">
        <v>850</v>
      </c>
      <c r="T18" s="13" t="n">
        <v>850</v>
      </c>
      <c r="V18" s="14" t="n">
        <f aca="false">R18</f>
        <v>850</v>
      </c>
      <c r="W18" s="15" t="n">
        <f aca="false">S18/S27</f>
        <v>0.466008771929825</v>
      </c>
      <c r="X18" s="15" t="n">
        <f aca="false">T18/T27</f>
        <v>0.430161943319838</v>
      </c>
    </row>
    <row r="19" customFormat="false" ht="15.75" hidden="false" customHeight="true" outlineLevel="0" collapsed="false">
      <c r="C19" s="2" t="s">
        <v>31</v>
      </c>
      <c r="D19" s="4" t="n">
        <v>0.2362</v>
      </c>
      <c r="E19" s="4" t="n">
        <v>0.2024</v>
      </c>
      <c r="F19" s="4" t="n">
        <v>0.2024</v>
      </c>
      <c r="H19" s="11"/>
      <c r="I19" s="11"/>
      <c r="J19" s="11"/>
      <c r="P19" s="1" t="s">
        <v>32</v>
      </c>
      <c r="Q19" s="1" t="s">
        <v>30</v>
      </c>
      <c r="R19" s="13" t="n">
        <v>300</v>
      </c>
      <c r="S19" s="13" t="n">
        <v>300</v>
      </c>
      <c r="T19" s="13" t="n">
        <v>300</v>
      </c>
      <c r="V19" s="7" t="n">
        <f aca="false">R19/R27</f>
        <v>0.202429149797571</v>
      </c>
      <c r="W19" s="16" t="n">
        <f aca="false">S19/S27</f>
        <v>0.164473684210526</v>
      </c>
      <c r="X19" s="16" t="n">
        <f aca="false">T19/T27</f>
        <v>0.151821862348178</v>
      </c>
    </row>
    <row r="20" customFormat="false" ht="15.75" hidden="false" customHeight="true" outlineLevel="0" collapsed="false">
      <c r="C20" s="2" t="s">
        <v>33</v>
      </c>
      <c r="D20" s="4" t="n">
        <v>2.6529</v>
      </c>
      <c r="E20" s="4" t="n">
        <v>2.2775</v>
      </c>
      <c r="F20" s="4" t="n">
        <v>2.0177</v>
      </c>
      <c r="H20" s="11"/>
      <c r="I20" s="5"/>
      <c r="K20" s="1" t="s">
        <v>1</v>
      </c>
      <c r="P20" s="1" t="s">
        <v>34</v>
      </c>
      <c r="Q20" s="1" t="s">
        <v>17</v>
      </c>
      <c r="R20" s="17"/>
      <c r="S20" s="17"/>
      <c r="T20" s="17"/>
      <c r="V20" s="18" t="n">
        <f aca="false">R8-R17</f>
        <v>13</v>
      </c>
      <c r="W20" s="18" t="n">
        <f aca="false">S8-S17</f>
        <v>4</v>
      </c>
      <c r="X20" s="18" t="n">
        <f aca="false">T8-T17</f>
        <v>0</v>
      </c>
    </row>
    <row r="21" customFormat="false" ht="15.75" hidden="false" customHeight="true" outlineLevel="0" collapsed="false">
      <c r="C21" s="2" t="s">
        <v>35</v>
      </c>
      <c r="D21" s="4" t="n">
        <v>0.7628</v>
      </c>
      <c r="E21" s="4" t="n">
        <v>0.7816</v>
      </c>
      <c r="F21" s="4" t="n">
        <v>0.7816</v>
      </c>
      <c r="H21" s="11"/>
      <c r="I21" s="1" t="s">
        <v>4</v>
      </c>
      <c r="J21" s="1" t="s">
        <v>5</v>
      </c>
      <c r="K21" s="1" t="n">
        <v>7.6</v>
      </c>
      <c r="R21" s="17"/>
      <c r="S21" s="17"/>
      <c r="T21" s="17"/>
      <c r="V21" s="18" t="n">
        <f aca="false">V20*V6</f>
        <v>14573</v>
      </c>
      <c r="W21" s="18" t="n">
        <f aca="false">W20*W6</f>
        <v>4484</v>
      </c>
      <c r="X21" s="18" t="n">
        <f aca="false">X20*X6</f>
        <v>0</v>
      </c>
    </row>
    <row r="22" customFormat="false" ht="15.75" hidden="false" customHeight="true" outlineLevel="0" collapsed="false">
      <c r="C22" s="2" t="s">
        <v>36</v>
      </c>
      <c r="D22" s="4" t="n">
        <v>26.48</v>
      </c>
      <c r="E22" s="4" t="n">
        <v>22.81</v>
      </c>
      <c r="F22" s="4" t="n">
        <v>20.19</v>
      </c>
      <c r="H22" s="11"/>
      <c r="I22" s="1" t="s">
        <v>6</v>
      </c>
      <c r="J22" s="1" t="s">
        <v>5</v>
      </c>
      <c r="K22" s="1" t="n">
        <v>38</v>
      </c>
      <c r="P22" s="1" t="s">
        <v>33</v>
      </c>
      <c r="R22" s="9" t="n">
        <v>0.115</v>
      </c>
      <c r="S22" s="9" t="n">
        <v>0.115</v>
      </c>
      <c r="T22" s="9" t="n">
        <v>0.115</v>
      </c>
      <c r="V22" s="7" t="n">
        <f aca="false">V$17*R22</f>
        <v>6793.8205</v>
      </c>
      <c r="W22" s="7" t="n">
        <f aca="false">W$17*S22</f>
        <v>6793.8205</v>
      </c>
      <c r="X22" s="7" t="n">
        <f aca="false">X$17*T22</f>
        <v>6793.8205</v>
      </c>
    </row>
    <row r="23" customFormat="false" ht="15.75" hidden="false" customHeight="true" outlineLevel="0" collapsed="false">
      <c r="C23" s="2" t="s">
        <v>37</v>
      </c>
      <c r="D23" s="4" t="n">
        <v>19.864</v>
      </c>
      <c r="E23" s="4" t="n">
        <v>17.165</v>
      </c>
      <c r="F23" s="4" t="n">
        <v>17.165</v>
      </c>
      <c r="H23" s="11"/>
      <c r="I23" s="1" t="s">
        <v>7</v>
      </c>
      <c r="J23" s="1" t="s">
        <v>8</v>
      </c>
      <c r="K23" s="1" t="n">
        <v>5</v>
      </c>
      <c r="P23" s="1" t="s">
        <v>35</v>
      </c>
      <c r="R23" s="9" t="n">
        <v>0.047</v>
      </c>
      <c r="S23" s="9" t="n">
        <v>0.047</v>
      </c>
      <c r="T23" s="9" t="n">
        <v>0.047</v>
      </c>
      <c r="V23" s="7" t="n">
        <f aca="false">(V$17*R23)-((R23*V6)*R10)</f>
        <v>2565.8569</v>
      </c>
      <c r="W23" s="7" t="n">
        <f aca="false">(W$17*S23)-((S23*W6)*S10)</f>
        <v>2565.8569</v>
      </c>
      <c r="X23" s="7" t="n">
        <f aca="false">(X$17*T23)-((T23*X6)*T10)</f>
        <v>2565.8569</v>
      </c>
    </row>
    <row r="24" customFormat="false" ht="15.75" hidden="false" customHeight="true" outlineLevel="0" collapsed="false">
      <c r="C24" s="2" t="s">
        <v>38</v>
      </c>
      <c r="D24" s="4" t="n">
        <v>31.74</v>
      </c>
      <c r="E24" s="4" t="n">
        <v>26.73</v>
      </c>
      <c r="F24" s="4" t="n">
        <v>23.66</v>
      </c>
      <c r="H24" s="11"/>
      <c r="I24" s="1" t="s">
        <v>9</v>
      </c>
      <c r="J24" s="1" t="s">
        <v>10</v>
      </c>
      <c r="K24" s="1" t="n">
        <v>52</v>
      </c>
      <c r="R24" s="12" t="n">
        <f aca="false">R22+R23</f>
        <v>0.162</v>
      </c>
      <c r="S24" s="12" t="n">
        <f aca="false">S22+S23</f>
        <v>0.162</v>
      </c>
      <c r="T24" s="12" t="n">
        <f aca="false">T22+T23</f>
        <v>0.162</v>
      </c>
      <c r="V24" s="7" t="n">
        <f aca="false">SUM(V22:V23)</f>
        <v>9359.6774</v>
      </c>
      <c r="W24" s="7" t="n">
        <f aca="false">SUM(W22:W23)</f>
        <v>9359.6774</v>
      </c>
      <c r="X24" s="7" t="n">
        <f aca="false">SUM(X22:X23)</f>
        <v>9359.6774</v>
      </c>
    </row>
    <row r="25" customFormat="false" ht="15.75" hidden="false" customHeight="true" outlineLevel="0" collapsed="false">
      <c r="C25" s="2" t="s">
        <v>39</v>
      </c>
      <c r="D25" s="5" t="n">
        <v>46750.16</v>
      </c>
      <c r="E25" s="5" t="n">
        <v>46751.16</v>
      </c>
      <c r="F25" s="5" t="n">
        <v>46752.16</v>
      </c>
      <c r="H25" s="11"/>
      <c r="I25" s="1" t="s">
        <v>11</v>
      </c>
      <c r="J25" s="1" t="s">
        <v>8</v>
      </c>
      <c r="K25" s="1" t="n">
        <v>20</v>
      </c>
      <c r="P25" s="1" t="s">
        <v>40</v>
      </c>
      <c r="R25" s="12"/>
      <c r="S25" s="12"/>
      <c r="T25" s="12"/>
      <c r="V25" s="7" t="n">
        <f aca="false">SUM(R18:R19)+V24</f>
        <v>10509.6774</v>
      </c>
      <c r="W25" s="7" t="n">
        <f aca="false">SUM(S18:S19)+W24</f>
        <v>10509.6774</v>
      </c>
      <c r="X25" s="7" t="n">
        <f aca="false">SUM(T18:T19)+X24</f>
        <v>10509.6774</v>
      </c>
    </row>
    <row r="26" customFormat="false" ht="15.75" hidden="false" customHeight="true" outlineLevel="0" collapsed="false">
      <c r="I26" s="3" t="s">
        <v>16</v>
      </c>
      <c r="J26" s="3" t="s">
        <v>17</v>
      </c>
      <c r="K26" s="1" t="n">
        <v>4</v>
      </c>
      <c r="P26" s="1" t="s">
        <v>41</v>
      </c>
      <c r="R26" s="1" t="n">
        <f aca="false">R17*R7</f>
        <v>195</v>
      </c>
      <c r="S26" s="1" t="n">
        <f aca="false">S17*S7</f>
        <v>240</v>
      </c>
      <c r="T26" s="1" t="n">
        <f aca="false">T17*T7</f>
        <v>260</v>
      </c>
      <c r="V26" s="7" t="n">
        <f aca="false">V25/R26</f>
        <v>53.8957815384615</v>
      </c>
      <c r="W26" s="7" t="n">
        <f aca="false">W25/S26</f>
        <v>43.7903225</v>
      </c>
      <c r="X26" s="7" t="n">
        <f aca="false">X25/T26</f>
        <v>40.4218361538462</v>
      </c>
      <c r="Y26" s="1" t="n">
        <f aca="false">16.95*11.5%</f>
        <v>1.94925</v>
      </c>
    </row>
    <row r="27" customFormat="false" ht="15.75" hidden="false" customHeight="true" outlineLevel="0" collapsed="false">
      <c r="I27" s="1" t="s">
        <v>19</v>
      </c>
      <c r="K27" s="12" t="n">
        <v>0.175</v>
      </c>
      <c r="P27" s="1" t="s">
        <v>42</v>
      </c>
      <c r="R27" s="1" t="n">
        <f aca="false">R26*R5</f>
        <v>1482</v>
      </c>
      <c r="S27" s="1" t="n">
        <f aca="false">S26*S5</f>
        <v>1824</v>
      </c>
      <c r="T27" s="1" t="n">
        <f aca="false">T26*T5</f>
        <v>1976</v>
      </c>
      <c r="V27" s="7" t="n">
        <f aca="false">V25/R27</f>
        <v>7.09155020242915</v>
      </c>
      <c r="W27" s="7" t="n">
        <f aca="false">W25/S27</f>
        <v>5.76188453947369</v>
      </c>
      <c r="X27" s="7" t="n">
        <f aca="false">X25/T27</f>
        <v>5.31866265182186</v>
      </c>
    </row>
    <row r="28" customFormat="false" ht="15.75" hidden="false" customHeight="true" outlineLevel="0" collapsed="false">
      <c r="C28" s="2" t="s">
        <v>43</v>
      </c>
      <c r="D28" s="1" t="n">
        <f aca="false">SUM(D12:D21)</f>
        <v>10.2545</v>
      </c>
      <c r="K28" s="7"/>
      <c r="P28" s="1" t="s">
        <v>19</v>
      </c>
      <c r="R28" s="1" t="n">
        <f aca="false">H11*R11</f>
        <v>5.1625</v>
      </c>
      <c r="S28" s="1" t="n">
        <f aca="false">I11*S11</f>
        <v>5.1625</v>
      </c>
      <c r="T28" s="1" t="n">
        <f aca="false">J11*T11</f>
        <v>5.1625</v>
      </c>
      <c r="U28" s="1" t="s">
        <v>44</v>
      </c>
      <c r="V28" s="7" t="n">
        <f aca="false">V17+V25</f>
        <v>69586.3774</v>
      </c>
      <c r="W28" s="7" t="n">
        <f aca="false">W17+W25</f>
        <v>69586.3774</v>
      </c>
      <c r="X28" s="7" t="n">
        <f aca="false">X17+X25</f>
        <v>69586.3774</v>
      </c>
    </row>
    <row r="29" customFormat="false" ht="15.75" hidden="false" customHeight="true" outlineLevel="0" collapsed="false">
      <c r="K29" s="12"/>
      <c r="P29" s="1" t="s">
        <v>45</v>
      </c>
      <c r="R29" s="19" t="n">
        <f aca="false">((H11*1.175)-H11)*R5*R9</f>
        <v>784.7</v>
      </c>
      <c r="S29" s="19" t="n">
        <f aca="false">((I11*1.175)-I11)*S5*S9</f>
        <v>784.7</v>
      </c>
      <c r="T29" s="19" t="n">
        <f aca="false">((J11*1.175)-J11)*T5*T10</f>
        <v>156.94</v>
      </c>
      <c r="U29" s="1" t="s">
        <v>46</v>
      </c>
      <c r="V29" s="7" t="n">
        <f aca="false">(V28/R27)-H11+V19</f>
        <v>17.6567998650472</v>
      </c>
      <c r="W29" s="7" t="n">
        <f aca="false">(W28/S27)-I11</f>
        <v>8.65042620614035</v>
      </c>
      <c r="X29" s="7" t="n">
        <f aca="false">(X28/T27)-J11</f>
        <v>5.71577803643724</v>
      </c>
    </row>
    <row r="30" customFormat="false" ht="15.75" hidden="false" customHeight="true" outlineLevel="0" collapsed="false">
      <c r="I30" s="1" t="s">
        <v>24</v>
      </c>
      <c r="J30" s="1" t="s">
        <v>8</v>
      </c>
      <c r="K30" s="1" t="n">
        <v>10</v>
      </c>
      <c r="P30" s="1" t="s">
        <v>47</v>
      </c>
      <c r="R30" s="19" t="n">
        <f aca="false">R29/R27</f>
        <v>0.52948717948718</v>
      </c>
      <c r="S30" s="19" t="n">
        <f aca="false">S29/S27</f>
        <v>0.430208333333333</v>
      </c>
      <c r="T30" s="19" t="n">
        <f aca="false">T29/T27</f>
        <v>0.0794230769230769</v>
      </c>
      <c r="U30" s="1" t="s">
        <v>48</v>
      </c>
      <c r="V30" s="20" t="n">
        <v>0.15</v>
      </c>
      <c r="W30" s="21" t="n">
        <f aca="false">V30</f>
        <v>0.15</v>
      </c>
      <c r="X30" s="21" t="n">
        <f aca="false">W30</f>
        <v>0.15</v>
      </c>
    </row>
    <row r="31" customFormat="false" ht="15.75" hidden="false" customHeight="true" outlineLevel="0" collapsed="false">
      <c r="I31" s="1" t="s">
        <v>25</v>
      </c>
      <c r="J31" s="1" t="s">
        <v>8</v>
      </c>
      <c r="K31" s="1" t="n">
        <v>10</v>
      </c>
      <c r="P31" s="1" t="s">
        <v>49</v>
      </c>
      <c r="R31" s="1" t="n">
        <f aca="false">H11*(1+R11)</f>
        <v>34.6625</v>
      </c>
      <c r="U31" s="1" t="s">
        <v>50</v>
      </c>
      <c r="V31" s="7" t="n">
        <f aca="false">V32-(H11+V29)</f>
        <v>7.07351997975708</v>
      </c>
      <c r="W31" s="7" t="n">
        <f aca="false">W32-(I11+W29)</f>
        <v>5.72256393092106</v>
      </c>
      <c r="X31" s="7" t="n">
        <f aca="false">X32-(J11+X29)</f>
        <v>5.28236670546558</v>
      </c>
    </row>
    <row r="32" customFormat="false" ht="15.75" hidden="false" customHeight="true" outlineLevel="0" collapsed="false">
      <c r="C32" s="22" t="s">
        <v>51</v>
      </c>
      <c r="D32" s="23" t="n">
        <f aca="false">(($D$11*$R$22)*($K$22)*K33)</f>
        <v>5027.685</v>
      </c>
      <c r="E32" s="24" t="n">
        <f aca="false">D32/R27</f>
        <v>3.3925</v>
      </c>
      <c r="I32" s="1" t="s">
        <v>26</v>
      </c>
      <c r="J32" s="1" t="s">
        <v>10</v>
      </c>
      <c r="K32" s="1" t="n">
        <v>5</v>
      </c>
      <c r="P32" s="1" t="s">
        <v>52</v>
      </c>
      <c r="R32" s="1" t="n">
        <f aca="false">R31*R22</f>
        <v>3.9861875</v>
      </c>
      <c r="U32" s="1" t="s">
        <v>53</v>
      </c>
      <c r="V32" s="25" t="n">
        <f aca="false">((H11+V29)*V30)+H11+V29</f>
        <v>54.2303198448043</v>
      </c>
      <c r="W32" s="7" t="n">
        <f aca="false">((I11+W29)*W30)+I11+W29</f>
        <v>43.8729901370614</v>
      </c>
      <c r="X32" s="7" t="n">
        <f aca="false">((J11+X29)*X30)+J11+X29</f>
        <v>40.4981447419028</v>
      </c>
    </row>
    <row r="33" customFormat="false" ht="15.75" hidden="false" customHeight="true" outlineLevel="0" collapsed="false">
      <c r="C33" s="1" t="s">
        <v>54</v>
      </c>
      <c r="D33" s="7" t="n">
        <f aca="false">(($D$11*$R$22)*($K$22)*K32)</f>
        <v>644.575</v>
      </c>
      <c r="I33" s="1" t="s">
        <v>55</v>
      </c>
      <c r="J33" s="1" t="s">
        <v>10</v>
      </c>
      <c r="K33" s="1" t="n">
        <f aca="false">K24-(K25/K23)-K32-((K31+K30)/K23)</f>
        <v>39</v>
      </c>
      <c r="P33" s="1" t="s">
        <v>56</v>
      </c>
      <c r="R33" s="1" t="n">
        <f aca="false">(R6*R8)-(R9*R5)</f>
        <v>1824</v>
      </c>
      <c r="S33" s="1" t="n">
        <f aca="false">(S6*S8)-(S9*S5)</f>
        <v>1824</v>
      </c>
      <c r="T33" s="1" t="n">
        <f aca="false">(T6*T8)-(T9*T5)</f>
        <v>1976</v>
      </c>
      <c r="U33" s="1" t="s">
        <v>57</v>
      </c>
      <c r="V33" s="7"/>
    </row>
    <row r="34" customFormat="false" ht="15.75" hidden="false" customHeight="true" outlineLevel="0" collapsed="false">
      <c r="C34" s="1" t="s">
        <v>58</v>
      </c>
      <c r="D34" s="7" t="n">
        <f aca="false">(($D$11*$R$22)*$K$21*K30)</f>
        <v>257.83</v>
      </c>
      <c r="I34" s="1" t="s">
        <v>29</v>
      </c>
      <c r="J34" s="1" t="s">
        <v>30</v>
      </c>
      <c r="K34" s="17" t="n">
        <v>850</v>
      </c>
      <c r="P34" s="1" t="s">
        <v>59</v>
      </c>
      <c r="R34" s="1" t="n">
        <f aca="false">R9*R5</f>
        <v>152</v>
      </c>
      <c r="S34" s="1" t="n">
        <f aca="false">S9*S5</f>
        <v>152</v>
      </c>
      <c r="T34" s="1" t="n">
        <f aca="false">T9*T5</f>
        <v>0</v>
      </c>
      <c r="U34" s="1" t="n">
        <v>1.5</v>
      </c>
      <c r="V34" s="7" t="n">
        <f aca="false">$U34*$D$11</f>
        <v>44.25</v>
      </c>
      <c r="W34" s="7" t="n">
        <f aca="false">$U34*$D$11</f>
        <v>44.25</v>
      </c>
      <c r="X34" s="7" t="n">
        <f aca="false">$U34*$D$11</f>
        <v>44.25</v>
      </c>
    </row>
    <row r="35" customFormat="false" ht="15.75" hidden="false" customHeight="true" outlineLevel="0" collapsed="false">
      <c r="C35" s="1" t="s">
        <v>60</v>
      </c>
      <c r="D35" s="7" t="n">
        <f aca="false">(($D$11*$R$22)*$K$21*K31)</f>
        <v>257.83</v>
      </c>
      <c r="I35" s="1" t="s">
        <v>32</v>
      </c>
      <c r="J35" s="1" t="s">
        <v>30</v>
      </c>
      <c r="K35" s="17" t="n">
        <v>300</v>
      </c>
      <c r="U35" s="1" t="n">
        <v>2</v>
      </c>
      <c r="V35" s="7" t="n">
        <f aca="false">$U35*$D$11</f>
        <v>59</v>
      </c>
      <c r="W35" s="7" t="n">
        <f aca="false">$U35*$D$11</f>
        <v>59</v>
      </c>
      <c r="X35" s="7" t="n">
        <f aca="false">$U35*$D$11</f>
        <v>59</v>
      </c>
    </row>
    <row r="36" customFormat="false" ht="15.75" hidden="false" customHeight="true" outlineLevel="0" collapsed="false">
      <c r="C36" s="1" t="s">
        <v>61</v>
      </c>
      <c r="D36" s="7" t="n">
        <f aca="false">D37*K27</f>
        <v>90.2405</v>
      </c>
      <c r="I36" s="1" t="s">
        <v>34</v>
      </c>
      <c r="J36" s="1" t="s">
        <v>17</v>
      </c>
      <c r="K36" s="17"/>
      <c r="U36" s="1" t="n">
        <v>2.5</v>
      </c>
      <c r="V36" s="7" t="n">
        <f aca="false">$U36*$D$11</f>
        <v>73.75</v>
      </c>
      <c r="W36" s="7" t="n">
        <f aca="false">$U36*$D$11</f>
        <v>73.75</v>
      </c>
      <c r="X36" s="7" t="n">
        <f aca="false">$U36*$D$11</f>
        <v>73.75</v>
      </c>
    </row>
    <row r="37" customFormat="false" ht="15.75" hidden="false" customHeight="true" outlineLevel="0" collapsed="false">
      <c r="C37" s="1" t="s">
        <v>62</v>
      </c>
      <c r="D37" s="7" t="n">
        <f aca="false">((K22*K26)*D11)*R22</f>
        <v>515.66</v>
      </c>
      <c r="K37" s="17"/>
    </row>
    <row r="38" customFormat="false" ht="15.75" hidden="false" customHeight="true" outlineLevel="0" collapsed="false">
      <c r="C38" s="26" t="s">
        <v>63</v>
      </c>
      <c r="D38" s="27" t="n">
        <f aca="false">SUM(D33:D37)</f>
        <v>1766.1355</v>
      </c>
      <c r="E38" s="27" t="n">
        <f aca="false">D38/(K33*K22)</f>
        <v>1.19172435897436</v>
      </c>
      <c r="I38" s="1" t="s">
        <v>33</v>
      </c>
      <c r="K38" s="12" t="n">
        <v>0.115</v>
      </c>
      <c r="P38" s="1" t="s">
        <v>64</v>
      </c>
      <c r="R38" s="10" t="n">
        <f aca="false">(V6*R8)+$X$12</f>
        <v>59076.7</v>
      </c>
      <c r="S38" s="10" t="n">
        <f aca="false">(W6*S8)+$X$12</f>
        <v>59076.7</v>
      </c>
      <c r="T38" s="10" t="n">
        <f aca="false">(X6*T8)+$X$12</f>
        <v>59076.7</v>
      </c>
      <c r="U38" s="1" t="s">
        <v>65</v>
      </c>
    </row>
    <row r="39" customFormat="false" ht="15.75" hidden="false" customHeight="true" outlineLevel="0" collapsed="false">
      <c r="I39" s="1" t="s">
        <v>35</v>
      </c>
      <c r="K39" s="12" t="n">
        <v>0.047</v>
      </c>
      <c r="U39" s="1" t="n">
        <f aca="false">U34</f>
        <v>1.5</v>
      </c>
      <c r="V39" s="10" t="n">
        <f aca="false">V34*R$23</f>
        <v>2.07975</v>
      </c>
      <c r="W39" s="10" t="n">
        <f aca="false">W34*S$23</f>
        <v>2.07975</v>
      </c>
      <c r="X39" s="10" t="n">
        <f aca="false">X34*T$23</f>
        <v>2.07975</v>
      </c>
    </row>
    <row r="40" customFormat="false" ht="15.75" hidden="false" customHeight="true" outlineLevel="0" collapsed="false">
      <c r="C40" s="1" t="s">
        <v>66</v>
      </c>
      <c r="E40" s="10" t="n">
        <f aca="false">E32+E38</f>
        <v>4.58422435897436</v>
      </c>
      <c r="U40" s="1" t="n">
        <f aca="false">U35</f>
        <v>2</v>
      </c>
      <c r="V40" s="10" t="n">
        <f aca="false">V35*R$23</f>
        <v>2.773</v>
      </c>
      <c r="W40" s="10" t="n">
        <f aca="false">W35*S$23</f>
        <v>2.773</v>
      </c>
      <c r="X40" s="10" t="n">
        <f aca="false">X35*T$23</f>
        <v>2.773</v>
      </c>
    </row>
    <row r="41" customFormat="false" ht="15.75" hidden="false" customHeight="true" outlineLevel="0" collapsed="false">
      <c r="U41" s="1" t="n">
        <f aca="false">U36</f>
        <v>2.5</v>
      </c>
      <c r="V41" s="10" t="n">
        <f aca="false">V36*R$23</f>
        <v>3.46625</v>
      </c>
      <c r="W41" s="10" t="n">
        <f aca="false">W36*S$23</f>
        <v>3.46625</v>
      </c>
      <c r="X41" s="10" t="n">
        <f aca="false">X36*T$23</f>
        <v>3.46625</v>
      </c>
    </row>
    <row r="42" customFormat="false" ht="15.75" hidden="false" customHeight="true" outlineLevel="0" collapsed="false">
      <c r="V42" s="10"/>
    </row>
    <row r="43" customFormat="false" ht="15.75" hidden="false" customHeight="true" outlineLevel="0" collapsed="false">
      <c r="U43" s="1" t="s">
        <v>67</v>
      </c>
      <c r="V43" s="10"/>
    </row>
    <row r="44" customFormat="false" ht="15.75" hidden="false" customHeight="true" outlineLevel="0" collapsed="false">
      <c r="I44" s="1" t="n">
        <v>5819.35</v>
      </c>
      <c r="J44" s="1" t="n">
        <v>2909.68</v>
      </c>
      <c r="K44" s="1" t="n">
        <f aca="false">+J44/2</f>
        <v>1454.84</v>
      </c>
      <c r="U44" s="1" t="n">
        <f aca="false">U39</f>
        <v>1.5</v>
      </c>
      <c r="V44" s="10" t="n">
        <f aca="false">V$30*V34</f>
        <v>6.6375</v>
      </c>
      <c r="W44" s="10" t="n">
        <f aca="false">W$30*W34</f>
        <v>6.6375</v>
      </c>
      <c r="X44" s="10" t="n">
        <f aca="false">X$30*X34</f>
        <v>6.6375</v>
      </c>
    </row>
    <row r="45" customFormat="false" ht="15.75" hidden="false" customHeight="true" outlineLevel="0" collapsed="false">
      <c r="I45" s="1" t="n">
        <f aca="false">I44/2</f>
        <v>2909.675</v>
      </c>
      <c r="U45" s="1" t="n">
        <f aca="false">U40</f>
        <v>2</v>
      </c>
      <c r="V45" s="10" t="n">
        <f aca="false">V$30*V35</f>
        <v>8.85</v>
      </c>
      <c r="W45" s="10" t="n">
        <f aca="false">W$30*W35</f>
        <v>8.85</v>
      </c>
      <c r="X45" s="10" t="n">
        <f aca="false">X$30*X35</f>
        <v>8.85</v>
      </c>
    </row>
    <row r="46" customFormat="false" ht="15.75" hidden="false" customHeight="true" outlineLevel="0" collapsed="false">
      <c r="U46" s="1" t="n">
        <f aca="false">U41</f>
        <v>2.5</v>
      </c>
      <c r="V46" s="10" t="n">
        <f aca="false">V$30*V36</f>
        <v>11.0625</v>
      </c>
      <c r="W46" s="10" t="n">
        <f aca="false">W$30*W36</f>
        <v>11.0625</v>
      </c>
      <c r="X46" s="10" t="n">
        <f aca="false">X$30*X36</f>
        <v>11.0625</v>
      </c>
    </row>
    <row r="47" customFormat="false" ht="15.75" hidden="false" customHeight="true" outlineLevel="0" collapsed="false">
      <c r="V47" s="10"/>
      <c r="W47" s="10"/>
      <c r="X47" s="10"/>
    </row>
    <row r="48" customFormat="false" ht="15.75" hidden="false" customHeight="true" outlineLevel="0" collapsed="false">
      <c r="U48" s="1" t="s">
        <v>68</v>
      </c>
    </row>
    <row r="49" customFormat="false" ht="15.75" hidden="false" customHeight="true" outlineLevel="0" collapsed="false">
      <c r="U49" s="1" t="n">
        <f aca="false">U44</f>
        <v>1.5</v>
      </c>
      <c r="V49" s="10" t="n">
        <f aca="false">V34+V39+V44</f>
        <v>52.96725</v>
      </c>
      <c r="W49" s="10" t="n">
        <f aca="false">W34+W39+W44</f>
        <v>52.96725</v>
      </c>
      <c r="X49" s="10" t="n">
        <f aca="false">X34+X39+X44</f>
        <v>52.96725</v>
      </c>
    </row>
    <row r="50" customFormat="false" ht="15.75" hidden="false" customHeight="true" outlineLevel="0" collapsed="false">
      <c r="U50" s="1" t="n">
        <f aca="false">U45</f>
        <v>2</v>
      </c>
      <c r="V50" s="10" t="n">
        <f aca="false">V35+V40+V45</f>
        <v>70.623</v>
      </c>
      <c r="W50" s="10" t="n">
        <f aca="false">W35+W40+W45</f>
        <v>70.623</v>
      </c>
      <c r="X50" s="10" t="n">
        <f aca="false">X35+X40+X45</f>
        <v>70.623</v>
      </c>
    </row>
    <row r="51" customFormat="false" ht="15.75" hidden="false" customHeight="true" outlineLevel="0" collapsed="false">
      <c r="U51" s="1" t="n">
        <f aca="false">U46</f>
        <v>2.5</v>
      </c>
      <c r="V51" s="10" t="n">
        <f aca="false">V36+V41+V46</f>
        <v>88.27875</v>
      </c>
      <c r="W51" s="10" t="n">
        <f aca="false">W36+W41+W46</f>
        <v>88.27875</v>
      </c>
      <c r="X51" s="10" t="n">
        <f aca="false">X36+X41+X46</f>
        <v>88.27875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I52" activeCellId="0" sqref="I52"/>
    </sheetView>
  </sheetViews>
  <sheetFormatPr defaultColWidth="9.14453125" defaultRowHeight="15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9.37"/>
    <col collapsed="false" customWidth="true" hidden="false" outlineLevel="0" max="4" min="4" style="1" width="19.77"/>
    <col collapsed="false" customWidth="false" hidden="false" outlineLevel="0" max="8" min="5" style="1" width="9.14"/>
    <col collapsed="false" customWidth="true" hidden="false" outlineLevel="0" max="9" min="9" style="1" width="16.01"/>
    <col collapsed="false" customWidth="true" hidden="false" outlineLevel="0" max="10" min="10" style="1" width="14.55"/>
    <col collapsed="false" customWidth="false" hidden="false" outlineLevel="0" max="15" min="11" style="1" width="9.14"/>
    <col collapsed="false" customWidth="true" hidden="false" outlineLevel="0" max="16" min="16" style="1" width="30.4"/>
    <col collapsed="false" customWidth="true" hidden="false" outlineLevel="0" max="17" min="17" style="1" width="8.48"/>
    <col collapsed="false" customWidth="true" hidden="false" outlineLevel="0" max="18" min="18" style="1" width="16.01"/>
    <col collapsed="false" customWidth="true" hidden="false" outlineLevel="0" max="20" min="19" style="1" width="14.13"/>
    <col collapsed="false" customWidth="false" hidden="false" outlineLevel="0" max="21" min="21" style="1" width="9.14"/>
    <col collapsed="false" customWidth="true" hidden="false" outlineLevel="0" max="24" min="22" style="1" width="14.39"/>
    <col collapsed="false" customWidth="false" hidden="false" outlineLevel="0" max="16384" min="25" style="1" width="9.14"/>
  </cols>
  <sheetData>
    <row r="1" customFormat="false" ht="15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.75" hidden="false" customHeight="true" outlineLevel="0" collapsed="false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customFormat="false" ht="15.75" hidden="false" customHeight="true" outlineLevel="0" collapsed="false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customFormat="false" ht="15.75" hidden="false" customHeight="true" outlineLevel="0" collapsed="false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 t="s">
        <v>0</v>
      </c>
      <c r="R4" s="1" t="s">
        <v>1</v>
      </c>
      <c r="S4" s="1" t="s">
        <v>2</v>
      </c>
      <c r="T4" s="1" t="s">
        <v>3</v>
      </c>
      <c r="V4" s="1" t="s">
        <v>1</v>
      </c>
      <c r="W4" s="1" t="s">
        <v>2</v>
      </c>
      <c r="X4" s="1" t="s">
        <v>3</v>
      </c>
    </row>
    <row r="5" customFormat="false" ht="15.75" hidden="false" customHeight="true" outlineLevel="0" collapsed="false">
      <c r="P5" s="1" t="s">
        <v>4</v>
      </c>
      <c r="Q5" s="1" t="s">
        <v>5</v>
      </c>
      <c r="R5" s="6" t="n">
        <v>7.6</v>
      </c>
      <c r="S5" s="6" t="n">
        <v>7.6</v>
      </c>
      <c r="T5" s="6" t="n">
        <v>7.6</v>
      </c>
      <c r="V5" s="7" t="n">
        <f aca="false">R5*H11</f>
        <v>224.2</v>
      </c>
      <c r="W5" s="1" t="n">
        <f aca="false">S5*I11</f>
        <v>224.2</v>
      </c>
      <c r="X5" s="1" t="n">
        <f aca="false">T5*J11</f>
        <v>224.2</v>
      </c>
    </row>
    <row r="6" customFormat="false" ht="15.75" hidden="false" customHeight="true" outlineLevel="0" collapsed="false">
      <c r="P6" s="1" t="s">
        <v>6</v>
      </c>
      <c r="Q6" s="1" t="s">
        <v>5</v>
      </c>
      <c r="R6" s="6" t="n">
        <v>38</v>
      </c>
      <c r="S6" s="6" t="n">
        <v>38</v>
      </c>
      <c r="T6" s="6" t="n">
        <v>38</v>
      </c>
      <c r="V6" s="7" t="n">
        <f aca="false">H11*R6</f>
        <v>1121</v>
      </c>
      <c r="W6" s="1" t="n">
        <f aca="false">I11*S6</f>
        <v>1121</v>
      </c>
      <c r="X6" s="1" t="n">
        <f aca="false">J11*T6</f>
        <v>1121</v>
      </c>
    </row>
    <row r="7" customFormat="false" ht="15.75" hidden="false" customHeight="true" outlineLevel="0" collapsed="false">
      <c r="P7" s="1" t="s">
        <v>7</v>
      </c>
      <c r="Q7" s="1" t="s">
        <v>8</v>
      </c>
      <c r="R7" s="6" t="n">
        <v>5</v>
      </c>
      <c r="S7" s="6" t="n">
        <v>5</v>
      </c>
      <c r="T7" s="6" t="n">
        <v>5</v>
      </c>
      <c r="V7" s="7" t="n">
        <f aca="false">V5*R7</f>
        <v>1121</v>
      </c>
      <c r="W7" s="1" t="n">
        <f aca="false">W5*S7</f>
        <v>1121</v>
      </c>
      <c r="X7" s="1" t="n">
        <f aca="false">X5*T7</f>
        <v>1121</v>
      </c>
    </row>
    <row r="8" customFormat="false" ht="15.75" hidden="false" customHeight="true" outlineLevel="0" collapsed="false">
      <c r="P8" s="1" t="s">
        <v>9</v>
      </c>
      <c r="Q8" s="1" t="s">
        <v>10</v>
      </c>
      <c r="R8" s="6" t="n">
        <v>52</v>
      </c>
      <c r="S8" s="6" t="n">
        <v>52</v>
      </c>
      <c r="T8" s="6" t="n">
        <v>52</v>
      </c>
      <c r="V8" s="7"/>
    </row>
    <row r="9" customFormat="false" ht="15.75" hidden="false" customHeight="true" outlineLevel="0" collapsed="false">
      <c r="P9" s="1" t="s">
        <v>11</v>
      </c>
      <c r="Q9" s="1" t="s">
        <v>8</v>
      </c>
      <c r="R9" s="6" t="n">
        <v>20</v>
      </c>
      <c r="S9" s="6" t="n">
        <v>20</v>
      </c>
      <c r="T9" s="6" t="n">
        <v>0</v>
      </c>
    </row>
    <row r="10" customFormat="false" ht="15.75" hidden="false" customHeight="true" outlineLevel="0" collapsed="false">
      <c r="C10" s="2" t="s">
        <v>12</v>
      </c>
      <c r="D10" s="3" t="s">
        <v>13</v>
      </c>
      <c r="E10" s="3" t="s">
        <v>14</v>
      </c>
      <c r="F10" s="3" t="s">
        <v>15</v>
      </c>
      <c r="H10" s="3" t="s">
        <v>13</v>
      </c>
      <c r="I10" s="3" t="s">
        <v>14</v>
      </c>
      <c r="J10" s="3" t="s">
        <v>15</v>
      </c>
      <c r="P10" s="3" t="s">
        <v>16</v>
      </c>
      <c r="Q10" s="3" t="s">
        <v>17</v>
      </c>
      <c r="R10" s="6" t="n">
        <v>4</v>
      </c>
      <c r="S10" s="6" t="n">
        <v>4</v>
      </c>
      <c r="T10" s="6" t="n">
        <v>4</v>
      </c>
    </row>
    <row r="11" customFormat="false" ht="15.75" hidden="false" customHeight="true" outlineLevel="0" collapsed="false">
      <c r="C11" s="2" t="s">
        <v>18</v>
      </c>
      <c r="D11" s="8" t="n">
        <v>29.5</v>
      </c>
      <c r="E11" s="4" t="n">
        <f aca="false">D11</f>
        <v>29.5</v>
      </c>
      <c r="F11" s="4" t="n">
        <f aca="false">E11</f>
        <v>29.5</v>
      </c>
      <c r="G11" s="4" t="n">
        <f aca="false">F11</f>
        <v>29.5</v>
      </c>
      <c r="H11" s="4" t="n">
        <f aca="false">D11</f>
        <v>29.5</v>
      </c>
      <c r="I11" s="4" t="n">
        <f aca="false">H11</f>
        <v>29.5</v>
      </c>
      <c r="J11" s="4" t="n">
        <f aca="false">I11</f>
        <v>29.5</v>
      </c>
      <c r="K11" s="4"/>
      <c r="L11" s="3" t="s">
        <v>13</v>
      </c>
      <c r="M11" s="3" t="s">
        <v>14</v>
      </c>
      <c r="N11" s="3" t="s">
        <v>15</v>
      </c>
      <c r="P11" s="1" t="s">
        <v>19</v>
      </c>
      <c r="R11" s="9" t="n">
        <v>0.175</v>
      </c>
      <c r="S11" s="9" t="n">
        <v>0.175</v>
      </c>
      <c r="T11" s="9" t="n">
        <v>0.175</v>
      </c>
    </row>
    <row r="12" customFormat="false" ht="15.75" hidden="false" customHeight="true" outlineLevel="0" collapsed="false">
      <c r="C12" s="2" t="s">
        <v>20</v>
      </c>
      <c r="D12" s="4" t="n">
        <v>1.6646</v>
      </c>
      <c r="E12" s="4" t="n">
        <v>1.7056</v>
      </c>
      <c r="F12" s="4" t="n">
        <v>0</v>
      </c>
      <c r="H12" s="1" t="n">
        <f aca="false">(H$11*R$5*R$9)/R$17/R$6</f>
        <v>3.02564102564103</v>
      </c>
      <c r="I12" s="1" t="n">
        <f aca="false">(I$11*S$5*S$9)/S$17/S$6</f>
        <v>2.45833333333333</v>
      </c>
      <c r="J12" s="1" t="n">
        <f aca="false">(J$11*T$5*T$9)/T$17/T$6</f>
        <v>0</v>
      </c>
      <c r="P12" s="1" t="s">
        <v>21</v>
      </c>
      <c r="Q12" s="1" t="s">
        <v>5</v>
      </c>
      <c r="R12" s="7" t="n">
        <f aca="false">(H11*R11)+H11</f>
        <v>34.6625</v>
      </c>
      <c r="S12" s="7" t="n">
        <f aca="false">(I11*S11)+I11</f>
        <v>34.6625</v>
      </c>
      <c r="T12" s="7" t="n">
        <f aca="false">(J11*T11)+J11</f>
        <v>34.6625</v>
      </c>
      <c r="V12" s="7" t="n">
        <f aca="false">R12*R5*R9</f>
        <v>5268.7</v>
      </c>
      <c r="W12" s="10" t="n">
        <f aca="false">S12*S5*S9</f>
        <v>5268.7</v>
      </c>
      <c r="X12" s="10" t="n">
        <f aca="false">W12-(X6*T10)</f>
        <v>784.7</v>
      </c>
    </row>
    <row r="13" customFormat="false" ht="15.75" hidden="false" customHeight="true" outlineLevel="0" collapsed="false">
      <c r="C13" s="2" t="s">
        <v>22</v>
      </c>
      <c r="D13" s="4" t="n">
        <v>0.279</v>
      </c>
      <c r="E13" s="4" t="n">
        <v>0.2986</v>
      </c>
      <c r="F13" s="4" t="n">
        <v>0</v>
      </c>
      <c r="H13" s="11" t="n">
        <f aca="false">H12*R11</f>
        <v>0.529487179487179</v>
      </c>
      <c r="I13" s="11" t="n">
        <f aca="false">I12*S11</f>
        <v>0.430208333333333</v>
      </c>
      <c r="J13" s="11" t="n">
        <f aca="false">J12*T11</f>
        <v>0</v>
      </c>
      <c r="P13" s="1" t="s">
        <v>23</v>
      </c>
      <c r="Q13" s="1" t="s">
        <v>17</v>
      </c>
      <c r="R13" s="12"/>
      <c r="S13" s="12"/>
      <c r="T13" s="12"/>
    </row>
    <row r="14" customFormat="false" ht="15.75" hidden="false" customHeight="true" outlineLevel="0" collapsed="false">
      <c r="C14" s="2" t="s">
        <v>19</v>
      </c>
      <c r="D14" s="4" t="n">
        <v>0.3401</v>
      </c>
      <c r="E14" s="4" t="n">
        <v>0.2986</v>
      </c>
      <c r="F14" s="4" t="n">
        <v>0</v>
      </c>
      <c r="H14" s="11" t="n">
        <f aca="false">(H13*(1+R24))</f>
        <v>0.615264102564102</v>
      </c>
      <c r="I14" s="11" t="n">
        <f aca="false">(I13*(1+S24))</f>
        <v>0.499902083333333</v>
      </c>
      <c r="J14" s="11" t="n">
        <f aca="false">(J13*(1+T24))</f>
        <v>0</v>
      </c>
      <c r="P14" s="1" t="s">
        <v>24</v>
      </c>
      <c r="Q14" s="1" t="s">
        <v>8</v>
      </c>
      <c r="R14" s="6" t="n">
        <v>10</v>
      </c>
      <c r="S14" s="6" t="n">
        <v>0</v>
      </c>
      <c r="T14" s="6" t="n">
        <v>0</v>
      </c>
      <c r="V14" s="7" t="n">
        <f aca="false">V5*R14</f>
        <v>2242</v>
      </c>
      <c r="W14" s="1" t="n">
        <f aca="false">W5*S14</f>
        <v>0</v>
      </c>
      <c r="X14" s="1" t="n">
        <f aca="false">X5*T14</f>
        <v>0</v>
      </c>
    </row>
    <row r="15" customFormat="false" ht="15.75" hidden="false" customHeight="true" outlineLevel="0" collapsed="false">
      <c r="C15" s="2" t="s">
        <v>24</v>
      </c>
      <c r="D15" s="4" t="n">
        <v>0.8323</v>
      </c>
      <c r="E15" s="4" t="n">
        <v>0</v>
      </c>
      <c r="F15" s="4" t="n">
        <v>0</v>
      </c>
      <c r="H15" s="11"/>
      <c r="I15" s="11"/>
      <c r="J15" s="11"/>
      <c r="L15" s="1" t="n">
        <f aca="false">$D11*R5*R9</f>
        <v>4484</v>
      </c>
      <c r="M15" s="1" t="n">
        <f aca="false">$D11*S5*S9</f>
        <v>4484</v>
      </c>
      <c r="N15" s="1" t="n">
        <f aca="false">$D11*T5*T9</f>
        <v>0</v>
      </c>
      <c r="P15" s="1" t="s">
        <v>25</v>
      </c>
      <c r="Q15" s="1" t="s">
        <v>8</v>
      </c>
      <c r="R15" s="6" t="n">
        <v>10</v>
      </c>
      <c r="S15" s="6" t="n">
        <v>0</v>
      </c>
      <c r="T15" s="6" t="n">
        <v>0</v>
      </c>
      <c r="V15" s="7" t="n">
        <f aca="false">V5*R15</f>
        <v>2242</v>
      </c>
      <c r="W15" s="1" t="n">
        <f aca="false">W5*S15</f>
        <v>0</v>
      </c>
      <c r="X15" s="1" t="n">
        <f aca="false">X5*T15</f>
        <v>0</v>
      </c>
    </row>
    <row r="16" customFormat="false" ht="15.75" hidden="false" customHeight="true" outlineLevel="0" collapsed="false">
      <c r="C16" s="2" t="s">
        <v>25</v>
      </c>
      <c r="D16" s="4" t="n">
        <v>0.8323</v>
      </c>
      <c r="E16" s="4" t="n">
        <v>0</v>
      </c>
      <c r="F16" s="4" t="n">
        <v>0</v>
      </c>
      <c r="H16" s="11"/>
      <c r="I16" s="11"/>
      <c r="J16" s="11"/>
      <c r="P16" s="1" t="s">
        <v>26</v>
      </c>
      <c r="Q16" s="1" t="s">
        <v>10</v>
      </c>
      <c r="R16" s="6" t="n">
        <v>5</v>
      </c>
      <c r="S16" s="6" t="n">
        <v>0</v>
      </c>
      <c r="T16" s="6" t="n">
        <v>0</v>
      </c>
      <c r="V16" s="7" t="n">
        <f aca="false">(R16*V6)</f>
        <v>5605</v>
      </c>
      <c r="W16" s="1" t="n">
        <f aca="false">(S16*W6)</f>
        <v>0</v>
      </c>
      <c r="X16" s="1" t="n">
        <f aca="false">(T16*X6)</f>
        <v>0</v>
      </c>
    </row>
    <row r="17" customFormat="false" ht="15.75" hidden="false" customHeight="true" outlineLevel="0" collapsed="false">
      <c r="C17" s="2" t="s">
        <v>27</v>
      </c>
      <c r="D17" s="4" t="n">
        <v>2.0808</v>
      </c>
      <c r="E17" s="4" t="n">
        <v>0</v>
      </c>
      <c r="F17" s="4" t="n">
        <v>0</v>
      </c>
      <c r="H17" s="11"/>
      <c r="I17" s="11"/>
      <c r="J17" s="11"/>
      <c r="P17" s="1" t="s">
        <v>28</v>
      </c>
      <c r="Q17" s="1" t="s">
        <v>10</v>
      </c>
      <c r="R17" s="6" t="n">
        <f aca="false">R8-(R9/R7)-R16-((R15+R14)/R7)</f>
        <v>39</v>
      </c>
      <c r="S17" s="6" t="n">
        <f aca="false">S8-(S9/S7)-S16-((S15+S14)/S7)</f>
        <v>48</v>
      </c>
      <c r="T17" s="6" t="n">
        <f aca="false">T8-(T9/T7)-T16-((T15+T14)/T7)</f>
        <v>52</v>
      </c>
      <c r="V17" s="7" t="n">
        <f aca="false">(V6*R17)+SUM(V12:V16)</f>
        <v>59076.7</v>
      </c>
      <c r="W17" s="7" t="n">
        <f aca="false">(W6*S17)+SUM(W12:W16)</f>
        <v>59076.7</v>
      </c>
      <c r="X17" s="7" t="n">
        <f aca="false">(X6*T17)+SUM(X12:X16)</f>
        <v>59076.7</v>
      </c>
    </row>
    <row r="18" customFormat="false" ht="15.75" hidden="false" customHeight="true" outlineLevel="0" collapsed="false">
      <c r="C18" s="2" t="s">
        <v>29</v>
      </c>
      <c r="D18" s="4" t="n">
        <v>0.5735</v>
      </c>
      <c r="E18" s="4" t="n">
        <v>0.5753</v>
      </c>
      <c r="F18" s="4" t="n">
        <v>0.5753</v>
      </c>
      <c r="H18" s="11"/>
      <c r="I18" s="11"/>
      <c r="J18" s="11"/>
      <c r="P18" s="1" t="s">
        <v>29</v>
      </c>
      <c r="Q18" s="1" t="s">
        <v>30</v>
      </c>
      <c r="R18" s="13" t="n">
        <v>850</v>
      </c>
      <c r="S18" s="13" t="n">
        <v>850</v>
      </c>
      <c r="T18" s="13" t="n">
        <v>850</v>
      </c>
      <c r="V18" s="14" t="n">
        <f aca="false">R18</f>
        <v>850</v>
      </c>
      <c r="W18" s="15" t="n">
        <f aca="false">S18/S27</f>
        <v>0.466008771929825</v>
      </c>
      <c r="X18" s="15" t="n">
        <f aca="false">T18/T27</f>
        <v>0.430161943319838</v>
      </c>
    </row>
    <row r="19" customFormat="false" ht="15.75" hidden="false" customHeight="true" outlineLevel="0" collapsed="false">
      <c r="C19" s="2" t="s">
        <v>31</v>
      </c>
      <c r="D19" s="4" t="n">
        <v>0.2362</v>
      </c>
      <c r="E19" s="4" t="n">
        <v>0.2024</v>
      </c>
      <c r="F19" s="4" t="n">
        <v>0.2024</v>
      </c>
      <c r="H19" s="11"/>
      <c r="I19" s="11"/>
      <c r="J19" s="11"/>
      <c r="P19" s="1" t="s">
        <v>32</v>
      </c>
      <c r="Q19" s="1" t="s">
        <v>30</v>
      </c>
      <c r="R19" s="13" t="n">
        <v>300</v>
      </c>
      <c r="S19" s="13" t="n">
        <v>300</v>
      </c>
      <c r="T19" s="13" t="n">
        <v>300</v>
      </c>
      <c r="V19" s="7" t="n">
        <f aca="false">R19/R27</f>
        <v>0.202429149797571</v>
      </c>
      <c r="W19" s="16" t="n">
        <f aca="false">S19/S27</f>
        <v>0.164473684210526</v>
      </c>
      <c r="X19" s="16" t="n">
        <f aca="false">T19/T27</f>
        <v>0.151821862348178</v>
      </c>
    </row>
    <row r="20" customFormat="false" ht="15.75" hidden="false" customHeight="true" outlineLevel="0" collapsed="false">
      <c r="C20" s="2" t="s">
        <v>33</v>
      </c>
      <c r="D20" s="4" t="n">
        <v>2.6529</v>
      </c>
      <c r="E20" s="4" t="n">
        <v>2.2775</v>
      </c>
      <c r="F20" s="4" t="n">
        <v>2.0177</v>
      </c>
      <c r="H20" s="11"/>
      <c r="I20" s="5"/>
      <c r="K20" s="1" t="s">
        <v>1</v>
      </c>
      <c r="P20" s="1" t="s">
        <v>34</v>
      </c>
      <c r="Q20" s="1" t="s">
        <v>17</v>
      </c>
      <c r="R20" s="17"/>
      <c r="S20" s="17"/>
      <c r="T20" s="17"/>
      <c r="V20" s="18" t="n">
        <f aca="false">R8-R17</f>
        <v>13</v>
      </c>
      <c r="W20" s="18" t="n">
        <f aca="false">S8-S17</f>
        <v>4</v>
      </c>
      <c r="X20" s="18" t="n">
        <f aca="false">T8-T17</f>
        <v>0</v>
      </c>
    </row>
    <row r="21" customFormat="false" ht="15.75" hidden="false" customHeight="true" outlineLevel="0" collapsed="false">
      <c r="C21" s="2" t="s">
        <v>35</v>
      </c>
      <c r="D21" s="4" t="n">
        <v>0.7628</v>
      </c>
      <c r="E21" s="4" t="n">
        <v>0.7816</v>
      </c>
      <c r="F21" s="4" t="n">
        <v>0.7816</v>
      </c>
      <c r="H21" s="11"/>
      <c r="I21" s="1" t="s">
        <v>4</v>
      </c>
      <c r="J21" s="1" t="s">
        <v>5</v>
      </c>
      <c r="K21" s="1" t="n">
        <v>7.6</v>
      </c>
      <c r="R21" s="17"/>
      <c r="S21" s="17"/>
      <c r="T21" s="17"/>
      <c r="V21" s="18" t="n">
        <f aca="false">V20*V6</f>
        <v>14573</v>
      </c>
      <c r="W21" s="18" t="n">
        <f aca="false">W20*W6</f>
        <v>4484</v>
      </c>
      <c r="X21" s="18" t="n">
        <f aca="false">X20*X6</f>
        <v>0</v>
      </c>
    </row>
    <row r="22" customFormat="false" ht="15.75" hidden="false" customHeight="true" outlineLevel="0" collapsed="false">
      <c r="C22" s="2" t="s">
        <v>36</v>
      </c>
      <c r="D22" s="4" t="n">
        <v>26.48</v>
      </c>
      <c r="E22" s="4" t="n">
        <v>22.81</v>
      </c>
      <c r="F22" s="4" t="n">
        <v>20.19</v>
      </c>
      <c r="H22" s="11"/>
      <c r="I22" s="1" t="s">
        <v>6</v>
      </c>
      <c r="J22" s="1" t="s">
        <v>5</v>
      </c>
      <c r="K22" s="1" t="n">
        <v>38</v>
      </c>
      <c r="P22" s="1" t="s">
        <v>33</v>
      </c>
      <c r="R22" s="9" t="n">
        <v>0.115</v>
      </c>
      <c r="S22" s="9" t="n">
        <v>0.115</v>
      </c>
      <c r="T22" s="9" t="n">
        <v>0.115</v>
      </c>
      <c r="V22" s="7" t="n">
        <f aca="false">V$17*R22</f>
        <v>6793.8205</v>
      </c>
      <c r="W22" s="7" t="n">
        <f aca="false">W$17*S22</f>
        <v>6793.8205</v>
      </c>
      <c r="X22" s="7" t="n">
        <f aca="false">X$17*T22</f>
        <v>6793.8205</v>
      </c>
    </row>
    <row r="23" customFormat="false" ht="15.75" hidden="false" customHeight="true" outlineLevel="0" collapsed="false">
      <c r="C23" s="2" t="s">
        <v>37</v>
      </c>
      <c r="D23" s="4" t="n">
        <v>19.864</v>
      </c>
      <c r="E23" s="4" t="n">
        <v>17.165</v>
      </c>
      <c r="F23" s="4" t="n">
        <v>17.165</v>
      </c>
      <c r="H23" s="11"/>
      <c r="I23" s="1" t="s">
        <v>7</v>
      </c>
      <c r="J23" s="1" t="s">
        <v>8</v>
      </c>
      <c r="K23" s="1" t="n">
        <v>5</v>
      </c>
      <c r="P23" s="1" t="s">
        <v>35</v>
      </c>
      <c r="R23" s="9" t="n">
        <v>0.047</v>
      </c>
      <c r="S23" s="9" t="n">
        <v>0.047</v>
      </c>
      <c r="T23" s="9" t="n">
        <v>0.047</v>
      </c>
      <c r="V23" s="7" t="n">
        <f aca="false">(V$17*R23)-((R23*V6)*R10)</f>
        <v>2565.8569</v>
      </c>
      <c r="W23" s="7" t="n">
        <f aca="false">(W$17*S23)-((S23*W6)*S10)</f>
        <v>2565.8569</v>
      </c>
      <c r="X23" s="7" t="n">
        <f aca="false">(X$17*T23)-((T23*X6)*T10)</f>
        <v>2565.8569</v>
      </c>
    </row>
    <row r="24" customFormat="false" ht="15.75" hidden="false" customHeight="true" outlineLevel="0" collapsed="false">
      <c r="C24" s="2" t="s">
        <v>38</v>
      </c>
      <c r="D24" s="4" t="n">
        <v>31.74</v>
      </c>
      <c r="E24" s="4" t="n">
        <v>26.73</v>
      </c>
      <c r="F24" s="4" t="n">
        <v>23.66</v>
      </c>
      <c r="H24" s="11"/>
      <c r="I24" s="1" t="s">
        <v>9</v>
      </c>
      <c r="J24" s="1" t="s">
        <v>10</v>
      </c>
      <c r="K24" s="1" t="n">
        <v>52</v>
      </c>
      <c r="R24" s="12" t="n">
        <f aca="false">R22+R23</f>
        <v>0.162</v>
      </c>
      <c r="S24" s="12" t="n">
        <f aca="false">S22+S23</f>
        <v>0.162</v>
      </c>
      <c r="T24" s="12" t="n">
        <f aca="false">T22+T23</f>
        <v>0.162</v>
      </c>
      <c r="V24" s="7" t="n">
        <f aca="false">SUM(V22:V23)</f>
        <v>9359.6774</v>
      </c>
      <c r="W24" s="7" t="n">
        <f aca="false">SUM(W22:W23)</f>
        <v>9359.6774</v>
      </c>
      <c r="X24" s="7" t="n">
        <f aca="false">SUM(X22:X23)</f>
        <v>9359.6774</v>
      </c>
    </row>
    <row r="25" customFormat="false" ht="15.75" hidden="false" customHeight="true" outlineLevel="0" collapsed="false">
      <c r="C25" s="2" t="s">
        <v>39</v>
      </c>
      <c r="D25" s="5" t="n">
        <v>46750.16</v>
      </c>
      <c r="E25" s="5" t="n">
        <v>46751.16</v>
      </c>
      <c r="F25" s="5" t="n">
        <v>46752.16</v>
      </c>
      <c r="H25" s="11"/>
      <c r="I25" s="1" t="s">
        <v>11</v>
      </c>
      <c r="J25" s="1" t="s">
        <v>8</v>
      </c>
      <c r="K25" s="1" t="n">
        <v>20</v>
      </c>
      <c r="P25" s="1" t="s">
        <v>40</v>
      </c>
      <c r="R25" s="12"/>
      <c r="S25" s="12"/>
      <c r="T25" s="12"/>
      <c r="V25" s="7" t="n">
        <f aca="false">SUM(R18:R19)+V24</f>
        <v>10509.6774</v>
      </c>
      <c r="W25" s="7" t="n">
        <f aca="false">SUM(S18:S19)+W24</f>
        <v>10509.6774</v>
      </c>
      <c r="X25" s="7" t="n">
        <f aca="false">SUM(T18:T19)+X24</f>
        <v>10509.6774</v>
      </c>
    </row>
    <row r="26" customFormat="false" ht="15.75" hidden="false" customHeight="true" outlineLevel="0" collapsed="false">
      <c r="I26" s="3" t="s">
        <v>16</v>
      </c>
      <c r="J26" s="3" t="s">
        <v>17</v>
      </c>
      <c r="K26" s="1" t="n">
        <v>4</v>
      </c>
      <c r="P26" s="1" t="s">
        <v>41</v>
      </c>
      <c r="R26" s="1" t="n">
        <f aca="false">R17*R7</f>
        <v>195</v>
      </c>
      <c r="S26" s="1" t="n">
        <f aca="false">S17*S7</f>
        <v>240</v>
      </c>
      <c r="T26" s="1" t="n">
        <f aca="false">T17*T7</f>
        <v>260</v>
      </c>
      <c r="V26" s="7" t="n">
        <f aca="false">V25/R26</f>
        <v>53.8957815384615</v>
      </c>
      <c r="W26" s="7" t="n">
        <f aca="false">W25/S26</f>
        <v>43.7903225</v>
      </c>
      <c r="X26" s="7" t="n">
        <f aca="false">X25/T26</f>
        <v>40.4218361538462</v>
      </c>
      <c r="Y26" s="1" t="n">
        <f aca="false">16.95*11.5%</f>
        <v>1.94925</v>
      </c>
    </row>
    <row r="27" customFormat="false" ht="15.75" hidden="false" customHeight="true" outlineLevel="0" collapsed="false">
      <c r="I27" s="1" t="s">
        <v>19</v>
      </c>
      <c r="K27" s="12" t="n">
        <v>0.175</v>
      </c>
      <c r="P27" s="1" t="s">
        <v>42</v>
      </c>
      <c r="R27" s="1" t="n">
        <f aca="false">R26*R5</f>
        <v>1482</v>
      </c>
      <c r="S27" s="1" t="n">
        <f aca="false">S26*S5</f>
        <v>1824</v>
      </c>
      <c r="T27" s="1" t="n">
        <f aca="false">T26*T5</f>
        <v>1976</v>
      </c>
      <c r="V27" s="7" t="n">
        <f aca="false">V25/R27</f>
        <v>7.09155020242915</v>
      </c>
      <c r="W27" s="7" t="n">
        <f aca="false">W25/S27</f>
        <v>5.76188453947369</v>
      </c>
      <c r="X27" s="7" t="n">
        <f aca="false">X25/T27</f>
        <v>5.31866265182186</v>
      </c>
    </row>
    <row r="28" customFormat="false" ht="15.75" hidden="false" customHeight="true" outlineLevel="0" collapsed="false">
      <c r="C28" s="2" t="s">
        <v>43</v>
      </c>
      <c r="D28" s="1" t="n">
        <f aca="false">SUM(D12:D21)</f>
        <v>10.2545</v>
      </c>
      <c r="K28" s="7"/>
      <c r="P28" s="1" t="s">
        <v>19</v>
      </c>
      <c r="R28" s="1" t="n">
        <f aca="false">H11*R11</f>
        <v>5.1625</v>
      </c>
      <c r="S28" s="1" t="n">
        <f aca="false">I11*S11</f>
        <v>5.1625</v>
      </c>
      <c r="T28" s="1" t="n">
        <f aca="false">J11*T11</f>
        <v>5.1625</v>
      </c>
      <c r="U28" s="1" t="s">
        <v>44</v>
      </c>
      <c r="V28" s="7" t="n">
        <f aca="false">V17+V25</f>
        <v>69586.3774</v>
      </c>
      <c r="W28" s="7" t="n">
        <f aca="false">W17+W25</f>
        <v>69586.3774</v>
      </c>
      <c r="X28" s="7" t="n">
        <f aca="false">X17+X25</f>
        <v>69586.3774</v>
      </c>
    </row>
    <row r="29" customFormat="false" ht="15.75" hidden="false" customHeight="true" outlineLevel="0" collapsed="false">
      <c r="K29" s="12"/>
      <c r="P29" s="1" t="s">
        <v>45</v>
      </c>
      <c r="R29" s="19" t="n">
        <f aca="false">((H11*1.175)-H11)*R5*R9</f>
        <v>784.7</v>
      </c>
      <c r="S29" s="19" t="n">
        <f aca="false">((I11*1.175)-I11)*S5*S9</f>
        <v>784.7</v>
      </c>
      <c r="T29" s="19" t="n">
        <f aca="false">((J11*1.175)-J11)*T5*T10</f>
        <v>156.94</v>
      </c>
      <c r="U29" s="1" t="s">
        <v>46</v>
      </c>
      <c r="V29" s="7" t="n">
        <f aca="false">(V28/R27)-H11+V19</f>
        <v>17.6567998650472</v>
      </c>
      <c r="W29" s="7" t="n">
        <f aca="false">(W28/S27)-I11</f>
        <v>8.65042620614035</v>
      </c>
      <c r="X29" s="7" t="n">
        <f aca="false">(X28/T27)-J11</f>
        <v>5.71577803643724</v>
      </c>
    </row>
    <row r="30" customFormat="false" ht="15.75" hidden="false" customHeight="true" outlineLevel="0" collapsed="false">
      <c r="I30" s="1" t="s">
        <v>24</v>
      </c>
      <c r="J30" s="1" t="s">
        <v>8</v>
      </c>
      <c r="K30" s="1" t="n">
        <v>10</v>
      </c>
      <c r="P30" s="1" t="s">
        <v>47</v>
      </c>
      <c r="R30" s="19" t="n">
        <f aca="false">R29/R27</f>
        <v>0.52948717948718</v>
      </c>
      <c r="S30" s="19" t="n">
        <f aca="false">S29/S27</f>
        <v>0.430208333333333</v>
      </c>
      <c r="T30" s="19" t="n">
        <f aca="false">T29/T27</f>
        <v>0.0794230769230769</v>
      </c>
      <c r="U30" s="1" t="s">
        <v>48</v>
      </c>
      <c r="V30" s="20" t="n">
        <v>0.15</v>
      </c>
      <c r="W30" s="21" t="n">
        <f aca="false">V30</f>
        <v>0.15</v>
      </c>
      <c r="X30" s="21" t="n">
        <f aca="false">W30</f>
        <v>0.15</v>
      </c>
    </row>
    <row r="31" customFormat="false" ht="15.75" hidden="false" customHeight="true" outlineLevel="0" collapsed="false">
      <c r="I31" s="1" t="s">
        <v>25</v>
      </c>
      <c r="J31" s="1" t="s">
        <v>8</v>
      </c>
      <c r="K31" s="1" t="n">
        <v>10</v>
      </c>
      <c r="P31" s="1" t="s">
        <v>49</v>
      </c>
      <c r="R31" s="1" t="n">
        <f aca="false">H11*(1+R11)</f>
        <v>34.6625</v>
      </c>
      <c r="U31" s="1" t="s">
        <v>50</v>
      </c>
      <c r="V31" s="7" t="n">
        <f aca="false">V32-(H11+V29)</f>
        <v>7.07351997975708</v>
      </c>
      <c r="W31" s="7" t="n">
        <f aca="false">W32-(I11+W29)</f>
        <v>5.72256393092106</v>
      </c>
      <c r="X31" s="7" t="n">
        <f aca="false">X32-(J11+X29)</f>
        <v>5.28236670546558</v>
      </c>
    </row>
    <row r="32" customFormat="false" ht="15.75" hidden="false" customHeight="true" outlineLevel="0" collapsed="false">
      <c r="C32" s="22" t="s">
        <v>51</v>
      </c>
      <c r="D32" s="23" t="n">
        <f aca="false">(($D$11*$R$22)*($K$22)*K33)</f>
        <v>5027.685</v>
      </c>
      <c r="E32" s="24" t="n">
        <f aca="false">D32/R27</f>
        <v>3.3925</v>
      </c>
      <c r="I32" s="1" t="s">
        <v>26</v>
      </c>
      <c r="J32" s="1" t="s">
        <v>10</v>
      </c>
      <c r="K32" s="1" t="n">
        <v>5</v>
      </c>
      <c r="P32" s="1" t="s">
        <v>52</v>
      </c>
      <c r="R32" s="1" t="n">
        <f aca="false">R31*R22</f>
        <v>3.9861875</v>
      </c>
      <c r="U32" s="1" t="s">
        <v>53</v>
      </c>
      <c r="V32" s="28" t="n">
        <f aca="false">((H11+V29)*V30)+H11+V29</f>
        <v>54.2303198448043</v>
      </c>
      <c r="W32" s="28" t="n">
        <f aca="false">((I11+W29)*W30)+I11+W29</f>
        <v>43.8729901370614</v>
      </c>
      <c r="X32" s="28" t="n">
        <f aca="false">((J11+X29)*X30)+J11+X29</f>
        <v>40.4981447419028</v>
      </c>
    </row>
    <row r="33" customFormat="false" ht="15.75" hidden="false" customHeight="true" outlineLevel="0" collapsed="false">
      <c r="C33" s="1" t="s">
        <v>54</v>
      </c>
      <c r="D33" s="7" t="n">
        <f aca="false">(($D$11*$R$22)*($K$22)*K32)</f>
        <v>644.575</v>
      </c>
      <c r="I33" s="1" t="s">
        <v>55</v>
      </c>
      <c r="J33" s="1" t="s">
        <v>10</v>
      </c>
      <c r="K33" s="1" t="n">
        <f aca="false">K24-(K25/K23)-K32-((K31+K30)/K23)</f>
        <v>39</v>
      </c>
      <c r="P33" s="1" t="s">
        <v>56</v>
      </c>
      <c r="R33" s="1" t="n">
        <f aca="false">(R6*R8)-(R9*R5)</f>
        <v>1824</v>
      </c>
      <c r="S33" s="1" t="n">
        <f aca="false">(S6*S8)-(S9*S5)</f>
        <v>1824</v>
      </c>
      <c r="T33" s="1" t="n">
        <f aca="false">(T6*T8)-(T9*T5)</f>
        <v>1976</v>
      </c>
      <c r="U33" s="1" t="s">
        <v>57</v>
      </c>
      <c r="V33" s="7"/>
    </row>
    <row r="34" customFormat="false" ht="15.75" hidden="false" customHeight="true" outlineLevel="0" collapsed="false">
      <c r="C34" s="1" t="s">
        <v>58</v>
      </c>
      <c r="D34" s="7" t="n">
        <f aca="false">(($D$11*$R$22)*$K$21*K30)</f>
        <v>257.83</v>
      </c>
      <c r="I34" s="1" t="s">
        <v>29</v>
      </c>
      <c r="J34" s="1" t="s">
        <v>30</v>
      </c>
      <c r="K34" s="17" t="n">
        <v>850</v>
      </c>
      <c r="P34" s="1" t="s">
        <v>59</v>
      </c>
      <c r="R34" s="1" t="n">
        <f aca="false">R9*R5</f>
        <v>152</v>
      </c>
      <c r="S34" s="1" t="n">
        <f aca="false">S9*S5</f>
        <v>152</v>
      </c>
      <c r="T34" s="1" t="n">
        <f aca="false">T9*T5</f>
        <v>0</v>
      </c>
      <c r="U34" s="1" t="n">
        <v>1.5</v>
      </c>
      <c r="V34" s="7" t="n">
        <f aca="false">$U34*$D$11</f>
        <v>44.25</v>
      </c>
      <c r="W34" s="7" t="n">
        <f aca="false">$U34*$D$11</f>
        <v>44.25</v>
      </c>
      <c r="X34" s="7" t="n">
        <f aca="false">$U34*$D$11</f>
        <v>44.25</v>
      </c>
    </row>
    <row r="35" customFormat="false" ht="15.75" hidden="false" customHeight="true" outlineLevel="0" collapsed="false">
      <c r="C35" s="1" t="s">
        <v>60</v>
      </c>
      <c r="D35" s="7" t="n">
        <f aca="false">(($D$11*$R$22)*$K$21*K31)</f>
        <v>257.83</v>
      </c>
      <c r="I35" s="1" t="s">
        <v>32</v>
      </c>
      <c r="J35" s="1" t="s">
        <v>30</v>
      </c>
      <c r="K35" s="17" t="n">
        <v>300</v>
      </c>
      <c r="U35" s="1" t="n">
        <v>2</v>
      </c>
      <c r="V35" s="7" t="n">
        <f aca="false">$U35*$D$11</f>
        <v>59</v>
      </c>
      <c r="W35" s="7" t="n">
        <f aca="false">$U35*$D$11</f>
        <v>59</v>
      </c>
      <c r="X35" s="7" t="n">
        <f aca="false">$U35*$D$11</f>
        <v>59</v>
      </c>
    </row>
    <row r="36" customFormat="false" ht="15.75" hidden="false" customHeight="true" outlineLevel="0" collapsed="false">
      <c r="C36" s="1" t="s">
        <v>61</v>
      </c>
      <c r="D36" s="7" t="n">
        <f aca="false">D37*K27</f>
        <v>90.2405</v>
      </c>
      <c r="I36" s="1" t="s">
        <v>34</v>
      </c>
      <c r="J36" s="1" t="s">
        <v>17</v>
      </c>
      <c r="K36" s="17"/>
      <c r="U36" s="1" t="n">
        <v>2.5</v>
      </c>
      <c r="V36" s="7" t="n">
        <f aca="false">$U36*$D$11</f>
        <v>73.75</v>
      </c>
      <c r="W36" s="7" t="n">
        <f aca="false">$U36*$D$11</f>
        <v>73.75</v>
      </c>
      <c r="X36" s="7" t="n">
        <f aca="false">$U36*$D$11</f>
        <v>73.75</v>
      </c>
    </row>
    <row r="37" customFormat="false" ht="15.75" hidden="false" customHeight="true" outlineLevel="0" collapsed="false">
      <c r="C37" s="1" t="s">
        <v>62</v>
      </c>
      <c r="D37" s="7" t="n">
        <f aca="false">((K22*K26)*D11)*R22</f>
        <v>515.66</v>
      </c>
      <c r="K37" s="17"/>
    </row>
    <row r="38" customFormat="false" ht="15.75" hidden="false" customHeight="true" outlineLevel="0" collapsed="false">
      <c r="C38" s="26" t="s">
        <v>63</v>
      </c>
      <c r="D38" s="27" t="n">
        <f aca="false">SUM(D33:D37)</f>
        <v>1766.1355</v>
      </c>
      <c r="E38" s="27" t="n">
        <f aca="false">D38/(K33*K22)</f>
        <v>1.19172435897436</v>
      </c>
      <c r="I38" s="1" t="s">
        <v>33</v>
      </c>
      <c r="K38" s="12" t="n">
        <v>0.115</v>
      </c>
      <c r="P38" s="1" t="s">
        <v>64</v>
      </c>
      <c r="R38" s="10" t="n">
        <f aca="false">(V6*R8)+$X$12</f>
        <v>59076.7</v>
      </c>
      <c r="S38" s="10" t="n">
        <f aca="false">(W6*S8)+$X$12</f>
        <v>59076.7</v>
      </c>
      <c r="T38" s="10" t="n">
        <f aca="false">(X6*T8)+$X$12</f>
        <v>59076.7</v>
      </c>
      <c r="U38" s="1" t="s">
        <v>65</v>
      </c>
    </row>
    <row r="39" customFormat="false" ht="15.75" hidden="false" customHeight="true" outlineLevel="0" collapsed="false">
      <c r="I39" s="1" t="s">
        <v>35</v>
      </c>
      <c r="K39" s="12" t="n">
        <v>0.047</v>
      </c>
      <c r="U39" s="1" t="n">
        <f aca="false">U34</f>
        <v>1.5</v>
      </c>
      <c r="V39" s="10" t="n">
        <f aca="false">V34*R$23</f>
        <v>2.07975</v>
      </c>
      <c r="W39" s="10" t="n">
        <f aca="false">W34*S$23</f>
        <v>2.07975</v>
      </c>
      <c r="X39" s="10" t="n">
        <f aca="false">X34*T$23</f>
        <v>2.07975</v>
      </c>
    </row>
    <row r="40" customFormat="false" ht="15.75" hidden="false" customHeight="true" outlineLevel="0" collapsed="false">
      <c r="C40" s="1" t="s">
        <v>66</v>
      </c>
      <c r="E40" s="10" t="n">
        <f aca="false">E32+E38</f>
        <v>4.58422435897436</v>
      </c>
      <c r="U40" s="1" t="n">
        <f aca="false">U35</f>
        <v>2</v>
      </c>
      <c r="V40" s="10" t="n">
        <f aca="false">V35*R$23</f>
        <v>2.773</v>
      </c>
      <c r="W40" s="10" t="n">
        <f aca="false">W35*S$23</f>
        <v>2.773</v>
      </c>
      <c r="X40" s="10" t="n">
        <f aca="false">X35*T$23</f>
        <v>2.773</v>
      </c>
    </row>
    <row r="41" customFormat="false" ht="15.75" hidden="false" customHeight="true" outlineLevel="0" collapsed="false">
      <c r="U41" s="1" t="n">
        <f aca="false">U36</f>
        <v>2.5</v>
      </c>
      <c r="V41" s="10" t="n">
        <f aca="false">V36*R$23</f>
        <v>3.46625</v>
      </c>
      <c r="W41" s="10" t="n">
        <f aca="false">W36*S$23</f>
        <v>3.46625</v>
      </c>
      <c r="X41" s="10" t="n">
        <f aca="false">X36*T$23</f>
        <v>3.46625</v>
      </c>
    </row>
    <row r="42" customFormat="false" ht="15.75" hidden="false" customHeight="true" outlineLevel="0" collapsed="false">
      <c r="V42" s="10"/>
    </row>
    <row r="43" customFormat="false" ht="15.75" hidden="false" customHeight="true" outlineLevel="0" collapsed="false">
      <c r="U43" s="1" t="s">
        <v>67</v>
      </c>
      <c r="V43" s="10"/>
    </row>
    <row r="44" customFormat="false" ht="15.75" hidden="false" customHeight="true" outlineLevel="0" collapsed="false">
      <c r="I44" s="1" t="n">
        <v>5819.35</v>
      </c>
      <c r="J44" s="1" t="n">
        <v>2909.68</v>
      </c>
      <c r="K44" s="1" t="n">
        <f aca="false">+J44/2</f>
        <v>1454.84</v>
      </c>
      <c r="U44" s="1" t="n">
        <f aca="false">U39</f>
        <v>1.5</v>
      </c>
      <c r="V44" s="10" t="n">
        <f aca="false">V$30*V34</f>
        <v>6.6375</v>
      </c>
      <c r="W44" s="10" t="n">
        <f aca="false">W$30*W34</f>
        <v>6.6375</v>
      </c>
      <c r="X44" s="10" t="n">
        <f aca="false">X$30*X34</f>
        <v>6.6375</v>
      </c>
    </row>
    <row r="45" customFormat="false" ht="15.75" hidden="false" customHeight="true" outlineLevel="0" collapsed="false">
      <c r="I45" s="1" t="n">
        <f aca="false">I44/2</f>
        <v>2909.675</v>
      </c>
      <c r="U45" s="1" t="n">
        <f aca="false">U40</f>
        <v>2</v>
      </c>
      <c r="V45" s="10" t="n">
        <f aca="false">V$30*V35</f>
        <v>8.85</v>
      </c>
      <c r="W45" s="10" t="n">
        <f aca="false">W$30*W35</f>
        <v>8.85</v>
      </c>
      <c r="X45" s="10" t="n">
        <f aca="false">X$30*X35</f>
        <v>8.85</v>
      </c>
    </row>
    <row r="46" customFormat="false" ht="15.75" hidden="false" customHeight="true" outlineLevel="0" collapsed="false">
      <c r="U46" s="1" t="n">
        <f aca="false">U41</f>
        <v>2.5</v>
      </c>
      <c r="V46" s="10" t="n">
        <f aca="false">V$30*V36</f>
        <v>11.0625</v>
      </c>
      <c r="W46" s="10" t="n">
        <f aca="false">W$30*W36</f>
        <v>11.0625</v>
      </c>
      <c r="X46" s="10" t="n">
        <f aca="false">X$30*X36</f>
        <v>11.0625</v>
      </c>
    </row>
    <row r="47" customFormat="false" ht="15.75" hidden="false" customHeight="true" outlineLevel="0" collapsed="false">
      <c r="V47" s="10"/>
      <c r="W47" s="10"/>
      <c r="X47" s="10"/>
    </row>
    <row r="48" customFormat="false" ht="15.75" hidden="false" customHeight="true" outlineLevel="0" collapsed="false">
      <c r="U48" s="1" t="s">
        <v>68</v>
      </c>
    </row>
    <row r="49" customFormat="false" ht="15.75" hidden="false" customHeight="true" outlineLevel="0" collapsed="false">
      <c r="U49" s="1" t="n">
        <f aca="false">U44</f>
        <v>1.5</v>
      </c>
      <c r="V49" s="10" t="n">
        <f aca="false">V34+V39+V44</f>
        <v>52.96725</v>
      </c>
      <c r="W49" s="10" t="n">
        <f aca="false">W34+W39+W44</f>
        <v>52.96725</v>
      </c>
      <c r="X49" s="10" t="n">
        <f aca="false">X34+X39+X44</f>
        <v>52.96725</v>
      </c>
    </row>
    <row r="50" customFormat="false" ht="15.75" hidden="false" customHeight="true" outlineLevel="0" collapsed="false">
      <c r="U50" s="1" t="n">
        <f aca="false">U45</f>
        <v>2</v>
      </c>
      <c r="V50" s="10" t="n">
        <f aca="false">V35+V40+V45</f>
        <v>70.623</v>
      </c>
      <c r="W50" s="10" t="n">
        <f aca="false">W35+W40+W45</f>
        <v>70.623</v>
      </c>
      <c r="X50" s="10" t="n">
        <f aca="false">X35+X40+X45</f>
        <v>70.623</v>
      </c>
    </row>
    <row r="51" customFormat="false" ht="15.75" hidden="false" customHeight="true" outlineLevel="0" collapsed="false">
      <c r="U51" s="1" t="n">
        <f aca="false">U46</f>
        <v>2.5</v>
      </c>
      <c r="V51" s="10" t="n">
        <f aca="false">V36+V41+V46</f>
        <v>88.27875</v>
      </c>
      <c r="W51" s="10" t="n">
        <f aca="false">W36+W41+W46</f>
        <v>88.27875</v>
      </c>
      <c r="X51" s="10" t="n">
        <f aca="false">X36+X41+X46</f>
        <v>88.27875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2024-07-09T08:16:04Z</dcterms:created>
  <dc:creator>Braden Lang</dc:creator>
  <dc:description/>
  <dc:language>en-AU</dc:language>
  <cp:lastModifiedBy/>
  <dcterms:modified xsi:type="dcterms:W3CDTF">2025-02-12T20:10:29Z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