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g.zubkov\PycharmProjects\FinalProject\src\dxf_base\"/>
    </mc:Choice>
  </mc:AlternateContent>
  <xr:revisionPtr revIDLastSave="0" documentId="8_{BDE47EE3-FD94-4846-B7B4-B90EDDFE66E4}" xr6:coauthVersionLast="41" xr6:coauthVersionMax="41" xr10:uidLastSave="{00000000-0000-0000-0000-000000000000}"/>
  <bookViews>
    <workbookView xWindow="28680" yWindow="-120" windowWidth="29040" windowHeight="15840" activeTab="2" xr2:uid="{00000000-000D-0000-FFFF-FFFF00000000}"/>
  </bookViews>
  <sheets>
    <sheet name="Рабочий стол" sheetId="1" r:id="rId1"/>
    <sheet name="Спецификация" sheetId="3" r:id="rId2"/>
    <sheet name="Цены" sheetId="8" r:id="rId3"/>
    <sheet name="Клеммы" sheetId="6" r:id="rId4"/>
    <sheet name="Вводы" sheetId="5" r:id="rId5"/>
    <sheet name="Типы изделий" sheetId="2" r:id="rId6"/>
    <sheet name="Элементы управления" sheetId="7" r:id="rId7"/>
    <sheet name="Таблы" sheetId="4" r:id="rId8"/>
    <sheet name="Справочные материалы" sheetId="9" r:id="rId9"/>
    <sheet name="предоставленные цены" sheetId="10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1" hidden="1">Спецификация!$B$1:$H$187</definedName>
    <definedName name="_xlnm._FilterDatabase" localSheetId="2" hidden="1">Цены!$A$1:$A$1247</definedName>
    <definedName name="ВЗНМР">ВЗНМР_таб[Столбец1]</definedName>
    <definedName name="ВЗНТ">Таблица28[Столбец1]</definedName>
    <definedName name="КП">Таблица34[КП]</definedName>
    <definedName name="КСГ">Таблица35[КСГ]</definedName>
    <definedName name="Лампа">Таблица23[Лампа]</definedName>
    <definedName name="_xlnm.Print_Area" localSheetId="0">'Рабочий стол'!$A:$H</definedName>
    <definedName name="Окно">Таблица30[Окно]</definedName>
    <definedName name="ПАВ">'Элементы управления'!$O$23:$O$24</definedName>
    <definedName name="Переключатель__АВ">Таблица31[Переключатель (АВ)]</definedName>
    <definedName name="ПКП">Таблица33[ПКП]</definedName>
    <definedName name="ЩДК_О">Таблица24[ЩДК_О]</definedName>
    <definedName name="ЩДН_О">Таблица25[ЩДН_О]</definedName>
    <definedName name="ЭУЕ">'Элементы управления'!$O$100:$O$136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K12" i="8"/>
  <c r="A30" i="1"/>
  <c r="S265" i="4" l="1"/>
  <c r="H13" i="8"/>
  <c r="I958" i="8"/>
  <c r="I964" i="8"/>
  <c r="I1016" i="8"/>
  <c r="K3" i="8"/>
  <c r="C2" i="3" l="1"/>
  <c r="D2" i="3" s="1"/>
  <c r="BG3" i="1"/>
  <c r="BG16" i="1" s="1"/>
  <c r="BG5" i="1"/>
  <c r="BG17" i="1" s="1"/>
  <c r="I956" i="8" l="1"/>
  <c r="Q26" i="1" l="1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2" i="8"/>
  <c r="E1100" i="8"/>
  <c r="E1098" i="8"/>
  <c r="E1097" i="8"/>
  <c r="E1096" i="8"/>
  <c r="E1095" i="8"/>
  <c r="E1094" i="8"/>
  <c r="E1023" i="8"/>
  <c r="I1023" i="8" s="1"/>
  <c r="E1022" i="8"/>
  <c r="I1022" i="8" s="1"/>
  <c r="E1021" i="8"/>
  <c r="I1021" i="8" s="1"/>
  <c r="E1020" i="8"/>
  <c r="I1020" i="8" s="1"/>
  <c r="E1019" i="8"/>
  <c r="I1019" i="8" s="1"/>
  <c r="E1016" i="8"/>
  <c r="E1015" i="8"/>
  <c r="I1015" i="8" s="1"/>
  <c r="E1014" i="8"/>
  <c r="I1014" i="8" s="1"/>
  <c r="E1013" i="8"/>
  <c r="I1013" i="8" s="1"/>
  <c r="E1012" i="8"/>
  <c r="I1012" i="8" s="1"/>
  <c r="E1009" i="8"/>
  <c r="I1009" i="8" s="1"/>
  <c r="E1008" i="8"/>
  <c r="I1008" i="8" s="1"/>
  <c r="E1007" i="8"/>
  <c r="I1007" i="8" s="1"/>
  <c r="E1006" i="8"/>
  <c r="I1006" i="8" s="1"/>
  <c r="E1005" i="8"/>
  <c r="I1005" i="8" s="1"/>
  <c r="E1002" i="8"/>
  <c r="I1002" i="8" s="1"/>
  <c r="E1001" i="8"/>
  <c r="I1001" i="8" s="1"/>
  <c r="E1000" i="8"/>
  <c r="I1000" i="8" s="1"/>
  <c r="E999" i="8"/>
  <c r="I999" i="8" s="1"/>
  <c r="E998" i="8"/>
  <c r="I998" i="8" s="1"/>
  <c r="E995" i="8"/>
  <c r="I995" i="8" s="1"/>
  <c r="E994" i="8"/>
  <c r="I994" i="8" s="1"/>
  <c r="E993" i="8"/>
  <c r="I993" i="8" s="1"/>
  <c r="E992" i="8"/>
  <c r="I992" i="8" s="1"/>
  <c r="E991" i="8"/>
  <c r="I991" i="8" s="1"/>
  <c r="E990" i="8"/>
  <c r="I990" i="8" s="1"/>
  <c r="E985" i="8"/>
  <c r="I985" i="8" s="1"/>
  <c r="E984" i="8"/>
  <c r="I984" i="8" s="1"/>
  <c r="E983" i="8"/>
  <c r="I983" i="8" s="1"/>
  <c r="E982" i="8"/>
  <c r="I982" i="8" s="1"/>
  <c r="E981" i="8"/>
  <c r="I981" i="8" s="1"/>
  <c r="E980" i="8"/>
  <c r="I980" i="8" s="1"/>
  <c r="E973" i="8"/>
  <c r="I973" i="8" s="1"/>
  <c r="E972" i="8"/>
  <c r="I972" i="8" s="1"/>
  <c r="E971" i="8"/>
  <c r="I971" i="8" s="1"/>
  <c r="E970" i="8"/>
  <c r="I970" i="8" s="1"/>
  <c r="E969" i="8"/>
  <c r="I969" i="8" s="1"/>
  <c r="E968" i="8"/>
  <c r="I968" i="8" s="1"/>
  <c r="E961" i="8"/>
  <c r="I961" i="8" s="1"/>
  <c r="E960" i="8"/>
  <c r="I960" i="8" s="1"/>
  <c r="E959" i="8"/>
  <c r="I959" i="8" s="1"/>
  <c r="E958" i="8"/>
  <c r="E957" i="8"/>
  <c r="I957" i="8" s="1"/>
  <c r="E747" i="8"/>
  <c r="E746" i="8"/>
  <c r="E337" i="8"/>
  <c r="E336" i="8"/>
  <c r="E335" i="8"/>
  <c r="E334" i="8"/>
  <c r="E333" i="8"/>
  <c r="E332" i="8"/>
  <c r="E331" i="8"/>
  <c r="E330" i="8"/>
  <c r="E308" i="8"/>
  <c r="E307" i="8"/>
  <c r="E306" i="8"/>
  <c r="E305" i="8"/>
  <c r="E304" i="8"/>
  <c r="E303" i="8"/>
  <c r="E278" i="8"/>
  <c r="E277" i="8"/>
  <c r="E276" i="8"/>
  <c r="E275" i="8"/>
  <c r="E253" i="8"/>
  <c r="E252" i="8"/>
  <c r="E251" i="8"/>
  <c r="E250" i="8"/>
  <c r="E246" i="8"/>
  <c r="E245" i="8"/>
  <c r="E244" i="8"/>
  <c r="E243" i="8"/>
  <c r="E242" i="8"/>
  <c r="E241" i="8"/>
  <c r="E24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20" i="8"/>
  <c r="E19" i="8"/>
  <c r="E18" i="8"/>
  <c r="E17" i="8"/>
  <c r="E16" i="8"/>
  <c r="E15" i="8"/>
  <c r="E14" i="8"/>
  <c r="E13" i="8"/>
  <c r="E12" i="8"/>
  <c r="E11" i="8"/>
  <c r="I11" i="8" s="1"/>
  <c r="E10" i="8"/>
  <c r="E9" i="8"/>
  <c r="E8" i="8"/>
  <c r="E7" i="8"/>
  <c r="E6" i="8"/>
  <c r="E5" i="8"/>
  <c r="E4" i="8"/>
  <c r="E3" i="8"/>
  <c r="D47" i="10" l="1"/>
  <c r="D48" i="10" s="1"/>
  <c r="D49" i="10" s="1"/>
  <c r="D50" i="10" s="1"/>
  <c r="D51" i="10" s="1"/>
  <c r="D52" i="10" s="1"/>
  <c r="D53" i="10" s="1"/>
  <c r="D54" i="10" s="1"/>
  <c r="Q29" i="1" l="1"/>
  <c r="E1103" i="8"/>
  <c r="E1101" i="8"/>
  <c r="E1099" i="8"/>
  <c r="E1093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I1057" i="8" s="1"/>
  <c r="E1056" i="8"/>
  <c r="I1056" i="8" s="1"/>
  <c r="E1055" i="8"/>
  <c r="I1055" i="8" s="1"/>
  <c r="E1054" i="8"/>
  <c r="I1054" i="8" s="1"/>
  <c r="E1053" i="8"/>
  <c r="I1053" i="8" s="1"/>
  <c r="E1052" i="8"/>
  <c r="I1052" i="8" s="1"/>
  <c r="E1051" i="8"/>
  <c r="I1051" i="8" s="1"/>
  <c r="E1050" i="8"/>
  <c r="I1050" i="8" s="1"/>
  <c r="E1049" i="8"/>
  <c r="I1049" i="8" s="1"/>
  <c r="E1048" i="8"/>
  <c r="I1048" i="8" s="1"/>
  <c r="E1047" i="8"/>
  <c r="I1047" i="8" s="1"/>
  <c r="E1046" i="8"/>
  <c r="I1046" i="8" s="1"/>
  <c r="E1045" i="8"/>
  <c r="I1045" i="8" s="1"/>
  <c r="E1044" i="8"/>
  <c r="I1044" i="8" s="1"/>
  <c r="E1043" i="8"/>
  <c r="I1043" i="8" s="1"/>
  <c r="E1042" i="8"/>
  <c r="I1042" i="8" s="1"/>
  <c r="E1041" i="8"/>
  <c r="I1041" i="8" s="1"/>
  <c r="E1040" i="8"/>
  <c r="I1040" i="8" s="1"/>
  <c r="E1039" i="8"/>
  <c r="I1039" i="8" s="1"/>
  <c r="E1038" i="8"/>
  <c r="I1038" i="8" s="1"/>
  <c r="E1037" i="8"/>
  <c r="I1037" i="8" s="1"/>
  <c r="E1036" i="8"/>
  <c r="I1036" i="8" s="1"/>
  <c r="E1035" i="8"/>
  <c r="I1035" i="8" s="1"/>
  <c r="E1034" i="8"/>
  <c r="I1034" i="8" s="1"/>
  <c r="E1033" i="8"/>
  <c r="I1033" i="8" s="1"/>
  <c r="E1032" i="8"/>
  <c r="I1032" i="8" s="1"/>
  <c r="E1031" i="8"/>
  <c r="I1031" i="8" s="1"/>
  <c r="E1030" i="8"/>
  <c r="I1030" i="8" s="1"/>
  <c r="E1029" i="8"/>
  <c r="I1029" i="8" s="1"/>
  <c r="E1028" i="8"/>
  <c r="I1028" i="8" s="1"/>
  <c r="E1027" i="8"/>
  <c r="I1027" i="8" s="1"/>
  <c r="E1026" i="8"/>
  <c r="I1026" i="8" s="1"/>
  <c r="E1025" i="8"/>
  <c r="I1025" i="8" s="1"/>
  <c r="E1024" i="8"/>
  <c r="I1024" i="8" s="1"/>
  <c r="E1018" i="8"/>
  <c r="I1018" i="8" s="1"/>
  <c r="E1017" i="8"/>
  <c r="I1017" i="8" s="1"/>
  <c r="E1011" i="8"/>
  <c r="I1011" i="8" s="1"/>
  <c r="E1010" i="8"/>
  <c r="I1010" i="8" s="1"/>
  <c r="E1004" i="8"/>
  <c r="I1004" i="8" s="1"/>
  <c r="E1003" i="8"/>
  <c r="I1003" i="8" s="1"/>
  <c r="E997" i="8"/>
  <c r="I997" i="8" s="1"/>
  <c r="E996" i="8"/>
  <c r="I996" i="8" s="1"/>
  <c r="E989" i="8"/>
  <c r="I989" i="8" s="1"/>
  <c r="E988" i="8"/>
  <c r="I988" i="8" s="1"/>
  <c r="E987" i="8"/>
  <c r="I987" i="8" s="1"/>
  <c r="E986" i="8"/>
  <c r="I986" i="8" s="1"/>
  <c r="E979" i="8"/>
  <c r="I979" i="8" s="1"/>
  <c r="E978" i="8"/>
  <c r="I978" i="8" s="1"/>
  <c r="E977" i="8"/>
  <c r="I977" i="8" s="1"/>
  <c r="E976" i="8"/>
  <c r="I976" i="8" s="1"/>
  <c r="E975" i="8"/>
  <c r="I975" i="8" s="1"/>
  <c r="E974" i="8"/>
  <c r="I974" i="8" s="1"/>
  <c r="E967" i="8"/>
  <c r="I967" i="8" s="1"/>
  <c r="E966" i="8"/>
  <c r="I966" i="8" s="1"/>
  <c r="E965" i="8"/>
  <c r="I965" i="8" s="1"/>
  <c r="E964" i="8"/>
  <c r="E963" i="8"/>
  <c r="I963" i="8" s="1"/>
  <c r="E962" i="8"/>
  <c r="I962" i="8" s="1"/>
  <c r="E955" i="8"/>
  <c r="E954" i="8"/>
  <c r="E953" i="8"/>
  <c r="E952" i="8"/>
  <c r="E951" i="8"/>
  <c r="E950" i="8"/>
  <c r="E949" i="8"/>
  <c r="E948" i="8"/>
  <c r="E947" i="8"/>
  <c r="I947" i="8" s="1"/>
  <c r="E946" i="8"/>
  <c r="I946" i="8" s="1"/>
  <c r="E945" i="8"/>
  <c r="I945" i="8" s="1"/>
  <c r="E944" i="8"/>
  <c r="I944" i="8" s="1"/>
  <c r="E943" i="8"/>
  <c r="I943" i="8" s="1"/>
  <c r="E942" i="8"/>
  <c r="I942" i="8" s="1"/>
  <c r="E941" i="8"/>
  <c r="I941" i="8" s="1"/>
  <c r="E940" i="8"/>
  <c r="I940" i="8" s="1"/>
  <c r="E939" i="8"/>
  <c r="I939" i="8" s="1"/>
  <c r="E938" i="8"/>
  <c r="I938" i="8" s="1"/>
  <c r="E937" i="8"/>
  <c r="I937" i="8" s="1"/>
  <c r="E936" i="8"/>
  <c r="I936" i="8" s="1"/>
  <c r="E935" i="8"/>
  <c r="I935" i="8" s="1"/>
  <c r="E934" i="8"/>
  <c r="I934" i="8" s="1"/>
  <c r="E933" i="8"/>
  <c r="I933" i="8" s="1"/>
  <c r="E932" i="8"/>
  <c r="I932" i="8" s="1"/>
  <c r="E931" i="8"/>
  <c r="I931" i="8" s="1"/>
  <c r="E930" i="8"/>
  <c r="I930" i="8" s="1"/>
  <c r="E929" i="8"/>
  <c r="I929" i="8" s="1"/>
  <c r="E928" i="8"/>
  <c r="I928" i="8" s="1"/>
  <c r="E927" i="8"/>
  <c r="I927" i="8" s="1"/>
  <c r="E926" i="8"/>
  <c r="I926" i="8" s="1"/>
  <c r="E925" i="8"/>
  <c r="I925" i="8" s="1"/>
  <c r="E924" i="8"/>
  <c r="I924" i="8" s="1"/>
  <c r="E923" i="8"/>
  <c r="I923" i="8" s="1"/>
  <c r="E922" i="8"/>
  <c r="I922" i="8" s="1"/>
  <c r="E921" i="8"/>
  <c r="I921" i="8" s="1"/>
  <c r="E920" i="8"/>
  <c r="I920" i="8" s="1"/>
  <c r="E919" i="8"/>
  <c r="I919" i="8" s="1"/>
  <c r="E918" i="8"/>
  <c r="I918" i="8" s="1"/>
  <c r="E917" i="8"/>
  <c r="I917" i="8" s="1"/>
  <c r="E916" i="8"/>
  <c r="I916" i="8" s="1"/>
  <c r="E915" i="8"/>
  <c r="I915" i="8" s="1"/>
  <c r="E914" i="8"/>
  <c r="I914" i="8" s="1"/>
  <c r="E913" i="8"/>
  <c r="I913" i="8" s="1"/>
  <c r="E912" i="8"/>
  <c r="I912" i="8" s="1"/>
  <c r="E911" i="8"/>
  <c r="I911" i="8" s="1"/>
  <c r="E910" i="8"/>
  <c r="I910" i="8" s="1"/>
  <c r="E909" i="8"/>
  <c r="I909" i="8" s="1"/>
  <c r="E908" i="8"/>
  <c r="I908" i="8" s="1"/>
  <c r="E907" i="8"/>
  <c r="I907" i="8" s="1"/>
  <c r="E906" i="8"/>
  <c r="I906" i="8" s="1"/>
  <c r="E905" i="8"/>
  <c r="I905" i="8" s="1"/>
  <c r="E904" i="8"/>
  <c r="I904" i="8" s="1"/>
  <c r="E903" i="8"/>
  <c r="I903" i="8" s="1"/>
  <c r="E902" i="8"/>
  <c r="I902" i="8" s="1"/>
  <c r="E901" i="8"/>
  <c r="I901" i="8" s="1"/>
  <c r="E900" i="8"/>
  <c r="I900" i="8" s="1"/>
  <c r="E899" i="8"/>
  <c r="I899" i="8" s="1"/>
  <c r="E898" i="8"/>
  <c r="I898" i="8" s="1"/>
  <c r="E897" i="8"/>
  <c r="I897" i="8" s="1"/>
  <c r="E896" i="8"/>
  <c r="I896" i="8" s="1"/>
  <c r="E895" i="8"/>
  <c r="I895" i="8" s="1"/>
  <c r="E894" i="8"/>
  <c r="I894" i="8" s="1"/>
  <c r="E893" i="8"/>
  <c r="I893" i="8" s="1"/>
  <c r="E892" i="8"/>
  <c r="I892" i="8" s="1"/>
  <c r="E891" i="8"/>
  <c r="I891" i="8" s="1"/>
  <c r="E890" i="8"/>
  <c r="I890" i="8" s="1"/>
  <c r="E889" i="8"/>
  <c r="I889" i="8" s="1"/>
  <c r="E888" i="8"/>
  <c r="I888" i="8" s="1"/>
  <c r="E887" i="8"/>
  <c r="I887" i="8" s="1"/>
  <c r="E886" i="8"/>
  <c r="I886" i="8" s="1"/>
  <c r="E885" i="8"/>
  <c r="I885" i="8" s="1"/>
  <c r="E884" i="8"/>
  <c r="I884" i="8" s="1"/>
  <c r="E883" i="8"/>
  <c r="E882" i="8"/>
  <c r="E881" i="8"/>
  <c r="E880" i="8"/>
  <c r="E879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49" i="8"/>
  <c r="E248" i="8"/>
  <c r="E247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H655" i="8" l="1"/>
  <c r="H656" i="8"/>
  <c r="H674" i="8"/>
  <c r="H675" i="8"/>
  <c r="H680" i="8"/>
  <c r="H681" i="8"/>
  <c r="H14" i="8"/>
  <c r="H15" i="8"/>
  <c r="H20" i="8"/>
  <c r="H21" i="8"/>
  <c r="H27" i="8"/>
  <c r="H115" i="8"/>
  <c r="H126" i="8"/>
  <c r="H127" i="8"/>
  <c r="H243" i="8"/>
  <c r="H303" i="8"/>
  <c r="H307" i="8"/>
  <c r="H308" i="8"/>
  <c r="H330" i="8"/>
  <c r="H334" i="8"/>
  <c r="H335" i="8"/>
  <c r="H336" i="8"/>
  <c r="H393" i="8"/>
  <c r="H394" i="8"/>
  <c r="H401" i="8"/>
  <c r="S266" i="4"/>
  <c r="H651" i="8" s="1"/>
  <c r="S267" i="4"/>
  <c r="H657" i="8" s="1"/>
  <c r="S268" i="4"/>
  <c r="H676" i="8" s="1"/>
  <c r="S269" i="4"/>
  <c r="H17" i="8" s="1"/>
  <c r="S270" i="4"/>
  <c r="H128" i="8" s="1"/>
  <c r="S271" i="4"/>
  <c r="H245" i="8" s="1"/>
  <c r="S272" i="4"/>
  <c r="H337" i="8" s="1"/>
  <c r="S273" i="4"/>
  <c r="H22" i="8" s="1"/>
  <c r="S274" i="4"/>
  <c r="H26" i="8" s="1"/>
  <c r="S275" i="4"/>
  <c r="H28" i="8" s="1"/>
  <c r="H249" i="8" l="1"/>
  <c r="H254" i="8"/>
  <c r="H120" i="8"/>
  <c r="H253" i="8"/>
  <c r="H247" i="8"/>
  <c r="H241" i="8"/>
  <c r="H125" i="8"/>
  <c r="H119" i="8"/>
  <c r="H113" i="8"/>
  <c r="H25" i="8"/>
  <c r="H19" i="8"/>
  <c r="H699" i="8"/>
  <c r="H679" i="8"/>
  <c r="H673" i="8"/>
  <c r="H660" i="8"/>
  <c r="H654" i="8"/>
  <c r="H662" i="8"/>
  <c r="H339" i="8"/>
  <c r="H333" i="8"/>
  <c r="H306" i="8"/>
  <c r="H252" i="8"/>
  <c r="H246" i="8"/>
  <c r="H240" i="8"/>
  <c r="H124" i="8"/>
  <c r="H118" i="8"/>
  <c r="H30" i="8"/>
  <c r="H24" i="8"/>
  <c r="H18" i="8"/>
  <c r="H698" i="8"/>
  <c r="H678" i="8"/>
  <c r="H672" i="8"/>
  <c r="H659" i="8"/>
  <c r="H653" i="8"/>
  <c r="H121" i="8"/>
  <c r="H248" i="8"/>
  <c r="H114" i="8"/>
  <c r="H403" i="8"/>
  <c r="H332" i="8"/>
  <c r="H305" i="8"/>
  <c r="H251" i="8"/>
  <c r="H129" i="8"/>
  <c r="H123" i="8"/>
  <c r="H117" i="8"/>
  <c r="H29" i="8"/>
  <c r="H23" i="8"/>
  <c r="H697" i="8"/>
  <c r="H677" i="8"/>
  <c r="H671" i="8"/>
  <c r="H658" i="8"/>
  <c r="H652" i="8"/>
  <c r="H242" i="8"/>
  <c r="H661" i="8"/>
  <c r="H338" i="8"/>
  <c r="H402" i="8"/>
  <c r="H331" i="8"/>
  <c r="H304" i="8"/>
  <c r="H250" i="8"/>
  <c r="H244" i="8"/>
  <c r="H122" i="8"/>
  <c r="H116" i="8"/>
  <c r="H16" i="8"/>
  <c r="H696" i="8"/>
  <c r="H670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4" i="8"/>
  <c r="K5" i="8"/>
  <c r="K6" i="8"/>
  <c r="K7" i="8"/>
  <c r="K8" i="8"/>
  <c r="K9" i="8"/>
  <c r="K10" i="8"/>
  <c r="K11" i="8"/>
  <c r="K13" i="8"/>
  <c r="K14" i="8"/>
  <c r="K15" i="8"/>
  <c r="Z5" i="1" l="1"/>
  <c r="Q23" i="1"/>
  <c r="Q32" i="1"/>
  <c r="Q5" i="1"/>
  <c r="BD12" i="1" l="1"/>
  <c r="BD13" i="1"/>
  <c r="BD14" i="1"/>
  <c r="BD11" i="1"/>
  <c r="BD10" i="1"/>
  <c r="I252" i="8" l="1"/>
  <c r="I251" i="8"/>
  <c r="I250" i="8"/>
  <c r="I253" i="8"/>
  <c r="Z32" i="1"/>
  <c r="Z29" i="1"/>
  <c r="Z26" i="1"/>
  <c r="Z23" i="1"/>
  <c r="Q35" i="1"/>
  <c r="Z17" i="1"/>
  <c r="Z14" i="1"/>
  <c r="Z11" i="1"/>
  <c r="Z8" i="1"/>
  <c r="Q17" i="1"/>
  <c r="Q14" i="1"/>
  <c r="Q11" i="1"/>
  <c r="Q8" i="1"/>
  <c r="H140" i="3" l="1"/>
  <c r="H186" i="3"/>
  <c r="L47" i="9" l="1"/>
  <c r="P45" i="9"/>
  <c r="P46" i="9" s="1"/>
  <c r="P33" i="9" l="1"/>
  <c r="P34" i="9" s="1"/>
  <c r="L35" i="9" s="1"/>
  <c r="P21" i="9"/>
  <c r="P22" i="9" s="1"/>
  <c r="L23" i="9" s="1"/>
  <c r="P10" i="9"/>
  <c r="P11" i="9" s="1"/>
  <c r="U7" i="9"/>
  <c r="M1063" i="8" l="1"/>
  <c r="O1063" i="8" s="1"/>
  <c r="M1064" i="8"/>
  <c r="O1064" i="8" s="1"/>
  <c r="M1065" i="8"/>
  <c r="O1065" i="8" s="1"/>
  <c r="M1066" i="8"/>
  <c r="O1066" i="8" s="1"/>
  <c r="M1067" i="8"/>
  <c r="O1067" i="8" s="1"/>
  <c r="M1068" i="8"/>
  <c r="O1068" i="8" s="1"/>
  <c r="M1069" i="8"/>
  <c r="O1069" i="8" s="1"/>
  <c r="M1070" i="8"/>
  <c r="O1070" i="8" s="1"/>
  <c r="M1071" i="8"/>
  <c r="O1071" i="8" s="1"/>
  <c r="M1072" i="8"/>
  <c r="O1072" i="8" s="1"/>
  <c r="M1062" i="8"/>
  <c r="O1062" i="8" s="1"/>
  <c r="M26" i="4"/>
  <c r="N26" i="4" s="1"/>
  <c r="J26" i="4"/>
  <c r="K26" i="4" s="1"/>
  <c r="P26" i="4" s="1"/>
  <c r="M25" i="4"/>
  <c r="N25" i="4" s="1"/>
  <c r="J25" i="4"/>
  <c r="K25" i="4" s="1"/>
  <c r="P25" i="4" s="1"/>
  <c r="M24" i="4"/>
  <c r="N24" i="4" s="1"/>
  <c r="J24" i="4"/>
  <c r="K24" i="4" s="1"/>
  <c r="P24" i="4" s="1"/>
  <c r="M23" i="4"/>
  <c r="N23" i="4" s="1"/>
  <c r="J23" i="4"/>
  <c r="K23" i="4" s="1"/>
  <c r="P23" i="4" s="1"/>
  <c r="M22" i="4"/>
  <c r="N22" i="4" s="1"/>
  <c r="J22" i="4"/>
  <c r="K22" i="4" s="1"/>
  <c r="P22" i="4" s="1"/>
  <c r="M21" i="4"/>
  <c r="N21" i="4" s="1"/>
  <c r="J21" i="4"/>
  <c r="K21" i="4" s="1"/>
  <c r="P21" i="4" s="1"/>
  <c r="M20" i="4"/>
  <c r="N20" i="4" s="1"/>
  <c r="J20" i="4"/>
  <c r="K20" i="4" s="1"/>
  <c r="P20" i="4" s="1"/>
  <c r="M19" i="4"/>
  <c r="N19" i="4" s="1"/>
  <c r="J19" i="4"/>
  <c r="K19" i="4" s="1"/>
  <c r="P19" i="4" s="1"/>
  <c r="M18" i="4"/>
  <c r="N18" i="4" s="1"/>
  <c r="J18" i="4"/>
  <c r="K18" i="4" s="1"/>
  <c r="P18" i="4" s="1"/>
  <c r="M17" i="4"/>
  <c r="N17" i="4" s="1"/>
  <c r="J17" i="4"/>
  <c r="K17" i="4" s="1"/>
  <c r="P17" i="4" s="1"/>
  <c r="M16" i="4"/>
  <c r="N16" i="4" s="1"/>
  <c r="J16" i="4"/>
  <c r="K16" i="4" s="1"/>
  <c r="P16" i="4" s="1"/>
  <c r="BD5" i="1" l="1"/>
  <c r="L3" i="3"/>
  <c r="P3" i="3" s="1"/>
  <c r="I1096" i="8"/>
  <c r="I1097" i="8"/>
  <c r="I1098" i="8"/>
  <c r="G186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H58" i="3" s="1"/>
  <c r="C59" i="3"/>
  <c r="D59" i="3"/>
  <c r="E59" i="3"/>
  <c r="F59" i="3"/>
  <c r="C60" i="3"/>
  <c r="D60" i="3"/>
  <c r="E60" i="3"/>
  <c r="F60" i="3"/>
  <c r="C61" i="3"/>
  <c r="D61" i="3"/>
  <c r="E61" i="3"/>
  <c r="F61" i="3"/>
  <c r="H61" i="3" s="1"/>
  <c r="C62" i="3"/>
  <c r="D62" i="3"/>
  <c r="E62" i="3"/>
  <c r="F62" i="3"/>
  <c r="C63" i="3"/>
  <c r="D63" i="3"/>
  <c r="E63" i="3"/>
  <c r="F63" i="3"/>
  <c r="C21" i="3"/>
  <c r="D21" i="3"/>
  <c r="E21" i="3"/>
  <c r="F21" i="3"/>
  <c r="H21" i="3" s="1"/>
  <c r="C180" i="3"/>
  <c r="C181" i="3"/>
  <c r="E181" i="3" s="1"/>
  <c r="F181" i="3"/>
  <c r="C182" i="3"/>
  <c r="D182" i="3" s="1"/>
  <c r="F182" i="3"/>
  <c r="C183" i="3"/>
  <c r="D183" i="3" s="1"/>
  <c r="F183" i="3"/>
  <c r="C184" i="3"/>
  <c r="D184" i="3" s="1"/>
  <c r="F184" i="3"/>
  <c r="C185" i="3"/>
  <c r="E185" i="3" s="1"/>
  <c r="F185" i="3"/>
  <c r="C167" i="3"/>
  <c r="C168" i="3"/>
  <c r="E168" i="3" s="1"/>
  <c r="F168" i="3"/>
  <c r="C169" i="3"/>
  <c r="D169" i="3" s="1"/>
  <c r="F169" i="3"/>
  <c r="H169" i="3" s="1"/>
  <c r="C170" i="3"/>
  <c r="D170" i="3" s="1"/>
  <c r="F170" i="3"/>
  <c r="H170" i="3" s="1"/>
  <c r="C171" i="3"/>
  <c r="D171" i="3" s="1"/>
  <c r="F171" i="3"/>
  <c r="C172" i="3"/>
  <c r="E172" i="3" s="1"/>
  <c r="F172" i="3"/>
  <c r="H172" i="3" s="1"/>
  <c r="C173" i="3"/>
  <c r="D173" i="3" s="1"/>
  <c r="F173" i="3"/>
  <c r="H173" i="3" s="1"/>
  <c r="C174" i="3"/>
  <c r="D174" i="3" s="1"/>
  <c r="F174" i="3"/>
  <c r="C175" i="3"/>
  <c r="D175" i="3" s="1"/>
  <c r="F175" i="3"/>
  <c r="H175" i="3" s="1"/>
  <c r="C176" i="3"/>
  <c r="E176" i="3" s="1"/>
  <c r="F176" i="3"/>
  <c r="H176" i="3" s="1"/>
  <c r="C177" i="3"/>
  <c r="D177" i="3"/>
  <c r="E177" i="3"/>
  <c r="F177" i="3"/>
  <c r="C178" i="3"/>
  <c r="D178" i="3"/>
  <c r="E178" i="3"/>
  <c r="F178" i="3"/>
  <c r="C179" i="3"/>
  <c r="D179" i="3"/>
  <c r="E179" i="3"/>
  <c r="F179" i="3"/>
  <c r="H179" i="3" s="1"/>
  <c r="C154" i="3"/>
  <c r="C155" i="3"/>
  <c r="D155" i="3" s="1"/>
  <c r="F155" i="3"/>
  <c r="C156" i="3"/>
  <c r="D156" i="3" s="1"/>
  <c r="F156" i="3"/>
  <c r="C157" i="3"/>
  <c r="E157" i="3" s="1"/>
  <c r="F157" i="3"/>
  <c r="C158" i="3"/>
  <c r="D158" i="3" s="1"/>
  <c r="F158" i="3"/>
  <c r="C159" i="3"/>
  <c r="D159" i="3" s="1"/>
  <c r="F159" i="3"/>
  <c r="C160" i="3"/>
  <c r="E160" i="3" s="1"/>
  <c r="F160" i="3"/>
  <c r="C161" i="3"/>
  <c r="E161" i="3" s="1"/>
  <c r="F161" i="3"/>
  <c r="C162" i="3"/>
  <c r="D162" i="3" s="1"/>
  <c r="F162" i="3"/>
  <c r="C163" i="3"/>
  <c r="D163" i="3" s="1"/>
  <c r="F163" i="3"/>
  <c r="C164" i="3"/>
  <c r="D164" i="3"/>
  <c r="E164" i="3"/>
  <c r="F164" i="3"/>
  <c r="C165" i="3"/>
  <c r="D165" i="3"/>
  <c r="E165" i="3"/>
  <c r="F165" i="3"/>
  <c r="C166" i="3"/>
  <c r="D166" i="3"/>
  <c r="E166" i="3"/>
  <c r="F166" i="3"/>
  <c r="C141" i="3"/>
  <c r="C142" i="3"/>
  <c r="D142" i="3" s="1"/>
  <c r="F142" i="3"/>
  <c r="H142" i="3" s="1"/>
  <c r="C143" i="3"/>
  <c r="E143" i="3" s="1"/>
  <c r="F143" i="3"/>
  <c r="H143" i="3" s="1"/>
  <c r="C144" i="3"/>
  <c r="E144" i="3" s="1"/>
  <c r="F144" i="3"/>
  <c r="C145" i="3"/>
  <c r="D145" i="3" s="1"/>
  <c r="F145" i="3"/>
  <c r="H145" i="3" s="1"/>
  <c r="C146" i="3"/>
  <c r="D146" i="3" s="1"/>
  <c r="F146" i="3"/>
  <c r="H146" i="3" s="1"/>
  <c r="C147" i="3"/>
  <c r="E147" i="3" s="1"/>
  <c r="F147" i="3"/>
  <c r="C148" i="3"/>
  <c r="E148" i="3" s="1"/>
  <c r="F148" i="3"/>
  <c r="H148" i="3" s="1"/>
  <c r="C149" i="3"/>
  <c r="D149" i="3" s="1"/>
  <c r="F149" i="3"/>
  <c r="H149" i="3" s="1"/>
  <c r="C150" i="3"/>
  <c r="D150" i="3" s="1"/>
  <c r="F150" i="3"/>
  <c r="C151" i="3"/>
  <c r="D151" i="3"/>
  <c r="E151" i="3"/>
  <c r="F151" i="3"/>
  <c r="H151" i="3" s="1"/>
  <c r="C152" i="3"/>
  <c r="D152" i="3"/>
  <c r="E152" i="3"/>
  <c r="F152" i="3"/>
  <c r="C153" i="3"/>
  <c r="D153" i="3"/>
  <c r="E153" i="3"/>
  <c r="F153" i="3"/>
  <c r="BD66" i="1"/>
  <c r="BD67" i="1"/>
  <c r="BD68" i="1"/>
  <c r="BD69" i="1"/>
  <c r="BD70" i="1"/>
  <c r="BD71" i="1"/>
  <c r="BD72" i="1"/>
  <c r="BD73" i="1"/>
  <c r="BD74" i="1"/>
  <c r="BD75" i="1"/>
  <c r="BD76" i="1"/>
  <c r="BD77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37" i="1"/>
  <c r="BD38" i="1"/>
  <c r="BD39" i="1"/>
  <c r="BD40" i="1"/>
  <c r="BD41" i="1"/>
  <c r="BD42" i="1"/>
  <c r="BD43" i="1"/>
  <c r="BD44" i="1"/>
  <c r="BD45" i="1"/>
  <c r="BD46" i="1"/>
  <c r="BD36" i="1"/>
  <c r="H55" i="3" l="1"/>
  <c r="H52" i="3"/>
  <c r="H49" i="3"/>
  <c r="H46" i="3"/>
  <c r="H43" i="3"/>
  <c r="H40" i="3"/>
  <c r="H37" i="3"/>
  <c r="H34" i="3"/>
  <c r="H152" i="3"/>
  <c r="H177" i="3"/>
  <c r="H153" i="3"/>
  <c r="H150" i="3"/>
  <c r="H147" i="3"/>
  <c r="H144" i="3"/>
  <c r="H178" i="3"/>
  <c r="H174" i="3"/>
  <c r="H171" i="3"/>
  <c r="H168" i="3"/>
  <c r="H63" i="3"/>
  <c r="H60" i="3"/>
  <c r="H57" i="3"/>
  <c r="H54" i="3"/>
  <c r="H51" i="3"/>
  <c r="H48" i="3"/>
  <c r="H45" i="3"/>
  <c r="H42" i="3"/>
  <c r="H39" i="3"/>
  <c r="H36" i="3"/>
  <c r="H33" i="3"/>
  <c r="H30" i="3"/>
  <c r="H27" i="3"/>
  <c r="H24" i="3"/>
  <c r="H62" i="3"/>
  <c r="H59" i="3"/>
  <c r="H56" i="3"/>
  <c r="H53" i="3"/>
  <c r="H50" i="3"/>
  <c r="H47" i="3"/>
  <c r="H44" i="3"/>
  <c r="H41" i="3"/>
  <c r="H38" i="3"/>
  <c r="H35" i="3"/>
  <c r="H32" i="3"/>
  <c r="H29" i="3"/>
  <c r="H26" i="3"/>
  <c r="H23" i="3"/>
  <c r="D141" i="3"/>
  <c r="H141" i="3"/>
  <c r="H166" i="3"/>
  <c r="H163" i="3"/>
  <c r="H160" i="3"/>
  <c r="H157" i="3"/>
  <c r="D154" i="3"/>
  <c r="H154" i="3"/>
  <c r="H183" i="3"/>
  <c r="E180" i="3"/>
  <c r="G180" i="3" s="1"/>
  <c r="H180" i="3"/>
  <c r="H31" i="3"/>
  <c r="H28" i="3"/>
  <c r="H25" i="3"/>
  <c r="H22" i="3"/>
  <c r="E167" i="3"/>
  <c r="G167" i="3" s="1"/>
  <c r="H167" i="3"/>
  <c r="H164" i="3"/>
  <c r="H162" i="3"/>
  <c r="H159" i="3"/>
  <c r="H156" i="3"/>
  <c r="H185" i="3"/>
  <c r="H182" i="3"/>
  <c r="H165" i="3"/>
  <c r="H161" i="3"/>
  <c r="H158" i="3"/>
  <c r="H155" i="3"/>
  <c r="H184" i="3"/>
  <c r="H181" i="3"/>
  <c r="G21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181" i="3"/>
  <c r="E170" i="3"/>
  <c r="G170" i="3" s="1"/>
  <c r="E183" i="3"/>
  <c r="G183" i="3" s="1"/>
  <c r="E182" i="3"/>
  <c r="G182" i="3" s="1"/>
  <c r="G176" i="3"/>
  <c r="G152" i="3"/>
  <c r="G185" i="3"/>
  <c r="E174" i="3"/>
  <c r="G174" i="3" s="1"/>
  <c r="E169" i="3"/>
  <c r="G169" i="3" s="1"/>
  <c r="G172" i="3"/>
  <c r="D160" i="3"/>
  <c r="G153" i="3"/>
  <c r="G168" i="3"/>
  <c r="D180" i="3"/>
  <c r="G143" i="3"/>
  <c r="D148" i="3"/>
  <c r="G166" i="3"/>
  <c r="G165" i="3"/>
  <c r="D161" i="3"/>
  <c r="G179" i="3"/>
  <c r="E173" i="3"/>
  <c r="G173" i="3" s="1"/>
  <c r="D185" i="3"/>
  <c r="D181" i="3"/>
  <c r="D167" i="3"/>
  <c r="E184" i="3"/>
  <c r="G184" i="3" s="1"/>
  <c r="E156" i="3"/>
  <c r="G156" i="3" s="1"/>
  <c r="G148" i="3"/>
  <c r="D144" i="3"/>
  <c r="D157" i="3"/>
  <c r="E154" i="3"/>
  <c r="G154" i="3" s="1"/>
  <c r="G178" i="3"/>
  <c r="G177" i="3"/>
  <c r="D176" i="3"/>
  <c r="D172" i="3"/>
  <c r="D168" i="3"/>
  <c r="D147" i="3"/>
  <c r="G144" i="3"/>
  <c r="G161" i="3"/>
  <c r="G157" i="3"/>
  <c r="G147" i="3"/>
  <c r="E175" i="3"/>
  <c r="G175" i="3" s="1"/>
  <c r="E171" i="3"/>
  <c r="G171" i="3" s="1"/>
  <c r="D143" i="3"/>
  <c r="G164" i="3"/>
  <c r="E163" i="3"/>
  <c r="G163" i="3" s="1"/>
  <c r="G160" i="3"/>
  <c r="E159" i="3"/>
  <c r="G159" i="3" s="1"/>
  <c r="E155" i="3"/>
  <c r="G155" i="3" s="1"/>
  <c r="E141" i="3"/>
  <c r="G141" i="3" s="1"/>
  <c r="E162" i="3"/>
  <c r="G162" i="3" s="1"/>
  <c r="E158" i="3"/>
  <c r="G158" i="3" s="1"/>
  <c r="G151" i="3"/>
  <c r="E150" i="3"/>
  <c r="G150" i="3" s="1"/>
  <c r="E146" i="3"/>
  <c r="G146" i="3" s="1"/>
  <c r="E142" i="3"/>
  <c r="G142" i="3" s="1"/>
  <c r="E149" i="3"/>
  <c r="G149" i="3" s="1"/>
  <c r="E145" i="3"/>
  <c r="G145" i="3" s="1"/>
  <c r="BD35" i="1" l="1"/>
  <c r="I1091" i="8"/>
  <c r="I1092" i="8"/>
  <c r="I3" i="8"/>
  <c r="I4" i="8"/>
  <c r="I5" i="8"/>
  <c r="I6" i="8"/>
  <c r="I7" i="8"/>
  <c r="I8" i="8"/>
  <c r="I9" i="8"/>
  <c r="I10" i="8"/>
  <c r="I12" i="8"/>
  <c r="I1093" i="8"/>
  <c r="I1069" i="8"/>
  <c r="I1065" i="8"/>
  <c r="I300" i="8"/>
  <c r="I301" i="8"/>
  <c r="I30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948" i="8"/>
  <c r="I949" i="8"/>
  <c r="I950" i="8"/>
  <c r="I951" i="8"/>
  <c r="I952" i="8"/>
  <c r="I953" i="8"/>
  <c r="I954" i="8"/>
  <c r="I955" i="8"/>
  <c r="I1058" i="8"/>
  <c r="I1059" i="8"/>
  <c r="I1060" i="8"/>
  <c r="I1061" i="8"/>
  <c r="I1062" i="8"/>
  <c r="I1063" i="8"/>
  <c r="I1064" i="8"/>
  <c r="I1066" i="8"/>
  <c r="I1067" i="8"/>
  <c r="I1068" i="8"/>
  <c r="I1070" i="8"/>
  <c r="I1071" i="8"/>
  <c r="I1072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4" i="8"/>
  <c r="I1095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BD7" i="1" l="1"/>
  <c r="BD8" i="1"/>
  <c r="BD9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6" i="1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13" i="3"/>
  <c r="E14" i="3"/>
  <c r="E15" i="3"/>
  <c r="E16" i="3"/>
  <c r="E17" i="3"/>
  <c r="E18" i="3"/>
  <c r="E19" i="3"/>
  <c r="E20" i="3"/>
  <c r="E64" i="3"/>
  <c r="E12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13" i="3"/>
  <c r="D14" i="3"/>
  <c r="D15" i="3"/>
  <c r="D16" i="3"/>
  <c r="D17" i="3"/>
  <c r="D18" i="3"/>
  <c r="D19" i="3"/>
  <c r="D20" i="3"/>
  <c r="D64" i="3"/>
  <c r="D12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13" i="3"/>
  <c r="F14" i="3"/>
  <c r="F15" i="3"/>
  <c r="F16" i="3"/>
  <c r="F17" i="3"/>
  <c r="F18" i="3"/>
  <c r="F19" i="3"/>
  <c r="F20" i="3"/>
  <c r="F64" i="3"/>
  <c r="F12" i="3"/>
  <c r="F108" i="3"/>
  <c r="F86" i="3"/>
  <c r="F109" i="3"/>
  <c r="F87" i="3"/>
  <c r="F88" i="3"/>
  <c r="F89" i="3"/>
  <c r="F90" i="3"/>
  <c r="F91" i="3"/>
  <c r="F110" i="3"/>
  <c r="F92" i="3"/>
  <c r="F107" i="3"/>
  <c r="F139" i="3"/>
  <c r="F138" i="3"/>
  <c r="F106" i="3"/>
  <c r="F105" i="3"/>
  <c r="F123" i="3"/>
  <c r="F124" i="3"/>
  <c r="F125" i="3"/>
  <c r="F126" i="3"/>
  <c r="F103" i="3"/>
  <c r="F104" i="3"/>
  <c r="F102" i="3"/>
  <c r="F119" i="3"/>
  <c r="F120" i="3"/>
  <c r="F121" i="3"/>
  <c r="F122" i="3"/>
  <c r="F100" i="3"/>
  <c r="F101" i="3"/>
  <c r="F99" i="3"/>
  <c r="F115" i="3"/>
  <c r="F116" i="3"/>
  <c r="F117" i="3"/>
  <c r="F118" i="3"/>
  <c r="F97" i="3"/>
  <c r="F98" i="3"/>
  <c r="F96" i="3"/>
  <c r="F111" i="3"/>
  <c r="F112" i="3"/>
  <c r="F113" i="3"/>
  <c r="F114" i="3"/>
  <c r="F94" i="3"/>
  <c r="F95" i="3"/>
  <c r="F93" i="3"/>
  <c r="F11" i="3"/>
  <c r="F137" i="3"/>
  <c r="F136" i="3"/>
  <c r="F135" i="3"/>
  <c r="F134" i="3"/>
  <c r="F10" i="3"/>
  <c r="F133" i="3"/>
  <c r="F132" i="3"/>
  <c r="F131" i="3"/>
  <c r="F9" i="3"/>
  <c r="F130" i="3"/>
  <c r="F129" i="3"/>
  <c r="F128" i="3"/>
  <c r="F127" i="3"/>
  <c r="F8" i="3"/>
  <c r="F7" i="3"/>
  <c r="F6" i="3"/>
  <c r="F5" i="3"/>
  <c r="F4" i="3"/>
  <c r="F3" i="3"/>
  <c r="I326" i="8"/>
  <c r="I325" i="8"/>
  <c r="I323" i="8"/>
  <c r="I322" i="8"/>
  <c r="I298" i="8"/>
  <c r="I297" i="8"/>
  <c r="I254" i="8"/>
  <c r="I112" i="8"/>
  <c r="I94" i="8"/>
  <c r="I76" i="8"/>
  <c r="C64" i="3"/>
  <c r="C20" i="3"/>
  <c r="C19" i="3"/>
  <c r="C18" i="3"/>
  <c r="C17" i="3"/>
  <c r="C16" i="3"/>
  <c r="C15" i="3"/>
  <c r="C14" i="3"/>
  <c r="C13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12" i="3"/>
  <c r="C92" i="3"/>
  <c r="C110" i="3"/>
  <c r="C91" i="3"/>
  <c r="C90" i="3"/>
  <c r="C89" i="3"/>
  <c r="C88" i="3"/>
  <c r="C87" i="3"/>
  <c r="C109" i="3"/>
  <c r="C86" i="3"/>
  <c r="C108" i="3"/>
  <c r="C107" i="3"/>
  <c r="C11" i="3"/>
  <c r="C137" i="3"/>
  <c r="C136" i="3"/>
  <c r="C135" i="3"/>
  <c r="C134" i="3"/>
  <c r="C10" i="3"/>
  <c r="C133" i="3"/>
  <c r="C132" i="3"/>
  <c r="C131" i="3"/>
  <c r="C9" i="3"/>
  <c r="D9" i="3" s="1"/>
  <c r="C130" i="3"/>
  <c r="C129" i="3"/>
  <c r="C128" i="3"/>
  <c r="C127" i="3"/>
  <c r="C8" i="3"/>
  <c r="C7" i="3"/>
  <c r="C6" i="3"/>
  <c r="C5" i="3"/>
  <c r="C4" i="3"/>
  <c r="H4" i="3" s="1"/>
  <c r="C3" i="3"/>
  <c r="H3" i="3" s="1"/>
  <c r="H2" i="3"/>
  <c r="H90" i="3" l="1"/>
  <c r="H17" i="3"/>
  <c r="H84" i="3"/>
  <c r="H78" i="3"/>
  <c r="H72" i="3"/>
  <c r="H110" i="3"/>
  <c r="H13" i="3"/>
  <c r="H74" i="3"/>
  <c r="H109" i="3"/>
  <c r="H19" i="3"/>
  <c r="H80" i="3"/>
  <c r="H108" i="3"/>
  <c r="H8" i="3"/>
  <c r="H136" i="3"/>
  <c r="H92" i="3"/>
  <c r="H87" i="3"/>
  <c r="H20" i="3"/>
  <c r="H14" i="3"/>
  <c r="H81" i="3"/>
  <c r="H75" i="3"/>
  <c r="H69" i="3"/>
  <c r="H128" i="3"/>
  <c r="H133" i="3"/>
  <c r="H91" i="3"/>
  <c r="H86" i="3"/>
  <c r="H18" i="3"/>
  <c r="H85" i="3"/>
  <c r="H79" i="3"/>
  <c r="H73" i="3"/>
  <c r="H127" i="3"/>
  <c r="H10" i="3"/>
  <c r="H6" i="3"/>
  <c r="H130" i="3"/>
  <c r="H134" i="3"/>
  <c r="H89" i="3"/>
  <c r="H16" i="3"/>
  <c r="H83" i="3"/>
  <c r="H77" i="3"/>
  <c r="H71" i="3"/>
  <c r="H137" i="3"/>
  <c r="H5" i="3"/>
  <c r="H129" i="3"/>
  <c r="H135" i="3"/>
  <c r="H88" i="3"/>
  <c r="H64" i="3"/>
  <c r="H15" i="3"/>
  <c r="H82" i="3"/>
  <c r="H76" i="3"/>
  <c r="H132" i="3"/>
  <c r="H131" i="3"/>
  <c r="H70" i="3"/>
  <c r="H68" i="3"/>
  <c r="H67" i="3"/>
  <c r="H66" i="3"/>
  <c r="H107" i="3"/>
  <c r="H65" i="3"/>
  <c r="H9" i="3"/>
  <c r="H12" i="3"/>
  <c r="H7" i="3"/>
  <c r="H11" i="3"/>
  <c r="E109" i="3"/>
  <c r="G109" i="3" s="1"/>
  <c r="E7" i="3"/>
  <c r="G7" i="3" s="1"/>
  <c r="E135" i="3"/>
  <c r="G135" i="3" s="1"/>
  <c r="E87" i="3"/>
  <c r="G87" i="3" s="1"/>
  <c r="E91" i="3"/>
  <c r="G91" i="3" s="1"/>
  <c r="E133" i="3"/>
  <c r="G133" i="3" s="1"/>
  <c r="E136" i="3"/>
  <c r="G136" i="3" s="1"/>
  <c r="G108" i="3"/>
  <c r="E88" i="3"/>
  <c r="G88" i="3" s="1"/>
  <c r="E110" i="3"/>
  <c r="G110" i="3" s="1"/>
  <c r="E137" i="3"/>
  <c r="G137" i="3" s="1"/>
  <c r="E86" i="3"/>
  <c r="G86" i="3" s="1"/>
  <c r="E89" i="3"/>
  <c r="G89" i="3" s="1"/>
  <c r="E92" i="3"/>
  <c r="G92" i="3" s="1"/>
  <c r="E5" i="3"/>
  <c r="G5" i="3" s="1"/>
  <c r="E127" i="3"/>
  <c r="G127" i="3" s="1"/>
  <c r="E2" i="3"/>
  <c r="G2" i="3" s="1"/>
  <c r="E6" i="3"/>
  <c r="G6" i="3" s="1"/>
  <c r="E90" i="3"/>
  <c r="G90" i="3" s="1"/>
  <c r="G19" i="3"/>
  <c r="G15" i="3"/>
  <c r="G84" i="3"/>
  <c r="G80" i="3"/>
  <c r="G76" i="3"/>
  <c r="G72" i="3"/>
  <c r="G68" i="3"/>
  <c r="BG13" i="1"/>
  <c r="G20" i="3"/>
  <c r="G16" i="3"/>
  <c r="G85" i="3"/>
  <c r="G81" i="3"/>
  <c r="G77" i="3"/>
  <c r="G73" i="3"/>
  <c r="G69" i="3"/>
  <c r="G65" i="3"/>
  <c r="G64" i="3"/>
  <c r="D128" i="3"/>
  <c r="E128" i="3"/>
  <c r="G128" i="3" s="1"/>
  <c r="G12" i="3"/>
  <c r="G18" i="3"/>
  <c r="G14" i="3"/>
  <c r="G83" i="3"/>
  <c r="G79" i="3"/>
  <c r="G75" i="3"/>
  <c r="G71" i="3"/>
  <c r="G67" i="3"/>
  <c r="G17" i="3"/>
  <c r="G13" i="3"/>
  <c r="G82" i="3"/>
  <c r="G78" i="3"/>
  <c r="G74" i="3"/>
  <c r="G70" i="3"/>
  <c r="G66" i="3"/>
  <c r="D90" i="3"/>
  <c r="D109" i="3"/>
  <c r="D11" i="3"/>
  <c r="D134" i="3"/>
  <c r="D131" i="3"/>
  <c r="D6" i="3"/>
  <c r="D92" i="3"/>
  <c r="D89" i="3"/>
  <c r="D86" i="3"/>
  <c r="D137" i="3"/>
  <c r="D10" i="3"/>
  <c r="D127" i="3"/>
  <c r="D5" i="3"/>
  <c r="D110" i="3"/>
  <c r="D88" i="3"/>
  <c r="D108" i="3"/>
  <c r="D136" i="3"/>
  <c r="D133" i="3"/>
  <c r="D130" i="3"/>
  <c r="D8" i="3"/>
  <c r="D4" i="3"/>
  <c r="D91" i="3"/>
  <c r="D87" i="3"/>
  <c r="D107" i="3"/>
  <c r="D135" i="3"/>
  <c r="D132" i="3"/>
  <c r="D129" i="3"/>
  <c r="D7" i="3"/>
  <c r="D3" i="3"/>
  <c r="E13" i="6" l="1"/>
  <c r="AO5" i="1" s="1"/>
  <c r="E14" i="6"/>
  <c r="AQ5" i="1" s="1"/>
  <c r="E15" i="6"/>
  <c r="E16" i="6"/>
  <c r="E18" i="6"/>
  <c r="E19" i="6"/>
  <c r="E20" i="6"/>
  <c r="AS6" i="1" s="1"/>
  <c r="E21" i="6"/>
  <c r="E22" i="6"/>
  <c r="E23" i="6"/>
  <c r="E24" i="6"/>
  <c r="E25" i="6"/>
  <c r="E26" i="6"/>
  <c r="E27" i="6"/>
  <c r="E28" i="6"/>
  <c r="E29" i="6"/>
  <c r="E31" i="6"/>
  <c r="E32" i="6"/>
  <c r="E33" i="6"/>
  <c r="E34" i="6"/>
  <c r="E35" i="6"/>
  <c r="E36" i="6"/>
  <c r="E37" i="6"/>
  <c r="E38" i="6"/>
  <c r="E11" i="6"/>
  <c r="E10" i="6"/>
  <c r="E9" i="6"/>
  <c r="E8" i="6"/>
  <c r="E6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E4" i="6"/>
  <c r="AQ4" i="1" s="1"/>
  <c r="AI15" i="1"/>
  <c r="C106" i="3" s="1"/>
  <c r="H106" i="3" s="1"/>
  <c r="C105" i="3"/>
  <c r="H105" i="3" s="1"/>
  <c r="AK35" i="1"/>
  <c r="AK34" i="1"/>
  <c r="AK33" i="1"/>
  <c r="AK32" i="1"/>
  <c r="AK31" i="1"/>
  <c r="AK30" i="1"/>
  <c r="AK29" i="1"/>
  <c r="AK28" i="1"/>
  <c r="AK26" i="1"/>
  <c r="AK25" i="1"/>
  <c r="G5" i="7"/>
  <c r="G6" i="7"/>
  <c r="G7" i="7"/>
  <c r="G8" i="7"/>
  <c r="G9" i="7"/>
  <c r="G10" i="7"/>
  <c r="G11" i="7"/>
  <c r="G12" i="7"/>
  <c r="G13" i="7"/>
  <c r="G14" i="7"/>
  <c r="G15" i="7"/>
  <c r="G4" i="7"/>
  <c r="AS5" i="1" l="1"/>
  <c r="E105" i="3"/>
  <c r="G105" i="3" s="1"/>
  <c r="E106" i="3"/>
  <c r="G106" i="3" s="1"/>
  <c r="D106" i="3"/>
  <c r="D105" i="3"/>
  <c r="Y20" i="6"/>
  <c r="Y19" i="6"/>
  <c r="Y18" i="6"/>
  <c r="Y17" i="6"/>
  <c r="Y16" i="6"/>
  <c r="Y15" i="6"/>
  <c r="Y14" i="6"/>
  <c r="Y9" i="6"/>
  <c r="Y8" i="6"/>
  <c r="Y7" i="6"/>
  <c r="Y6" i="6"/>
  <c r="Y5" i="6"/>
  <c r="Y4" i="6"/>
  <c r="E5" i="6"/>
  <c r="AS4" i="1" s="1"/>
  <c r="Z20" i="6"/>
  <c r="Z19" i="6"/>
  <c r="Z18" i="6"/>
  <c r="Z17" i="6"/>
  <c r="Z16" i="6"/>
  <c r="Z15" i="6"/>
  <c r="Z14" i="6"/>
  <c r="Z9" i="6"/>
  <c r="Z8" i="6"/>
  <c r="Z7" i="6"/>
  <c r="Z6" i="6"/>
  <c r="Z5" i="6"/>
  <c r="Z4" i="6"/>
  <c r="Z3" i="6"/>
  <c r="AR15" i="1"/>
  <c r="C139" i="3" s="1"/>
  <c r="H139" i="3" s="1"/>
  <c r="AR14" i="1"/>
  <c r="C138" i="3" s="1"/>
  <c r="H138" i="3" s="1"/>
  <c r="I21" i="1"/>
  <c r="I20" i="1"/>
  <c r="I19" i="1"/>
  <c r="I18" i="1"/>
  <c r="I17" i="1"/>
  <c r="I16" i="1"/>
  <c r="I15" i="1"/>
  <c r="I14" i="1"/>
  <c r="I13" i="1"/>
  <c r="I12" i="1"/>
  <c r="E138" i="3" l="1"/>
  <c r="G138" i="3" s="1"/>
  <c r="E139" i="3"/>
  <c r="G139" i="3" s="1"/>
  <c r="D138" i="3"/>
  <c r="D139" i="3"/>
  <c r="I11" i="1"/>
  <c r="I10" i="1"/>
  <c r="I9" i="1"/>
  <c r="I8" i="1"/>
  <c r="I7" i="1"/>
  <c r="I5" i="1"/>
  <c r="I6" i="1"/>
  <c r="I4" i="1"/>
  <c r="I3" i="1"/>
  <c r="I2" i="1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E3" i="6"/>
  <c r="AO4" i="1" s="1"/>
  <c r="C93" i="3" l="1"/>
  <c r="H93" i="3" s="1"/>
  <c r="AQ9" i="1"/>
  <c r="C97" i="3" s="1"/>
  <c r="H97" i="3" s="1"/>
  <c r="C119" i="3"/>
  <c r="H119" i="3" s="1"/>
  <c r="AQ7" i="1"/>
  <c r="C117" i="3" s="1"/>
  <c r="H117" i="3" s="1"/>
  <c r="AS10" i="1"/>
  <c r="C101" i="3" s="1"/>
  <c r="H101" i="3" s="1"/>
  <c r="AO9" i="1"/>
  <c r="C94" i="3" s="1"/>
  <c r="H94" i="3" s="1"/>
  <c r="AS9" i="1"/>
  <c r="C100" i="3" s="1"/>
  <c r="H100" i="3" s="1"/>
  <c r="AQ10" i="1"/>
  <c r="C98" i="3" s="1"/>
  <c r="H98" i="3" s="1"/>
  <c r="AS7" i="1"/>
  <c r="C121" i="3" s="1"/>
  <c r="H121" i="3" s="1"/>
  <c r="C120" i="3"/>
  <c r="H120" i="3" s="1"/>
  <c r="AO8" i="1"/>
  <c r="C114" i="3" s="1"/>
  <c r="H114" i="3" s="1"/>
  <c r="AU9" i="1"/>
  <c r="C103" i="3" s="1"/>
  <c r="H103" i="3" s="1"/>
  <c r="AU5" i="1"/>
  <c r="C123" i="3" s="1"/>
  <c r="H123" i="3" s="1"/>
  <c r="AU6" i="1"/>
  <c r="C124" i="3" s="1"/>
  <c r="H124" i="3" s="1"/>
  <c r="AQ8" i="1"/>
  <c r="C118" i="3" s="1"/>
  <c r="H118" i="3" s="1"/>
  <c r="AO7" i="1"/>
  <c r="C113" i="3" s="1"/>
  <c r="H113" i="3" s="1"/>
  <c r="AU8" i="1"/>
  <c r="C126" i="3" s="1"/>
  <c r="H126" i="3" s="1"/>
  <c r="C112" i="3"/>
  <c r="H112" i="3" s="1"/>
  <c r="AO10" i="1"/>
  <c r="C95" i="3" s="1"/>
  <c r="H95" i="3" s="1"/>
  <c r="C115" i="3"/>
  <c r="H115" i="3" s="1"/>
  <c r="AS8" i="1"/>
  <c r="C122" i="3" s="1"/>
  <c r="H122" i="3" s="1"/>
  <c r="AU7" i="1"/>
  <c r="C125" i="3" s="1"/>
  <c r="H125" i="3" s="1"/>
  <c r="AU10" i="1"/>
  <c r="C104" i="3" s="1"/>
  <c r="H104" i="3" s="1"/>
  <c r="C111" i="3"/>
  <c r="H111" i="3" s="1"/>
  <c r="AQ6" i="1"/>
  <c r="C116" i="3" s="1"/>
  <c r="H116" i="3" s="1"/>
  <c r="AU4" i="1"/>
  <c r="C102" i="3" s="1"/>
  <c r="H102" i="3" s="1"/>
  <c r="C96" i="3"/>
  <c r="H96" i="3" s="1"/>
  <c r="C99" i="3"/>
  <c r="H99" i="3" s="1"/>
  <c r="E95" i="3" l="1"/>
  <c r="G95" i="3" s="1"/>
  <c r="E118" i="3"/>
  <c r="G118" i="3" s="1"/>
  <c r="E125" i="3"/>
  <c r="G125" i="3" s="1"/>
  <c r="E124" i="3"/>
  <c r="G124" i="3" s="1"/>
  <c r="E116" i="3"/>
  <c r="G116" i="3" s="1"/>
  <c r="E122" i="3"/>
  <c r="G122" i="3" s="1"/>
  <c r="E126" i="3"/>
  <c r="G126" i="3" s="1"/>
  <c r="E123" i="3"/>
  <c r="G123" i="3" s="1"/>
  <c r="E121" i="3"/>
  <c r="G121" i="3" s="1"/>
  <c r="E101" i="3"/>
  <c r="G101" i="3" s="1"/>
  <c r="E99" i="3"/>
  <c r="G99" i="3" s="1"/>
  <c r="E111" i="3"/>
  <c r="G111" i="3" s="1"/>
  <c r="E115" i="3"/>
  <c r="G115" i="3" s="1"/>
  <c r="E113" i="3"/>
  <c r="G113" i="3" s="1"/>
  <c r="E103" i="3"/>
  <c r="G103" i="3" s="1"/>
  <c r="E98" i="3"/>
  <c r="G98" i="3" s="1"/>
  <c r="E117" i="3"/>
  <c r="G117" i="3" s="1"/>
  <c r="E96" i="3"/>
  <c r="G96" i="3" s="1"/>
  <c r="E114" i="3"/>
  <c r="G114" i="3" s="1"/>
  <c r="E100" i="3"/>
  <c r="G100" i="3" s="1"/>
  <c r="E119" i="3"/>
  <c r="G119" i="3" s="1"/>
  <c r="E104" i="3"/>
  <c r="G104" i="3" s="1"/>
  <c r="E102" i="3"/>
  <c r="G102" i="3" s="1"/>
  <c r="E112" i="3"/>
  <c r="G112" i="3" s="1"/>
  <c r="E120" i="3"/>
  <c r="G120" i="3" s="1"/>
  <c r="E94" i="3"/>
  <c r="G94" i="3" s="1"/>
  <c r="E97" i="3"/>
  <c r="G97" i="3" s="1"/>
  <c r="D93" i="3"/>
  <c r="E93" i="3"/>
  <c r="G93" i="3" s="1"/>
  <c r="D123" i="3"/>
  <c r="D121" i="3"/>
  <c r="D101" i="3"/>
  <c r="D126" i="3"/>
  <c r="D111" i="3"/>
  <c r="D115" i="3"/>
  <c r="D113" i="3"/>
  <c r="D103" i="3"/>
  <c r="D98" i="3"/>
  <c r="D117" i="3"/>
  <c r="D122" i="3"/>
  <c r="D104" i="3"/>
  <c r="D95" i="3"/>
  <c r="D118" i="3"/>
  <c r="D114" i="3"/>
  <c r="D100" i="3"/>
  <c r="D119" i="3"/>
  <c r="D125" i="3"/>
  <c r="D112" i="3"/>
  <c r="D124" i="3"/>
  <c r="D120" i="3"/>
  <c r="D94" i="3"/>
  <c r="D97" i="3"/>
  <c r="D99" i="3"/>
  <c r="D102" i="3"/>
  <c r="D116" i="3"/>
  <c r="D96" i="3"/>
  <c r="I20" i="2"/>
  <c r="I21" i="2" s="1"/>
  <c r="H18" i="2" s="1"/>
  <c r="N3" i="3" l="1"/>
  <c r="L6" i="3" s="1"/>
  <c r="I22" i="2"/>
  <c r="BJ13" i="1" l="1"/>
  <c r="I74" i="8"/>
  <c r="I211" i="8"/>
  <c r="I306" i="8"/>
  <c r="I704" i="8"/>
  <c r="I721" i="8"/>
  <c r="I207" i="8"/>
  <c r="I179" i="8"/>
  <c r="I304" i="8"/>
  <c r="I138" i="8"/>
  <c r="I265" i="8"/>
  <c r="I382" i="8"/>
  <c r="I666" i="8"/>
  <c r="I114" i="8"/>
  <c r="E130" i="3" s="1"/>
  <c r="G130" i="3" s="1"/>
  <c r="I380" i="8"/>
  <c r="I710" i="8"/>
  <c r="I187" i="8"/>
  <c r="I174" i="8"/>
  <c r="I342" i="8"/>
  <c r="I227" i="8"/>
  <c r="I209" i="8"/>
  <c r="I197" i="8"/>
  <c r="I738" i="8"/>
  <c r="I730" i="8"/>
  <c r="I714" i="8"/>
  <c r="I703" i="8"/>
  <c r="I261" i="8"/>
  <c r="I255" i="8"/>
  <c r="I718" i="8"/>
  <c r="I708" i="8"/>
  <c r="I702" i="8"/>
  <c r="I746" i="8"/>
  <c r="I736" i="8"/>
  <c r="I733" i="8"/>
  <c r="I727" i="8"/>
  <c r="I384" i="8"/>
  <c r="I284" i="8"/>
  <c r="I224" i="8"/>
  <c r="I206" i="8"/>
  <c r="I735" i="8"/>
  <c r="I732" i="8"/>
  <c r="I726" i="8"/>
  <c r="I711" i="8"/>
  <c r="I276" i="8"/>
  <c r="I270" i="8"/>
  <c r="I264" i="8"/>
  <c r="I745" i="8"/>
  <c r="I715" i="8"/>
  <c r="I705" i="8"/>
  <c r="I691" i="8"/>
  <c r="I363" i="8"/>
  <c r="I353" i="8"/>
  <c r="I303" i="8"/>
  <c r="I720" i="8"/>
  <c r="I392" i="8"/>
  <c r="I381" i="8"/>
  <c r="I374" i="8"/>
  <c r="I118" i="8"/>
  <c r="I113" i="8"/>
  <c r="I60" i="8"/>
  <c r="I15" i="8"/>
  <c r="I677" i="8"/>
  <c r="I652" i="8"/>
  <c r="I345" i="8"/>
  <c r="I257" i="8"/>
  <c r="I155" i="8"/>
  <c r="I139" i="8"/>
  <c r="I128" i="8"/>
  <c r="I79" i="8"/>
  <c r="I66" i="8"/>
  <c r="I33" i="8"/>
  <c r="I664" i="8"/>
  <c r="I658" i="8"/>
  <c r="I178" i="8"/>
  <c r="I170" i="8"/>
  <c r="I154" i="8"/>
  <c r="I149" i="8"/>
  <c r="I133" i="8"/>
  <c r="I122" i="8"/>
  <c r="I105" i="8"/>
  <c r="I45" i="8"/>
  <c r="I39" i="8"/>
  <c r="I32" i="8"/>
  <c r="I19" i="8"/>
  <c r="I285" i="8"/>
  <c r="I263" i="8"/>
  <c r="I148" i="8"/>
  <c r="I111" i="8"/>
  <c r="I104" i="8"/>
  <c r="I91" i="8"/>
  <c r="I239" i="8"/>
  <c r="I169" i="8"/>
  <c r="I158" i="8"/>
  <c r="I142" i="8"/>
  <c r="I137" i="8"/>
  <c r="I121" i="8"/>
  <c r="I668" i="8"/>
  <c r="I661" i="8"/>
  <c r="I184" i="8"/>
  <c r="I688" i="8"/>
  <c r="I260" i="8"/>
  <c r="I247" i="8"/>
  <c r="I269" i="8"/>
  <c r="I202" i="8"/>
  <c r="I167" i="8"/>
  <c r="I151" i="8"/>
  <c r="I140" i="8"/>
  <c r="I119" i="8"/>
  <c r="I108" i="8"/>
  <c r="I88" i="8"/>
  <c r="I48" i="8"/>
  <c r="I16" i="8"/>
  <c r="I653" i="8"/>
  <c r="I723" i="8"/>
  <c r="I181" i="8"/>
  <c r="I173" i="8"/>
  <c r="I124" i="8"/>
  <c r="I54" i="8"/>
  <c r="I21" i="8"/>
  <c r="I665" i="8"/>
  <c r="I659" i="8"/>
  <c r="I95" i="8"/>
  <c r="I51" i="8"/>
  <c r="I145" i="8"/>
  <c r="I676" i="8"/>
  <c r="I115" i="8"/>
  <c r="I101" i="8"/>
  <c r="I162" i="8"/>
  <c r="I120" i="8"/>
  <c r="I372" i="8"/>
  <c r="I43" i="8"/>
  <c r="I717" i="8"/>
  <c r="I308" i="8"/>
  <c r="I70" i="8"/>
  <c r="I230" i="8"/>
  <c r="I188" i="8"/>
  <c r="I210" i="8"/>
  <c r="I233" i="8"/>
  <c r="I150" i="8"/>
  <c r="I731" i="8"/>
  <c r="I364" i="8"/>
  <c r="I701" i="8"/>
  <c r="I693" i="8"/>
  <c r="I225" i="8"/>
  <c r="I361" i="8"/>
  <c r="I268" i="8"/>
  <c r="I246" i="8"/>
  <c r="I671" i="8"/>
  <c r="I63" i="8"/>
  <c r="I157" i="8"/>
  <c r="I136" i="8"/>
  <c r="I127" i="8"/>
  <c r="I135" i="8"/>
  <c r="I35" i="8"/>
  <c r="I724" i="8"/>
  <c r="I203" i="8"/>
  <c r="I147" i="8"/>
  <c r="I50" i="8"/>
  <c r="I30" i="8"/>
  <c r="I341" i="8"/>
  <c r="I84" i="8"/>
  <c r="I241" i="8"/>
  <c r="I663" i="8"/>
  <c r="I242" i="8"/>
  <c r="I694" i="8"/>
  <c r="I220" i="8"/>
  <c r="I20" i="8"/>
  <c r="I244" i="8"/>
  <c r="I685" i="8"/>
  <c r="I190" i="8"/>
  <c r="I340" i="8"/>
  <c r="I383" i="8"/>
  <c r="I177" i="8"/>
  <c r="I686" i="8"/>
  <c r="I337" i="8"/>
  <c r="I728" i="8"/>
  <c r="I279" i="8"/>
  <c r="I373" i="8"/>
  <c r="I286" i="8"/>
  <c r="I256" i="8"/>
  <c r="I699" i="8"/>
  <c r="I85" i="8"/>
  <c r="I75" i="8"/>
  <c r="I164" i="8"/>
  <c r="I160" i="8"/>
  <c r="I163" i="8"/>
  <c r="I156" i="8"/>
  <c r="I61" i="8"/>
  <c r="I654" i="8"/>
  <c r="I214" i="8"/>
  <c r="I168" i="8"/>
  <c r="I110" i="8"/>
  <c r="I37" i="8"/>
  <c r="I132" i="8"/>
  <c r="I321" i="8"/>
  <c r="I739" i="8"/>
  <c r="I232" i="8"/>
  <c r="I40" i="8"/>
  <c r="I267" i="8"/>
  <c r="I712" i="8"/>
  <c r="I212" i="8"/>
  <c r="I237" i="8"/>
  <c r="I243" i="8"/>
  <c r="I336" i="8"/>
  <c r="I344" i="8"/>
  <c r="I292" i="8"/>
  <c r="I379" i="8"/>
  <c r="I294" i="8"/>
  <c r="I262" i="8"/>
  <c r="I96" i="8"/>
  <c r="I680" i="8"/>
  <c r="I36" i="8"/>
  <c r="I22" i="8"/>
  <c r="I13" i="8"/>
  <c r="I191" i="8"/>
  <c r="I182" i="8"/>
  <c r="I660" i="8"/>
  <c r="I282" i="8"/>
  <c r="I175" i="8"/>
  <c r="I194" i="8"/>
  <c r="I83" i="8"/>
  <c r="I159" i="8"/>
  <c r="I331" i="8"/>
  <c r="I14" i="8"/>
  <c r="I311" i="8"/>
  <c r="I651" i="8"/>
  <c r="I266" i="8"/>
  <c r="I46" i="8"/>
  <c r="I278" i="8"/>
  <c r="E4" i="3" s="1"/>
  <c r="G4" i="3" s="1"/>
  <c r="I222" i="8"/>
  <c r="I305" i="8"/>
  <c r="I271" i="8"/>
  <c r="I343" i="8"/>
  <c r="I707" i="8"/>
  <c r="I713" i="8"/>
  <c r="I391" i="8"/>
  <c r="I287" i="8"/>
  <c r="I744" i="8"/>
  <c r="I131" i="8"/>
  <c r="I116" i="8"/>
  <c r="I670" i="8"/>
  <c r="I57" i="8"/>
  <c r="I130" i="8"/>
  <c r="I223" i="8"/>
  <c r="I236" i="8"/>
  <c r="I679" i="8"/>
  <c r="I293" i="8"/>
  <c r="I193" i="8"/>
  <c r="I205" i="8"/>
  <c r="I97" i="8"/>
  <c r="I186" i="8"/>
  <c r="I375" i="8"/>
  <c r="I52" i="8"/>
  <c r="I59" i="8"/>
  <c r="I53" i="8"/>
  <c r="I289" i="8"/>
  <c r="I245" i="8"/>
  <c r="I312" i="8"/>
  <c r="I277" i="8"/>
  <c r="I350" i="8"/>
  <c r="I722" i="8"/>
  <c r="I367" i="8"/>
  <c r="I316" i="8"/>
  <c r="I747" i="8"/>
  <c r="I295" i="8"/>
  <c r="I143" i="8"/>
  <c r="I25" i="8"/>
  <c r="I662" i="8"/>
  <c r="I69" i="8"/>
  <c r="I678" i="8"/>
  <c r="I235" i="8"/>
  <c r="I734" i="8"/>
  <c r="I348" i="8"/>
  <c r="I338" i="8"/>
  <c r="I215" i="8"/>
  <c r="I216" i="8"/>
  <c r="I126" i="8"/>
  <c r="I196" i="8"/>
  <c r="I737" i="8"/>
  <c r="I386" i="8"/>
  <c r="I58" i="8"/>
  <c r="I93" i="8"/>
  <c r="I366" i="8"/>
  <c r="I86" i="8"/>
  <c r="I741" i="8"/>
  <c r="I258" i="8"/>
  <c r="I275" i="8"/>
  <c r="I183" i="8"/>
  <c r="I385" i="8"/>
  <c r="I696" i="8"/>
  <c r="I299" i="8"/>
  <c r="I656" i="8"/>
  <c r="I674" i="8"/>
  <c r="I44" i="8"/>
  <c r="I26" i="8"/>
  <c r="I280" i="8"/>
  <c r="I55" i="8"/>
  <c r="I667" i="8"/>
  <c r="I226" i="8"/>
  <c r="I272" i="8"/>
  <c r="I153" i="8"/>
  <c r="I669" i="8"/>
  <c r="I218" i="8"/>
  <c r="I657" i="8"/>
  <c r="I65" i="8"/>
  <c r="I387" i="8"/>
  <c r="I106" i="8"/>
  <c r="I377" i="8"/>
  <c r="I100" i="8"/>
  <c r="I290" i="8"/>
  <c r="I313" i="8"/>
  <c r="I201" i="8"/>
  <c r="I332" i="8"/>
  <c r="E132" i="3" s="1"/>
  <c r="G132" i="3" s="1"/>
  <c r="I310" i="8"/>
  <c r="I82" i="8"/>
  <c r="I107" i="8"/>
  <c r="I56" i="8"/>
  <c r="I34" i="8"/>
  <c r="I291" i="8"/>
  <c r="I62" i="8"/>
  <c r="I371" i="8"/>
  <c r="I17" i="8"/>
  <c r="I238" i="8"/>
  <c r="I318" i="8"/>
  <c r="I176" i="8"/>
  <c r="I681" i="8"/>
  <c r="I229" i="8"/>
  <c r="I675" i="8"/>
  <c r="I123" i="8"/>
  <c r="I172" i="8"/>
  <c r="I47" i="8"/>
  <c r="I314" i="8"/>
  <c r="I740" i="8"/>
  <c r="I716" i="8"/>
  <c r="I349" i="8"/>
  <c r="I231" i="8"/>
  <c r="I240" i="8"/>
  <c r="E10" i="3" s="1"/>
  <c r="G10" i="3" s="1"/>
  <c r="I689" i="8"/>
  <c r="I346" i="8"/>
  <c r="I697" i="8"/>
  <c r="I152" i="8"/>
  <c r="I673" i="8"/>
  <c r="I68" i="8"/>
  <c r="I41" i="8"/>
  <c r="I743" i="8"/>
  <c r="I89" i="8"/>
  <c r="I28" i="8"/>
  <c r="I248" i="8"/>
  <c r="I655" i="8"/>
  <c r="I351" i="8"/>
  <c r="I185" i="8"/>
  <c r="I24" i="8"/>
  <c r="I274" i="8"/>
  <c r="I71" i="8"/>
  <c r="I92" i="8"/>
  <c r="I144" i="8"/>
  <c r="I180" i="8"/>
  <c r="I356" i="8"/>
  <c r="I73" i="8"/>
  <c r="I335" i="8"/>
  <c r="I742" i="8"/>
  <c r="I334" i="8"/>
  <c r="I359" i="8"/>
  <c r="I249" i="8"/>
  <c r="I189" i="8"/>
  <c r="I281" i="8"/>
  <c r="I719" i="8"/>
  <c r="I333" i="8"/>
  <c r="I690" i="8"/>
  <c r="I72" i="8"/>
  <c r="I134" i="8"/>
  <c r="I102" i="8"/>
  <c r="I67" i="8"/>
  <c r="I369" i="8"/>
  <c r="I109" i="8"/>
  <c r="I49" i="8"/>
  <c r="I283" i="8"/>
  <c r="I31" i="8"/>
  <c r="I330" i="8"/>
  <c r="I77" i="8"/>
  <c r="I117" i="8"/>
  <c r="I171" i="8"/>
  <c r="I700" i="8"/>
  <c r="I200" i="8"/>
  <c r="I378" i="8"/>
  <c r="I80" i="8"/>
  <c r="I198" i="8"/>
  <c r="I695" i="8"/>
  <c r="I370" i="8"/>
  <c r="I192" i="8"/>
  <c r="I365" i="8"/>
  <c r="I259" i="8"/>
  <c r="I195" i="8"/>
  <c r="I309" i="8"/>
  <c r="I362" i="8"/>
  <c r="I347" i="8"/>
  <c r="I27" i="8"/>
  <c r="I98" i="8"/>
  <c r="I42" i="8"/>
  <c r="I161" i="8"/>
  <c r="I81" i="8"/>
  <c r="I672" i="8"/>
  <c r="I141" i="8"/>
  <c r="I103" i="8"/>
  <c r="I317" i="8"/>
  <c r="I29" i="8"/>
  <c r="I706" i="8"/>
  <c r="I296" i="8"/>
  <c r="I64" i="8"/>
  <c r="I208" i="8"/>
  <c r="I709" i="8"/>
  <c r="I165" i="8"/>
  <c r="I199" i="8"/>
  <c r="I221" i="8"/>
  <c r="I129" i="8"/>
  <c r="I288" i="8"/>
  <c r="I725" i="8"/>
  <c r="I388" i="8"/>
  <c r="I698" i="8"/>
  <c r="I692" i="8"/>
  <c r="I307" i="8"/>
  <c r="I687" i="8"/>
  <c r="I219" i="8"/>
  <c r="I234" i="8"/>
  <c r="I204" i="8"/>
  <c r="I354" i="8"/>
  <c r="I228" i="8"/>
  <c r="I38" i="8"/>
  <c r="I125" i="8"/>
  <c r="I315" i="8"/>
  <c r="I368" i="8"/>
  <c r="I273" i="8"/>
  <c r="I146" i="8"/>
  <c r="I87" i="8"/>
  <c r="I18" i="8"/>
  <c r="I213" i="8"/>
  <c r="I376" i="8"/>
  <c r="I389" i="8"/>
  <c r="I23" i="8"/>
  <c r="I166" i="8"/>
  <c r="E129" i="3" l="1"/>
  <c r="G129" i="3" s="1"/>
  <c r="E134" i="3"/>
  <c r="G134" i="3" s="1"/>
  <c r="E131" i="3"/>
  <c r="G131" i="3" s="1"/>
  <c r="E11" i="3"/>
  <c r="G11" i="3" s="1"/>
  <c r="E8" i="3"/>
  <c r="G8" i="3" s="1"/>
  <c r="E9" i="3"/>
  <c r="G9" i="3" s="1"/>
  <c r="E3" i="3"/>
  <c r="G3" i="3" s="1"/>
  <c r="I217" i="8"/>
  <c r="I99" i="8"/>
  <c r="I360" i="8"/>
  <c r="I357" i="8"/>
  <c r="I352" i="8"/>
  <c r="I339" i="8"/>
  <c r="I328" i="8"/>
  <c r="I683" i="8"/>
  <c r="I329" i="8"/>
  <c r="I684" i="8"/>
  <c r="I729" i="8"/>
  <c r="I90" i="8"/>
  <c r="I757" i="8"/>
  <c r="I752" i="8"/>
  <c r="I762" i="8"/>
  <c r="I320" i="8"/>
  <c r="I78" i="8"/>
  <c r="I319" i="8"/>
  <c r="I324" i="8"/>
  <c r="I761" i="8"/>
  <c r="I756" i="8"/>
  <c r="I751" i="8"/>
  <c r="I753" i="8"/>
  <c r="I748" i="8"/>
  <c r="I758" i="8"/>
  <c r="I390" i="8"/>
  <c r="I327" i="8"/>
  <c r="I682" i="8"/>
  <c r="I355" i="8"/>
  <c r="I358" i="8"/>
  <c r="I760" i="8"/>
  <c r="I755" i="8"/>
  <c r="I750" i="8"/>
  <c r="I749" i="8"/>
  <c r="I759" i="8"/>
  <c r="I754" i="8"/>
  <c r="L11" i="9" l="1"/>
  <c r="I1073" i="8" s="1"/>
  <c r="E107" i="3" s="1"/>
  <c r="G107" i="3" s="1"/>
  <c r="J10" i="3" s="1"/>
  <c r="BM13" i="1" l="1"/>
  <c r="N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Максим</author>
  </authors>
  <commentList>
    <comment ref="D1" authorId="0" shapeId="0" xr:uid="{E0C1F557-93A2-47C4-9920-AE6DD42F9EF0}">
      <text>
        <r>
          <rPr>
            <b/>
            <sz val="9"/>
            <color indexed="81"/>
            <rFont val="Tahoma"/>
            <family val="2"/>
            <charset val="204"/>
          </rPr>
          <t>Вася:</t>
        </r>
        <r>
          <rPr>
            <sz val="9"/>
            <color indexed="81"/>
            <rFont val="Tahoma"/>
            <family val="2"/>
            <charset val="204"/>
          </rPr>
          <t xml:space="preserve">
Прописывать только год - две цифры. Например: 23; 22; 21</t>
        </r>
      </text>
    </comment>
  </commentList>
</comments>
</file>

<file path=xl/sharedStrings.xml><?xml version="1.0" encoding="utf-8"?>
<sst xmlns="http://schemas.openxmlformats.org/spreadsheetml/2006/main" count="6923" uniqueCount="2573">
  <si>
    <t>Дата:</t>
  </si>
  <si>
    <t>Тип изделия:</t>
  </si>
  <si>
    <t>Номер позиции:</t>
  </si>
  <si>
    <t>КВП</t>
  </si>
  <si>
    <t>КВА</t>
  </si>
  <si>
    <t>КД</t>
  </si>
  <si>
    <t>ПУВП</t>
  </si>
  <si>
    <t>ПУВА</t>
  </si>
  <si>
    <t>КДС</t>
  </si>
  <si>
    <t>ПУД</t>
  </si>
  <si>
    <t>ЩД</t>
  </si>
  <si>
    <t>ЩДН</t>
  </si>
  <si>
    <t>Тип изделия</t>
  </si>
  <si>
    <t>Маркировка взрывозащиты</t>
  </si>
  <si>
    <t>1Ex e IIC</t>
  </si>
  <si>
    <t>0Ех ia IIС</t>
  </si>
  <si>
    <t>1Ex ib IIB</t>
  </si>
  <si>
    <t>1Ех e [ia Ga] IIС</t>
  </si>
  <si>
    <t>1Ех e mb IIС</t>
  </si>
  <si>
    <t>ВЗ е-шных коробок</t>
  </si>
  <si>
    <t>ВЗКВПКВА</t>
  </si>
  <si>
    <t>ВЗКДЩДПУД</t>
  </si>
  <si>
    <t>Иднф</t>
  </si>
  <si>
    <t>Столбец1</t>
  </si>
  <si>
    <t>Столбец2</t>
  </si>
  <si>
    <t>ВЗ в формирователь:</t>
  </si>
  <si>
    <t>1Ех e db IIС</t>
  </si>
  <si>
    <t>1Ех e db mb IIС</t>
  </si>
  <si>
    <t>1Ех e db ia IIС</t>
  </si>
  <si>
    <t>1Ех e db [ia Ga] IIС</t>
  </si>
  <si>
    <t>1Ex e db [ib] IIC</t>
  </si>
  <si>
    <t>1Ех e mb ia IIС</t>
  </si>
  <si>
    <t>1Ех e db mb ia IIС</t>
  </si>
  <si>
    <t>Ex tb IIIC</t>
  </si>
  <si>
    <t>Ex ta IIIC</t>
  </si>
  <si>
    <t>РО Ex ia I</t>
  </si>
  <si>
    <t>РП Ex e I</t>
  </si>
  <si>
    <t>РП Ex e db I</t>
  </si>
  <si>
    <t>РП Ex e db ia I</t>
  </si>
  <si>
    <t>КВН</t>
  </si>
  <si>
    <t>ВЗКДС</t>
  </si>
  <si>
    <t xml:space="preserve">1Ex db IIC Gb </t>
  </si>
  <si>
    <t>TK</t>
  </si>
  <si>
    <t>Температурный класс</t>
  </si>
  <si>
    <t>КВП_О</t>
  </si>
  <si>
    <t>КВА_О</t>
  </si>
  <si>
    <t>КД_О</t>
  </si>
  <si>
    <t>ЩД_О</t>
  </si>
  <si>
    <t>ПУД_О</t>
  </si>
  <si>
    <t>КДС_О</t>
  </si>
  <si>
    <t>ВО.121210</t>
  </si>
  <si>
    <t>ВО.121610</t>
  </si>
  <si>
    <t>ВО.122110</t>
  </si>
  <si>
    <t>ВО.122610</t>
  </si>
  <si>
    <t>ВО.233223</t>
  </si>
  <si>
    <t>ВО.324226</t>
  </si>
  <si>
    <t>ВО.385726</t>
  </si>
  <si>
    <t>ВО.476726</t>
  </si>
  <si>
    <t>ВО.476736</t>
  </si>
  <si>
    <t>оболочки_серия_КД</t>
  </si>
  <si>
    <t>Артикул</t>
  </si>
  <si>
    <t>Габарит</t>
  </si>
  <si>
    <t>Масса, кг</t>
  </si>
  <si>
    <t>Цена</t>
  </si>
  <si>
    <t>Наименование</t>
  </si>
  <si>
    <t>120x120x100</t>
  </si>
  <si>
    <t>ВО.121210 - Взрывонепроницаемая оболочка ВЗОР из алюминиевого сплава серии ВО, 120x120x100 мм, Ex db IIB+H2 Gb U, IP66</t>
  </si>
  <si>
    <t>120x160x100</t>
  </si>
  <si>
    <t>ВО.121610 - Взрывонепроницаемая оболочка ВЗОР из алюминиевого сплава серии ВО, 120x160x100 мм, Ex db IIB+H2 Gb U, IP66</t>
  </si>
  <si>
    <t>120x210x100</t>
  </si>
  <si>
    <t>ВО.122110 - Взрывонепроницаемая оболочка ВЗОР из алюминиевого сплава серии ВО, 120x210x100 мм, Ex db IIB+H2 Gb U, IP66</t>
  </si>
  <si>
    <t>120x260x100</t>
  </si>
  <si>
    <t>ВО.122610 - Взрывонепроницаемая оболочка ВЗОР из алюминиевого сплава серии ВО, 120x260x100 мм, Ex db IIB+H2 Gb U, IP66</t>
  </si>
  <si>
    <t>228x318x238</t>
  </si>
  <si>
    <t>ВО.233223 - Взрывонепроницаемая оболочка ВЗОР из алюминиевого сплава серии ВО, 228x318x238 мм, Ex db IIB+H2 Gb U, IP66</t>
  </si>
  <si>
    <t>320x420x270</t>
  </si>
  <si>
    <t>ВО.324226 - Взрывонепроницаемая оболочка ВЗОР из алюминиевого сплава серии ВО, 320x420x270 мм, Ex db IIB+H2 Gb U, IP66</t>
  </si>
  <si>
    <t>386x576x270</t>
  </si>
  <si>
    <t>ВО.385726 - Взрывонепроницаемая оболочка ВЗОР из алюминиевого сплава серии ВО, 386x576x270 мм, Ex db IIB+H2 Gb U, IP66</t>
  </si>
  <si>
    <t xml:space="preserve"> 477x677x280</t>
  </si>
  <si>
    <t>ВО.476726 - Взрывонепроницаемая оболочка ВЗОР из алюминиевого сплава серии ВО, 477x677x280 мм, Ex db IIB+H2 Gb U, IP66</t>
  </si>
  <si>
    <t xml:space="preserve"> 477x677x380</t>
  </si>
  <si>
    <t>ВО.476736 - Взрывонепроницаемая оболочка ВЗОР из алюминиевого сплава серии ВО, 477x677x380 мм, Ex db IIB+H2 Gb U, IP66</t>
  </si>
  <si>
    <t>ВОС.171714</t>
  </si>
  <si>
    <t>168x168x141</t>
  </si>
  <si>
    <t>ВОС.202015</t>
  </si>
  <si>
    <t>198x198x152</t>
  </si>
  <si>
    <t>ВОС.242417</t>
  </si>
  <si>
    <t>240x240x171</t>
  </si>
  <si>
    <t>ВОС.282822</t>
  </si>
  <si>
    <t>277х277х228</t>
  </si>
  <si>
    <t>ВОС.282822 - Взрывонепроницаемая оболочка ВЗОР из алюминиевого сплава серии ВОС, 277x277x228 мм, Ex db IIC Gb U, IP66</t>
  </si>
  <si>
    <t>ОБОЛОЧКИ ЩД</t>
  </si>
  <si>
    <t>ОБОЛОЧКИ КД</t>
  </si>
  <si>
    <t>ВА.121209</t>
  </si>
  <si>
    <t>123х123х90</t>
  </si>
  <si>
    <t>ВА.221209</t>
  </si>
  <si>
    <t>220х123х90</t>
  </si>
  <si>
    <t>ВА.161609</t>
  </si>
  <si>
    <t>160x160x91</t>
  </si>
  <si>
    <t>ВА.261609</t>
  </si>
  <si>
    <t>260x160x91</t>
  </si>
  <si>
    <t>ВП.110806</t>
  </si>
  <si>
    <t>ВП.150806</t>
  </si>
  <si>
    <t>ВП.121209</t>
  </si>
  <si>
    <t>ВП.122209</t>
  </si>
  <si>
    <t>ВП.161609</t>
  </si>
  <si>
    <t>ВП.161610</t>
  </si>
  <si>
    <t>160х160х100</t>
  </si>
  <si>
    <t>ВП.261609</t>
  </si>
  <si>
    <t>.324226</t>
  </si>
  <si>
    <t>.385726</t>
  </si>
  <si>
    <t>.476726</t>
  </si>
  <si>
    <t>.476736</t>
  </si>
  <si>
    <t>.121210</t>
  </si>
  <si>
    <t>.121610</t>
  </si>
  <si>
    <t>.122110</t>
  </si>
  <si>
    <t>.122610</t>
  </si>
  <si>
    <t>.233223</t>
  </si>
  <si>
    <t>.171714</t>
  </si>
  <si>
    <t>.202015</t>
  </si>
  <si>
    <t>.242417</t>
  </si>
  <si>
    <t>.282822</t>
  </si>
  <si>
    <t>.110806</t>
  </si>
  <si>
    <t>.150806</t>
  </si>
  <si>
    <t>.121209</t>
  </si>
  <si>
    <t>.122209</t>
  </si>
  <si>
    <t>.161609</t>
  </si>
  <si>
    <t>.161610</t>
  </si>
  <si>
    <t>.261609</t>
  </si>
  <si>
    <t>.221209</t>
  </si>
  <si>
    <t>.121210-</t>
  </si>
  <si>
    <t>.121610-</t>
  </si>
  <si>
    <t>.122110-</t>
  </si>
  <si>
    <t>.122610-</t>
  </si>
  <si>
    <t>.233223-</t>
  </si>
  <si>
    <t>.324226-</t>
  </si>
  <si>
    <t>.385726-</t>
  </si>
  <si>
    <t>.476726-</t>
  </si>
  <si>
    <t>.476736-</t>
  </si>
  <si>
    <t>Взрывонепроницаемая клеммная коробка из алюминиевого сплава серии КД</t>
  </si>
  <si>
    <t>Взрывонепроницаемый пульт управления из алюминиевого сплава серии ПУД</t>
  </si>
  <si>
    <t>Взрывонепроницаемое устройство управления из алюминиевого сплава серии ЩД</t>
  </si>
  <si>
    <t>Взрывозащищенный пульт из алюминиевого сплава ПУВА</t>
  </si>
  <si>
    <t>КВС</t>
  </si>
  <si>
    <t>Взрывозащищенная клеммная коробка из нержавеющей стали КВН</t>
  </si>
  <si>
    <t>ПУВН</t>
  </si>
  <si>
    <t>Взрывозащищенный пульт из нержавеющей стали ПУВН</t>
  </si>
  <si>
    <t>ПУВС</t>
  </si>
  <si>
    <t>Взрывозащищенный пульт из стали с антикоррозийным покрытием ПУВС</t>
  </si>
  <si>
    <t>IP</t>
  </si>
  <si>
    <t>110х80х60</t>
  </si>
  <si>
    <t>150х80х60</t>
  </si>
  <si>
    <t>Кабельные вводы сторона А:</t>
  </si>
  <si>
    <t>Тип</t>
  </si>
  <si>
    <t>Количество</t>
  </si>
  <si>
    <t>Небронь</t>
  </si>
  <si>
    <t>Бронь</t>
  </si>
  <si>
    <t>Небронь в МР</t>
  </si>
  <si>
    <t>Бронь в МР</t>
  </si>
  <si>
    <t>Небронь в трубе</t>
  </si>
  <si>
    <t>Бронь в трубе</t>
  </si>
  <si>
    <t>кронштейн на трубу</t>
  </si>
  <si>
    <t>резьбовая заглушка</t>
  </si>
  <si>
    <t>ВЗН</t>
  </si>
  <si>
    <t>ВЗ-Н12</t>
  </si>
  <si>
    <t>2-6</t>
  </si>
  <si>
    <t>ВЗ-Н16</t>
  </si>
  <si>
    <t>3-8</t>
  </si>
  <si>
    <t>ВЗ-Н20</t>
  </si>
  <si>
    <t>6-14</t>
  </si>
  <si>
    <t>ВЗ-Н25</t>
  </si>
  <si>
    <t>12-18</t>
  </si>
  <si>
    <t>ВЗ-Н32</t>
  </si>
  <si>
    <t>18-25</t>
  </si>
  <si>
    <t>ВЗ-Н40</t>
  </si>
  <si>
    <t>25-31</t>
  </si>
  <si>
    <t>ВЗ-Н50</t>
  </si>
  <si>
    <t>31-39</t>
  </si>
  <si>
    <t>ВЗ-Н63</t>
  </si>
  <si>
    <t>39-47</t>
  </si>
  <si>
    <t>ВЗ-Н75</t>
  </si>
  <si>
    <t>47-55</t>
  </si>
  <si>
    <t>ВЗ-Н75А</t>
  </si>
  <si>
    <t>55-63</t>
  </si>
  <si>
    <t>ВЗ-Н90</t>
  </si>
  <si>
    <t>63-71</t>
  </si>
  <si>
    <t>ВЗ-Н90А</t>
  </si>
  <si>
    <t>71-79</t>
  </si>
  <si>
    <t>ВЗ-Н90В</t>
  </si>
  <si>
    <t>ВЗ-Н90С</t>
  </si>
  <si>
    <t>ВЗ-Н100</t>
  </si>
  <si>
    <t>79-87</t>
  </si>
  <si>
    <t>ВЗ-Н100А</t>
  </si>
  <si>
    <t>84-92</t>
  </si>
  <si>
    <t>ВЗ-Н100В</t>
  </si>
  <si>
    <t>ВЗ-Н100С</t>
  </si>
  <si>
    <t>Серия</t>
  </si>
  <si>
    <t>Список выбора</t>
  </si>
  <si>
    <t>ВЗБ</t>
  </si>
  <si>
    <t>ВЗНМР</t>
  </si>
  <si>
    <t>ВЗБМР</t>
  </si>
  <si>
    <t>ВЗНТ</t>
  </si>
  <si>
    <t>ВзБТ</t>
  </si>
  <si>
    <t>ВЗП/КР 40</t>
  </si>
  <si>
    <t>ВЗР</t>
  </si>
  <si>
    <t>Кабельные вводы сторона Б:</t>
  </si>
  <si>
    <t>ВЗ-Б12</t>
  </si>
  <si>
    <t>ВЗ-Б16</t>
  </si>
  <si>
    <t>ВЗ-Б20</t>
  </si>
  <si>
    <t>ВЗ-Б25</t>
  </si>
  <si>
    <t>ВЗ-Б32</t>
  </si>
  <si>
    <t>ВЗ-Б40</t>
  </si>
  <si>
    <t>ВЗ-Б50</t>
  </si>
  <si>
    <t>ВЗ-Б63</t>
  </si>
  <si>
    <t>ВЗ-Н16-МР12</t>
  </si>
  <si>
    <t>ВЗ-Н20-МР15</t>
  </si>
  <si>
    <t>ВЗ-Н20-МР16</t>
  </si>
  <si>
    <t>ВЗ-Н20-МР18</t>
  </si>
  <si>
    <t>ВЗ-Н20-МР20</t>
  </si>
  <si>
    <t>ВЗ-Н20-МР22</t>
  </si>
  <si>
    <t>ВЗ-Н20-МР25</t>
  </si>
  <si>
    <t>ВЗ-Н25-МР18</t>
  </si>
  <si>
    <t>ВЗ-Н25-МР20</t>
  </si>
  <si>
    <t>ВЗ-Н25-МР22</t>
  </si>
  <si>
    <t>ВЗ-Н25-МР25</t>
  </si>
  <si>
    <t>ВЗ-Н25-МР32</t>
  </si>
  <si>
    <t>ВЗ-Н32-МР25</t>
  </si>
  <si>
    <t>ВЗ-Н32-МР32</t>
  </si>
  <si>
    <t>ВЗ-Н32-МР38</t>
  </si>
  <si>
    <t>ВЗ-Н40-МР32</t>
  </si>
  <si>
    <t>ВЗ-Н40-МР38</t>
  </si>
  <si>
    <t>Вид клеммы</t>
  </si>
  <si>
    <t>Производитель</t>
  </si>
  <si>
    <t>Температура эксплуатации от:</t>
  </si>
  <si>
    <t>Температура эксплуатации до:</t>
  </si>
  <si>
    <t>Кабельные вводы сторона В:</t>
  </si>
  <si>
    <t>Кабельные вводы сторона Г:</t>
  </si>
  <si>
    <t>Клеммы</t>
  </si>
  <si>
    <t>Weidmueller</t>
  </si>
  <si>
    <t>Phoenix contact</t>
  </si>
  <si>
    <t>Klemsan</t>
  </si>
  <si>
    <t>Винтовая</t>
  </si>
  <si>
    <t>Пружинная</t>
  </si>
  <si>
    <t>Болтовая</t>
  </si>
  <si>
    <t>Вид</t>
  </si>
  <si>
    <t>"   -   "</t>
  </si>
  <si>
    <t>WDU 2,5</t>
  </si>
  <si>
    <t>WDU 4</t>
  </si>
  <si>
    <t>WDU 6</t>
  </si>
  <si>
    <t>WDU 10</t>
  </si>
  <si>
    <t>WDU 16</t>
  </si>
  <si>
    <t>WDU 35</t>
  </si>
  <si>
    <t>WDU 50N</t>
  </si>
  <si>
    <t>WDU 70/95</t>
  </si>
  <si>
    <t>WDU 120/150</t>
  </si>
  <si>
    <t>WDU 240</t>
  </si>
  <si>
    <t>TS15</t>
  </si>
  <si>
    <t>TS35</t>
  </si>
  <si>
    <t xml:space="preserve">сечение </t>
  </si>
  <si>
    <t>артикул</t>
  </si>
  <si>
    <t>ИФКР</t>
  </si>
  <si>
    <t>Проходная</t>
  </si>
  <si>
    <t>Сечение</t>
  </si>
  <si>
    <t>Стандарт</t>
  </si>
  <si>
    <t>Нулевые (ИБ- цепь)</t>
  </si>
  <si>
    <t>WDU 2,5 BL</t>
  </si>
  <si>
    <t>WDU 4 BL</t>
  </si>
  <si>
    <t>WDU 6 BL</t>
  </si>
  <si>
    <t>WDU 10 BL</t>
  </si>
  <si>
    <t>WDU 16 BL</t>
  </si>
  <si>
    <t>WDU 35 BL</t>
  </si>
  <si>
    <t>WDU 50N BL</t>
  </si>
  <si>
    <t>WDU 70/95 BL</t>
  </si>
  <si>
    <t>WDU 120/150 BL</t>
  </si>
  <si>
    <t>WDU 240 BL</t>
  </si>
  <si>
    <t>Тип2</t>
  </si>
  <si>
    <t>WPE 2,5</t>
  </si>
  <si>
    <t>WPE 4</t>
  </si>
  <si>
    <t>WPE 6</t>
  </si>
  <si>
    <t>WPE 10</t>
  </si>
  <si>
    <t>WPE 16</t>
  </si>
  <si>
    <t>WPE 35</t>
  </si>
  <si>
    <t>WPE 50N</t>
  </si>
  <si>
    <t>WPE 70/95</t>
  </si>
  <si>
    <t>WPE 120/150</t>
  </si>
  <si>
    <t>WAP 2.5-10</t>
  </si>
  <si>
    <t>WAP 16+35 WTW 2.5-10</t>
  </si>
  <si>
    <t>AKZ 2.5</t>
  </si>
  <si>
    <t>AKE 2.5</t>
  </si>
  <si>
    <t>AKZ 2.5 BL</t>
  </si>
  <si>
    <t>AKZ 4</t>
  </si>
  <si>
    <t>AKE 4</t>
  </si>
  <si>
    <t>AKZ 4 BL</t>
  </si>
  <si>
    <t>UT 2,5</t>
  </si>
  <si>
    <t>UT 4</t>
  </si>
  <si>
    <t>UT 6</t>
  </si>
  <si>
    <t>UT 10</t>
  </si>
  <si>
    <t>UT 16</t>
  </si>
  <si>
    <t>UT 35</t>
  </si>
  <si>
    <t>UKH 50</t>
  </si>
  <si>
    <t>UKH 70</t>
  </si>
  <si>
    <t>UKH 95</t>
  </si>
  <si>
    <t>-</t>
  </si>
  <si>
    <t>UKH 150</t>
  </si>
  <si>
    <t>UKH 240</t>
  </si>
  <si>
    <t>ZDU 1,5</t>
  </si>
  <si>
    <t>ZPE 1,5</t>
  </si>
  <si>
    <t>ZDU 1,5 BL</t>
  </si>
  <si>
    <t>ZAP/TW ZDU1.5/2AN</t>
  </si>
  <si>
    <t>ZDU 2,5</t>
  </si>
  <si>
    <t>ZPE 2,5</t>
  </si>
  <si>
    <t>ZDU 2,5 BL</t>
  </si>
  <si>
    <t>ZAP/TW 1</t>
  </si>
  <si>
    <t>ZDU 4</t>
  </si>
  <si>
    <t>ZPE 4</t>
  </si>
  <si>
    <t>ZDU 4 BL</t>
  </si>
  <si>
    <t>ZAP/TW 4</t>
  </si>
  <si>
    <t>ZDU 6</t>
  </si>
  <si>
    <t>ZPE 6</t>
  </si>
  <si>
    <t>ZDU 6 BL</t>
  </si>
  <si>
    <t>ZAP/TW 5</t>
  </si>
  <si>
    <t>ZDU 10</t>
  </si>
  <si>
    <t>ZPE 10</t>
  </si>
  <si>
    <t>ZDU 10 BL</t>
  </si>
  <si>
    <t>ZAP/TW ZDU10</t>
  </si>
  <si>
    <t>ZDU 16</t>
  </si>
  <si>
    <t>ZPE 16</t>
  </si>
  <si>
    <t>ZDU 16 BL</t>
  </si>
  <si>
    <t>ZAP/TW ZDU16</t>
  </si>
  <si>
    <t>ZDU 35</t>
  </si>
  <si>
    <t>ZPE 35</t>
  </si>
  <si>
    <t>ZDU 35 BL</t>
  </si>
  <si>
    <t>UT 2,5-PE</t>
  </si>
  <si>
    <t>UT 2,5 BU</t>
  </si>
  <si>
    <t>D-UT 2,5/10</t>
  </si>
  <si>
    <t>ST 1,5</t>
  </si>
  <si>
    <t>ST 1,5-PE</t>
  </si>
  <si>
    <t>ST 1,5 BU</t>
  </si>
  <si>
    <t>D-ST 2,5</t>
  </si>
  <si>
    <t>UT 4-PE</t>
  </si>
  <si>
    <t>UT 4 BU</t>
  </si>
  <si>
    <t>ST 2,5</t>
  </si>
  <si>
    <t>ST 2,5-PE</t>
  </si>
  <si>
    <t>ST 2,5 BU</t>
  </si>
  <si>
    <t>UT 6-PE</t>
  </si>
  <si>
    <t>UT 6 BU</t>
  </si>
  <si>
    <t>ST 4</t>
  </si>
  <si>
    <t>ST 4-PE</t>
  </si>
  <si>
    <t>ST 4 BU</t>
  </si>
  <si>
    <t>D-ST 4</t>
  </si>
  <si>
    <t>UT 10-PE</t>
  </si>
  <si>
    <t>UT 10 BU</t>
  </si>
  <si>
    <t>ST 6</t>
  </si>
  <si>
    <t>ST 6-PE</t>
  </si>
  <si>
    <t>ST 6 BU</t>
  </si>
  <si>
    <t>D-ST 6</t>
  </si>
  <si>
    <t>UT 16-PE</t>
  </si>
  <si>
    <t>UT 16 BU</t>
  </si>
  <si>
    <t>ST 10</t>
  </si>
  <si>
    <t>ST 10-PE</t>
  </si>
  <si>
    <t>ST 10 BU</t>
  </si>
  <si>
    <t>D-ST 10</t>
  </si>
  <si>
    <t>UT 35-PE</t>
  </si>
  <si>
    <t>UT 35 BU</t>
  </si>
  <si>
    <t>ST 16</t>
  </si>
  <si>
    <t>ST 16-PE</t>
  </si>
  <si>
    <t>ST 16 BU</t>
  </si>
  <si>
    <t>D-ST 16</t>
  </si>
  <si>
    <t>USLKG 50</t>
  </si>
  <si>
    <t>UKH 50 BU</t>
  </si>
  <si>
    <t>ST 35</t>
  </si>
  <si>
    <t>ST 35-PE</t>
  </si>
  <si>
    <t>ST 35 BU</t>
  </si>
  <si>
    <t>USLKG 95</t>
  </si>
  <si>
    <t>UKH 70 BU</t>
  </si>
  <si>
    <t>UKH 95 BU</t>
  </si>
  <si>
    <t>UKH 150 BU</t>
  </si>
  <si>
    <t>UKH 240 BU</t>
  </si>
  <si>
    <t>Кол-во</t>
  </si>
  <si>
    <t>Кронштейн на трубу</t>
  </si>
  <si>
    <t>Резьбовая заглушка</t>
  </si>
  <si>
    <t>Номер запроса:</t>
  </si>
  <si>
    <t>Расположение оболочки</t>
  </si>
  <si>
    <t>Вертикально</t>
  </si>
  <si>
    <t>Горизонтально</t>
  </si>
  <si>
    <t>Взрывонепроницаемая клеммная коробка из алюминиевого сплава серии КДС</t>
  </si>
  <si>
    <t>ВЗПУВППУВА</t>
  </si>
  <si>
    <t>ЩДН_О</t>
  </si>
  <si>
    <t>КВО.118042</t>
  </si>
  <si>
    <t>НВО.118042</t>
  </si>
  <si>
    <t>ЩДК</t>
  </si>
  <si>
    <t>ЩДК_О</t>
  </si>
  <si>
    <t>Диаметр кабеля, мм</t>
  </si>
  <si>
    <t>ВЗ-Б20-Т1/2G(Н)/МР15</t>
  </si>
  <si>
    <t>9-17</t>
  </si>
  <si>
    <t>ВЗ-Б20-Т3/4G(Н)/МР20</t>
  </si>
  <si>
    <t>ВЗ-Б20-Т1G(Н)/МР25</t>
  </si>
  <si>
    <t>ВЗ-Б25-Т3/4G(Н)/МР20</t>
  </si>
  <si>
    <t>15-25</t>
  </si>
  <si>
    <t>ВЗ-Б25-Т1G(Н)/МР25</t>
  </si>
  <si>
    <t>ВЗ-Б25-Т1.1/4G(Н)/МР32</t>
  </si>
  <si>
    <t>ВЗ-Б32-Т1G(Н)/МР25</t>
  </si>
  <si>
    <t>21-31</t>
  </si>
  <si>
    <t>ВЗ-Б32-Т1.1/4G(Н)/МР32</t>
  </si>
  <si>
    <t>ВЗ-Б32-Т1.1/2G(Н)/МР38</t>
  </si>
  <si>
    <t>ВЗ-Н16-Т3/8G(В)</t>
  </si>
  <si>
    <t>ВЗ-Н16-Т3/8(В)</t>
  </si>
  <si>
    <t>ВЗ-Н16-Т3/8G(Н)</t>
  </si>
  <si>
    <t>ВЗ-Н16-Т3/8(Н)</t>
  </si>
  <si>
    <t>ВЗ-Н16-Т1/2G(В)</t>
  </si>
  <si>
    <t>ВЗ-Н16-Т1/2(В)</t>
  </si>
  <si>
    <t>ВЗ-Н16-Т1/2G(Н)</t>
  </si>
  <si>
    <t>ВЗ-Н16-Т1/2(Н)</t>
  </si>
  <si>
    <t>ВЗ-Н20-Т1/2G(В)</t>
  </si>
  <si>
    <t>ВЗ-Н20-Т1/2(В)</t>
  </si>
  <si>
    <t>ВЗ-Н20-Т1/2G(Н)</t>
  </si>
  <si>
    <t>ВЗ-Н20-Т1/2(Н)</t>
  </si>
  <si>
    <t>ВЗ-Н20-Т3/4G(В)</t>
  </si>
  <si>
    <t>ВЗ-Н20-Т3/4(В)</t>
  </si>
  <si>
    <t>ВЗ-Н20-Т3/4G(Н)</t>
  </si>
  <si>
    <t>ВЗ-Н20-Т3/4(Н)</t>
  </si>
  <si>
    <t>ВЗ-Н25-Т3/4G(В)</t>
  </si>
  <si>
    <t>ВЗ-Н25-Т3/4(В)</t>
  </si>
  <si>
    <t>ВЗ-Н25-Т3/4G(Н)</t>
  </si>
  <si>
    <t>ВЗ-Н25-Т3/4(Н)</t>
  </si>
  <si>
    <t>ВЗ-Н25-Т1G(В)</t>
  </si>
  <si>
    <t>ВЗ-Н25-Т1(В)</t>
  </si>
  <si>
    <t>ВЗ-Н25-Т1G(Н)</t>
  </si>
  <si>
    <t>ВЗ-Н25-Т1(Н)</t>
  </si>
  <si>
    <t>ВЗ-Н32-Т1G(В)</t>
  </si>
  <si>
    <t>ВЗ-Н32-Т1(В)</t>
  </si>
  <si>
    <t>ВЗ-Н32-Т1G(Н)</t>
  </si>
  <si>
    <t>ВЗ-Н32-Т1(Н)</t>
  </si>
  <si>
    <t>ВЗ-Н32-Т1.1/4G(В)</t>
  </si>
  <si>
    <t>ВЗ-Н32-Т1.1/4(В)</t>
  </si>
  <si>
    <t>ВЗ-Н32-Т1.1/4G(Н)</t>
  </si>
  <si>
    <t>ВЗ-Н32-Т1.1/4(Н)</t>
  </si>
  <si>
    <t>ВЗ-Н40-Т1.1/4G(В)</t>
  </si>
  <si>
    <t>ВЗ-Н40-Т1.1/4(В)</t>
  </si>
  <si>
    <t>ВЗ-Н40-Т1.1/4G(Н)</t>
  </si>
  <si>
    <t>ВЗ-Н40-Т1.1/4(Н)</t>
  </si>
  <si>
    <t>ВЗ-Н40-Т1.1/2G(В)</t>
  </si>
  <si>
    <t>ВЗ-Н40-Т1.1/2(В)</t>
  </si>
  <si>
    <t>ВЗ-Н40-Т1.1/2G(Н)</t>
  </si>
  <si>
    <t>ВЗ-Н40-Т1.1/2(Н)</t>
  </si>
  <si>
    <t>ВЗ-Н50-Т1.1/2G(В)</t>
  </si>
  <si>
    <t>ВЗ-Н50-Т1.1/2(В)</t>
  </si>
  <si>
    <t>ВЗ-Н50-Т1.1/2G(Н)</t>
  </si>
  <si>
    <t>ВЗ-Н50-Т1.1/2(Н)</t>
  </si>
  <si>
    <t>ВЗ-Н50-Т2G(В)</t>
  </si>
  <si>
    <t>ВЗ-Н50-Т2(В)</t>
  </si>
  <si>
    <t>ВЗ-Н50-Т2G(Н)</t>
  </si>
  <si>
    <t>ВЗ-Н50-Т2(Н)</t>
  </si>
  <si>
    <t>Иде вводов</t>
  </si>
  <si>
    <t>Шина заземления (соединена с зажимом заземления)</t>
  </si>
  <si>
    <t>Арт.</t>
  </si>
  <si>
    <t>Наимен.</t>
  </si>
  <si>
    <t>10 отв.</t>
  </si>
  <si>
    <t>Шина для экранов</t>
  </si>
  <si>
    <t>16 отв.</t>
  </si>
  <si>
    <t>Кол-во отв.</t>
  </si>
  <si>
    <t>Стоимость</t>
  </si>
  <si>
    <t>8 отв.</t>
  </si>
  <si>
    <t>ШНИ-6х9-8-Д-Ж</t>
  </si>
  <si>
    <t>ШНИ-6х9-10-Д-Ж</t>
  </si>
  <si>
    <t>12 отв.</t>
  </si>
  <si>
    <t>ШНИ-6х9-12-Д-Ж</t>
  </si>
  <si>
    <t>14 отв.</t>
  </si>
  <si>
    <t>ШНИ-6х9-14-Д-Ж</t>
  </si>
  <si>
    <t>ШНИ-6х9-16-Д-Ж</t>
  </si>
  <si>
    <t>18 отв.</t>
  </si>
  <si>
    <t>ШНИ-6х9-18-Д-Ж</t>
  </si>
  <si>
    <t xml:space="preserve">20 отв. </t>
  </si>
  <si>
    <t>ШНИ-6х9-20-Д-Ж</t>
  </si>
  <si>
    <t>шина экранов</t>
  </si>
  <si>
    <t>ШНИ-6х9-8-Д-С</t>
  </si>
  <si>
    <t>ШНИ-6х9-10-Д-С</t>
  </si>
  <si>
    <t>ШНИ-6х9-12-Д-С</t>
  </si>
  <si>
    <t>ШНИ-6х9-14-Д-С</t>
  </si>
  <si>
    <t>ШНИ-6х9-16-Д-С</t>
  </si>
  <si>
    <t>ШНИ-6х9-18-Д-С</t>
  </si>
  <si>
    <t>ШНИ-6х9-20-Д-С</t>
  </si>
  <si>
    <t>Номер peвизии:</t>
  </si>
  <si>
    <t>PE</t>
  </si>
  <si>
    <t xml:space="preserve">Шина PE земля на DIN-изолятоPE ШНИ-6х9-8-Д-Ж ИЭК </t>
  </si>
  <si>
    <t>№ п/п</t>
  </si>
  <si>
    <t xml:space="preserve">К  л  е  м  м  н  ы  й       н  а  б  о  р   </t>
  </si>
  <si>
    <t xml:space="preserve">Элемент </t>
  </si>
  <si>
    <t>Краткое описание</t>
  </si>
  <si>
    <t>Примечание</t>
  </si>
  <si>
    <t>Элементы</t>
  </si>
  <si>
    <t>Переключатель (АВ)</t>
  </si>
  <si>
    <t>Переключатель (КП)</t>
  </si>
  <si>
    <t>Кнопка "ПУСК"</t>
  </si>
  <si>
    <t>ВД-РА</t>
  </si>
  <si>
    <t>ВД-РСА</t>
  </si>
  <si>
    <t>Кнопка "СТОП" (Гриб)</t>
  </si>
  <si>
    <t>Окно</t>
  </si>
  <si>
    <t>ВД-ЛМ(Б)-24</t>
  </si>
  <si>
    <t>Взрывонепроницаемая лампа ВД-ЛМ, белая, М32х1.5, = 24 B, Ex db IIС Gb U, IP66 / IP67</t>
  </si>
  <si>
    <t>ВД-ЛМ(Б)-230</t>
  </si>
  <si>
    <t>Взрывонепроницаемая лампа ВД-ЛМ, белая, М32х1.5, 1~230 B, Ex db IIС Gb U, IP66 / IP67</t>
  </si>
  <si>
    <t>Лампа</t>
  </si>
  <si>
    <t>ВД-ЛМ(К)-24</t>
  </si>
  <si>
    <t>Взрывонепроницаемая лампа ВД-ЛМ, красная, М32х1.5, = 24 B, Ex db IIС Gb U, IP66 / IP67</t>
  </si>
  <si>
    <t>ВД-ЛМ(Ж)-24</t>
  </si>
  <si>
    <t>Взрывонепроницаемая лампа ВД-ЛМ, желтая, М32х1.5, = 24 B, Ex db IIС Gb U, IP66 / IP67</t>
  </si>
  <si>
    <t>ВД-ЛМ(З)-24</t>
  </si>
  <si>
    <t>Взрывонепроницаемая лампа ВД-ЛМ, зеленая, М32х1.5, = 24 B, Ex db IIС Gb U, IP66 / IP67</t>
  </si>
  <si>
    <t>ВД-ЛМ(С)-24</t>
  </si>
  <si>
    <t>Взрывонепроницаемая лампа ВД-ЛМ, синяя, М32х1.5, = 24 B, Ex db IIС Gb U, IP66 / IP67</t>
  </si>
  <si>
    <t>ВД-ЛМ(К)-230</t>
  </si>
  <si>
    <t>Взрывонепроницаемая лампа ВД-ЛМ, красная, М32х1.5, 1~230 B, Ex db IIС Gb U, IP66 / IP67</t>
  </si>
  <si>
    <t>ВД-ЛМ(Ж)-230</t>
  </si>
  <si>
    <t>Взрывонепроницаемая лампа ВД-ЛМ, желтая, М32х1.5, 1~230 B, Ex db IIС Gb U, IP66 / IP67</t>
  </si>
  <si>
    <t>ВД-ЛМ(З)-230</t>
  </si>
  <si>
    <t>Взрывонепроницаемая лампа ВД-ЛМ, зеленая, М32х1.5, 1~230 B, Ex db IIС Gb U, IP66 / IP67</t>
  </si>
  <si>
    <t>ВД-ЛМ(С)-230</t>
  </si>
  <si>
    <t>Взрывонепроницаемая лампа ВД-ЛМ, синяя, М32х1.5, 1~230 B, Ex db IIС Gb U, IP66 / IP67</t>
  </si>
  <si>
    <t>ОКНО296x48</t>
  </si>
  <si>
    <t>ОКНО1 (48x48)</t>
  </si>
  <si>
    <t>ОКНО3(60x60)</t>
  </si>
  <si>
    <t>ОКНО4(75x75)</t>
  </si>
  <si>
    <t>ОКНО5(150x75)</t>
  </si>
  <si>
    <t>ОКНО6(150x150)</t>
  </si>
  <si>
    <t>ОКНО7(300x75)</t>
  </si>
  <si>
    <t>ОКНО8(300x150)</t>
  </si>
  <si>
    <t>ОКНО9(300x200)</t>
  </si>
  <si>
    <t>ОКНО10(300x300)</t>
  </si>
  <si>
    <t>ОКНО11(450x300)</t>
  </si>
  <si>
    <t>Окно смотровое из поликарбоната</t>
  </si>
  <si>
    <t>N</t>
  </si>
  <si>
    <t>Перемычка</t>
  </si>
  <si>
    <t>Переключатель модульного автомата (узел управления)</t>
  </si>
  <si>
    <t>Переключатель силового автомата (узел управления)</t>
  </si>
  <si>
    <t>окно</t>
  </si>
  <si>
    <t>ПАВ</t>
  </si>
  <si>
    <t>ПКП</t>
  </si>
  <si>
    <t>КП</t>
  </si>
  <si>
    <t>КСГ</t>
  </si>
  <si>
    <t>Идентификатор</t>
  </si>
  <si>
    <t>ВД-РП</t>
  </si>
  <si>
    <t>Ручка  пакетного (кулачкового) переключателя</t>
  </si>
  <si>
    <t>ВД-РР</t>
  </si>
  <si>
    <t>Ручка управления переменного поворотного резистора</t>
  </si>
  <si>
    <t>ВД-НК(Ч)-11</t>
  </si>
  <si>
    <t>Взрывонепроницаемая кнопка ВД-НК, без фиксации, черная насадка, контактная группа 1НР+1НЗ, Ex db IIC Gb U, Ex ia IIC Ga U, IP66 / IP67</t>
  </si>
  <si>
    <t>ВД-НК(Ч)-20</t>
  </si>
  <si>
    <t>Взрывонепроницаемая кнопка ВД-НК, без фиксации, черная насадка, контактная группа 2НР, Ex db IIC Gb U, Ex ia IIC Ga U, IP66 / IP67</t>
  </si>
  <si>
    <t>ВД-НК(Ч)-02</t>
  </si>
  <si>
    <t>Взрывонепроницаемая кнопка ВД-НК, без фиксации, черная насадка, контактная группа 2НЗ, Ex db IIC Gb U, Ex ia IIC Ga U, IP66 / IP67</t>
  </si>
  <si>
    <t>ВД-НК(Ч)-10</t>
  </si>
  <si>
    <t>Взрывонепроницаемая кнопка ВД-НК, без фиксации, черная насадка, контактная группа 1НР, Ex db IIC Gb U, Ex ia IIC Ga U, IP66 / IP67</t>
  </si>
  <si>
    <t>ВД-НК(Ч)-01</t>
  </si>
  <si>
    <t>Взрывонепроницаемая кнопка ВД-НК, без фиксации, черная насадка, контактная группа 1НЗ, Ex db IIC Gb U, Ex ia IIC Ga U, IP66 / IP67</t>
  </si>
  <si>
    <t>ВД-НК(К)-11</t>
  </si>
  <si>
    <t>Взрывонепроницаемая кнопка ВД-НК, без фиксации, красная насадка, контактная группа 1НР+1НЗ, Ex db IIC Gb U, Ex ia IIC Ga U, IP66 / IP67</t>
  </si>
  <si>
    <t>ВД-НК(К)-20</t>
  </si>
  <si>
    <t>Взрывонепроницаемая кнопка ВД-НК, без фиксации, красная насадка, контактная группа 2НР, Ex db IIC Gb U, Ex ia IIC Ga U, IP66 / IP67</t>
  </si>
  <si>
    <t>ВД-НК(К)-02</t>
  </si>
  <si>
    <t>Взрывонепроницаемая кнопка ВД-НК, без фиксации, красная насадка, контактная группа 2НЗ, Ex db IIC Gb U, Ex ia IIC Ga U, IP66 / IP67</t>
  </si>
  <si>
    <t>ВД-НК(К)-10</t>
  </si>
  <si>
    <t>Взрывонепроницаемая кнопка ВД-НК, без фиксации, красная насадка, контактная группа 1НР, Ex db IIC Gb U, Ex ia IIC Ga U, IP66 / IP67</t>
  </si>
  <si>
    <t>ВД-НК(К)-01</t>
  </si>
  <si>
    <t>Взрывонепроницаемая кнопка ВД-НК, без фиксации, красная насадка, контактная группа 1НЗ, Ex db IIC Gb U, Ex ia IIC Ga U, IP66 / IP67</t>
  </si>
  <si>
    <t>ВД-НК(Ж)-11</t>
  </si>
  <si>
    <t>Взрывонепроницаемая кнопка ВД-НК, без фиксации, желтая насадка, контактная группа 1НР+1НЗ, Ex db IIC Gb U, Ex ia IIC Ga U, IP66 / IP67</t>
  </si>
  <si>
    <t>ВД-НК(Ж)-20</t>
  </si>
  <si>
    <t>Взрывонепроницаемая кнопка ВД-НК, без фиксации, желтая насадка, контактная группа 2НР, Ex db IIC Gb U, Ex ia IIC Ga U, IP66 / IP67</t>
  </si>
  <si>
    <t>ВД-НК(Ж)-02</t>
  </si>
  <si>
    <t>Взрывонепроницаемая кнопка ВД-НК, без фиксации, желтая насадка, контактная группа 2НЗ, Ex db IIC Gb U, Ex ia IIC Ga U, IP66 / IP67</t>
  </si>
  <si>
    <t>ВД-НК(Ж)-10</t>
  </si>
  <si>
    <t>Взрывонепроницаемая кнопка ВД-НК, без фиксации, желтая насадка, контактная группа 1НР, Ex db IIC Gb U, Ex ia IIC Ga U, IP66 / IP67</t>
  </si>
  <si>
    <t>ВД-НК(Ж)-01</t>
  </si>
  <si>
    <t>Взрывонепроницаемая кнопка ВД-НК, без фиксации, желтая насадка, контактная группа 1НЗ, Ex db IIC Gb U, Ex ia IIC Ga U, IP66 / IP67</t>
  </si>
  <si>
    <t>ВД-НК(З)-11</t>
  </si>
  <si>
    <t>Взрывонепроницаемая кнопка ВД-НК, без фиксации, зеленая насадка, контактная группа 1НР+1НЗ, Ex db IIC Gb U, Ex ia IIC Ga U, IP66 / IP67</t>
  </si>
  <si>
    <t>ВД-НК(З)-20</t>
  </si>
  <si>
    <t>Взрывонепроницаемая кнопка ВД-НК, без фиксации, зеленая насадка, контактная группа 2НР, Ex db IIC Gb U, Ex ia IIC Ga U, IP66 / IP67</t>
  </si>
  <si>
    <t>ВД-НК(З)-02</t>
  </si>
  <si>
    <t>Взрывонепроницаемая кнопка ВД-НК, без фиксации, зеленая насадка, контактная группа 2НЗ, Ex db IIC Gb U, Ex ia IIC Ga U, IP66 / IP67</t>
  </si>
  <si>
    <t>ВД-НК(З)-10</t>
  </si>
  <si>
    <t>Взрывонепроницаемая кнопка ВД-НК, без фиксации, зеленая насадка, контактная группа 1НР, Ex db IIC Gb U, Ex ia IIC Ga U, IP66 / IP67</t>
  </si>
  <si>
    <t>ВД-НК(З)-01</t>
  </si>
  <si>
    <t>Взрывонепроницаемая кнопка ВД-НК, без фиксации, зеленая насадка, контактная группа 1НЗ, Ex db IIC Gb U, Ex ia IIC Ga U, IP66 / IP67</t>
  </si>
  <si>
    <t>ВД-НК(С)-11</t>
  </si>
  <si>
    <t>Взрывонепроницаемая кнопка ВД-НК, без фиксации, синяя насадка, контактная группа 1НР+1НЗ, Ex db IIC Gb U, Ex ia IIC Ga U, IP66 / IP67</t>
  </si>
  <si>
    <t>ВД-НК(С)-20</t>
  </si>
  <si>
    <t>Взрывонепроницаемая кнопка ВД-НК, без фиксации, синяя насадка, контактная группа 2НР, Ex db IIC Gb U, Ex ia IIC Ga U, IP66 / IP67</t>
  </si>
  <si>
    <t>ВД-НК(С)-02</t>
  </si>
  <si>
    <t>Взрывонепроницаемая кнопка ВД-НК, без фиксации, синяя насадка, контактная группа 2НЗ, Ex db IIC Gb U, Ex ia IIC Ga U, IP66 / IP67</t>
  </si>
  <si>
    <t>ВД-НК(С)-10</t>
  </si>
  <si>
    <t>Взрывонепроницаемая кнопка ВД-НК, без фиксации, синяя насадка, контактная группа 1НР, Ex db IIC Gb U, Ex ia IIC Ga U, IP66 / IP67</t>
  </si>
  <si>
    <t>ВД-НК(С)-01</t>
  </si>
  <si>
    <t>Взрывонепроницаемая кнопка ВД-НК, без фиксации, синяя насадка, контактная группа 1НЗ, Ex db IIC Gb U, Ex ia IIC Ga U, IP66 / IP67</t>
  </si>
  <si>
    <t>ВД-ГРФ(К)-11</t>
  </si>
  <si>
    <t>Взрывонепроницаемая грибовидная кнопка ВД-ГР, фиксация (деблокировка поворотом), красная, контактная группа 1НР+1НЗ, Ex db IIC Gb U, Ex ia IIC Ga U, IP66 / IP67</t>
  </si>
  <si>
    <t>ВД-ГРФ(К)-20</t>
  </si>
  <si>
    <t>Взрывонепроницаемая грибовидная кнопка ВД-ГР, фиксация (деблокировка поворотом), красная, контактная группа 2НР, Ex db IIC Gb U, Ex ia IIC Ga U, IP66 / IP67</t>
  </si>
  <si>
    <t>ВД-ГРФ(К)-02</t>
  </si>
  <si>
    <t>Взрывонепроницаемая грибовидная кнопка ВД-ГР, фиксация (деблокировка поворотом), красная, контактная группа 2НЗ, Ex db IIC Gb U, Ex ia IIC Ga U, IP66 / IP67</t>
  </si>
  <si>
    <t>ВД-ГРФ(К)-10</t>
  </si>
  <si>
    <t>Взрывонепроницаемая грибовидная кнопка ВД-ГР, фиксация (деблокировка поворотом), красная, контактная группа 1НР, Ex db IIC Gb U, Ex ia IIC Ga U, IP66 / IP67</t>
  </si>
  <si>
    <t>ВД-ГРФ(К)-01</t>
  </si>
  <si>
    <t>Взрывонепроницаемая грибовидная кнопка ВД-ГР, фиксация (деблокировка поворотом), красная, контактная группа 1НЗ, Ex db IIC Gb U, Ex ia IIC Ga U, IP66 / IP67</t>
  </si>
  <si>
    <t>Элементы на крышке устройства (для ПУВА, ПУВП, ПУД, ЩД, ЩДС, ЩДК, ЩДН)</t>
  </si>
  <si>
    <t>ZQV 2.5N/10</t>
  </si>
  <si>
    <t>ZQV 10N/2</t>
  </si>
  <si>
    <t>ZQV 16N/2</t>
  </si>
  <si>
    <t>ZQV 4N/10</t>
  </si>
  <si>
    <t>ZQV 6N/10</t>
  </si>
  <si>
    <t>Вертикальное расположение:</t>
  </si>
  <si>
    <t>Горизонтальное расположение</t>
  </si>
  <si>
    <t>№</t>
  </si>
  <si>
    <t>Обозначение</t>
  </si>
  <si>
    <t>Артикул/обозначение</t>
  </si>
  <si>
    <t>цена</t>
  </si>
  <si>
    <t>Ручной ввод  номенклатуры:</t>
  </si>
  <si>
    <t>Оболочка</t>
  </si>
  <si>
    <t xml:space="preserve">Оболочка Exd </t>
  </si>
  <si>
    <t>Оболочка Exe</t>
  </si>
  <si>
    <t>Сводная1</t>
  </si>
  <si>
    <t>Ввод для небронированного кабеля</t>
  </si>
  <si>
    <t>Ввод для бронированного кабеля</t>
  </si>
  <si>
    <t>Ввод для небронированного кабеля в металлорукаве</t>
  </si>
  <si>
    <t>Ввод для бронированного кабеля в металлорукаве с трубной приборной резьбой</t>
  </si>
  <si>
    <t>Ввод для небронированного кабеля  с трубной приборной резьбой</t>
  </si>
  <si>
    <t xml:space="preserve">Клемма проходная </t>
  </si>
  <si>
    <t>Клемма проходная  синяя</t>
  </si>
  <si>
    <t>Клемма заземления</t>
  </si>
  <si>
    <t>Клемма проходная (мини)</t>
  </si>
  <si>
    <t>Клемма проходная (мини) синяя</t>
  </si>
  <si>
    <t>Клемма заземления (мини)</t>
  </si>
  <si>
    <t>Клемма проходная пружинная</t>
  </si>
  <si>
    <t>Клемма заземления пружинная</t>
  </si>
  <si>
    <t>Клемма проходная пружинная синяя</t>
  </si>
  <si>
    <t>Клемма проходная</t>
  </si>
  <si>
    <t>Клемма проходная болтовая</t>
  </si>
  <si>
    <t>Оболочки</t>
  </si>
  <si>
    <t>шт</t>
  </si>
  <si>
    <t>Столбец3</t>
  </si>
  <si>
    <t>Столбец4</t>
  </si>
  <si>
    <t>Поз.</t>
  </si>
  <si>
    <t>ВЗ-Н12 - Взрывозащищенный кабельный ввод ВЗОР для небронированного кабеля круглого сечения, 2-6 мм, М12х1,5-6g, никелированная латунь, 1Ex d IIC Gb / 1Ex e IIC Gb / 0Ex ia IIC Ga / 2Ex nR IIC Gc / Ex ta IIIC Da, IP66 / IP68</t>
  </si>
  <si>
    <t>ВЗ-Н16 - Взрывозащищенный кабельный ввод ВЗОР для небронированного кабеля круглого сечения, 3-8 мм, М16х1,5-6g, никелированная латунь, 1Ex d IIC Gb / 1Ex e IIC Gb / 0Ex ia IIC Ga / 2Ex nR IIC Gc / Ex ta IIIC Da, IP66 / IP68</t>
  </si>
  <si>
    <t>ВЗ-Н20 - Взрывозащищенный кабельный ввод ВЗОР для небронированного кабеля круглого сечения, 6-14 мм, М20х1,5-6g, никелированная латунь, 1Ex d IIC Gb / 1Ex e IIC Gb / 0Ex ia IIC Ga / 2Ex nR IIC Gc / Ex ta IIIC Da, IP66 / IP68</t>
  </si>
  <si>
    <t>ВЗ-Н25 - Взрывозащищенный кабельный ввод ВЗОР для небронированного кабеля круглого сечения, 12-18 мм, М25х1,5-6g, никелированная латунь, 1Ex d IIC Gb / 1Ex e IIC Gb / 0Ex ia IIC Ga / 2Ex nR IIC Gc / Ex ta IIIC Da, IP66 / IP68</t>
  </si>
  <si>
    <t>ВЗ-Н32 - Взрывозащищенный кабельный ввод ВЗОР для небронированного кабеля круглого сечения, 18-25 мм, М32х1,5-6g, никелированная латунь, 1Ex d IIC Gb / 1Ex e IIC Gb / 0Ex ia IIC Ga / 2Ex nR IIC Gc / Ex ta IIIC Da, IP66 / IP68</t>
  </si>
  <si>
    <t>ВЗ-Н40 - Взрывозащищенный кабельный ввод ВЗОР для небронированного кабеля круглого сечения, 25-31 мм, М40х1,5-6g, никелированная латунь, 1Ex d IIC Gb / 1Ex e IIC Gb / 0Ex ia IIC Ga / 2Ex nR IIC Gc / Ex ta IIIC Da, IP66 / IP68</t>
  </si>
  <si>
    <t>ВЗ-Н50 - Взрывозащищенный кабельный ввод ВЗОР для небронированного кабеля круглого сечения, 31-39 мм, М50х1,5-6g, никелированная латунь, 1Ex d IIC Gb / 1Ex e IIC Gb / 0Ex ia IIC Ga / 2Ex nR IIC Gc / Ex ta IIIC Da, IP66 / IP68</t>
  </si>
  <si>
    <t>ВЗ-Н63 - Взрывозащищенный кабельный ввод ВЗОР для небронированного кабеля круглого сечения, 39-47 мм, М63х1,5-6g, никелированная латунь, 1Ex d IIC Gb / 1Ex e IIC Gb / 0Ex ia IIC Ga / 2Ex nR IIC Gc / Ex ta IIIC Da, IP66 / IP68</t>
  </si>
  <si>
    <t>ВЗ-Н75 - Взрывозащищенный кабельный ввод ВЗОР для небронированного кабеля круглого сечения, 47-55 мм, М75х1,5-6g, никелированная латунь, 1Ex d IIC Gb / 1Ex e IIC Gb / 0Ex ia IIC Ga / 2Ex nR IIC Gc / Ex ta IIIC Da, IP66 / IP68</t>
  </si>
  <si>
    <t>ВЗ-Н75А - Взрывозащищенный кабельный ввод ВЗОР для небронированного кабеля круглого сечения, 55-63 мм, М75х1,5-6g, никелированная латунь, 1Ex d IIC Gb / 1Ex e IIC Gb / 0Ex ia IIC Ga / 2Ex nR IIC Gc / Ex ta IIIC Da, IP66 / IP68</t>
  </si>
  <si>
    <t>ВЗ-Н90 - Взрывозащищенный кабельный ввод ВЗОР для небронированного кабеля круглого сечения, 63-71 мм, М90х1,5-6g, никелированная латунь, 1Ex d IIC Gb / 1Ex e IIC Gb / 0Ex ia IIC Ga / 2Ex nR IIC Gc / Ex ta IIIC Da, IP66 / IP68</t>
  </si>
  <si>
    <t>ВЗ-Н90А - Взрывозащищенный кабельный ввод ВЗОР для небронированного кабеля круглого сечения, 71-79 мм, М90х1,5-6g, никелированная латунь, 1Ex d IIC Gb / 1Ex e IIC Gb / 0Ex ia IIC Ga / 2Ex nR IIC Gc / Ex ta IIIC Da, IP66 / IP68</t>
  </si>
  <si>
    <t>ВЗ-Н90В - Взрывозащищенный кабельный ввод ВЗОР для небронированного кабеля круглого сечения, 63-71 мм, М90х2-6g, никелированная латунь, 1Ex d IIC Gb / 1Ex e IIC Gb / 0Ex ia IIC Ga / 2Ex nR IIC Gc / Ex ta IIIC Da, IP66 / IP68</t>
  </si>
  <si>
    <t>ВЗ-Н90С - Взрывозащищенный кабельный ввод ВЗОР для небронированного кабеля круглого сечения, 71-79 мм, М90х2-6g, никелированная латунь, 1Ex d IIC Gb / 1Ex e IIC Gb / 0Ex ia IIC Ga / 2Ex nR IIC Gc / Ex ta IIIC Da, IP66 / IP68</t>
  </si>
  <si>
    <t>ВЗ-Н100 - Взрывозащищенный кабельный ввод ВЗОР для небронированного кабеля круглого сечения, 79-87 мм, М100х1,5-6g, никелированная латунь, 1Ex d IIC Gb / 1Ex e IIC Gb / 0Ex ia IIC Ga / 2Ex nR IIC Gc / Ex ta IIIC Da, IP66 / IP68</t>
  </si>
  <si>
    <t>ВЗ-Н100А - Взрывозащищенный кабельный ввод ВЗОР для небронированного кабеля круглого сечения, 84-92 мм, М100х1,5-6g, никелированная латунь, 1Ex d IIC Gb / 1Ex e IIC Gb / 0Ex ia IIC Ga / 2Ex nR IIC Gc / Ex ta IIIC Da, IP66 / IP68</t>
  </si>
  <si>
    <t>ВЗ-Н100В - Взрывозащищенный кабельный ввод ВЗОР для небронированного кабеля круглого сечения, 79-87 мм, М100х2-6g, никелированная латунь, 1Ex d IIC Gb / 1Ex e IIC Gb / 0Ex ia IIC Ga / 2Ex nR IIC Gc / Ex ta IIIC Da, IP66 / IP68</t>
  </si>
  <si>
    <t>ВЗ-Н100С - Взрывозащищенный кабельный ввод ВЗОР для небронированного кабеля круглого сечения, 84-92 мм, М100х2-6g, никелированная латунь, 1Ex d IIC Gb / 1Ex e IIC Gb / 0Ex ia IIC Ga / 2Ex nR IIC Gc / Ex ta IIIC Da, IP66 / IP68</t>
  </si>
  <si>
    <t>ВЗ-Н1/4</t>
  </si>
  <si>
    <t>ВЗ-Н1/4 - Взрывозащищенный кабельный ввод ВЗОР для небронированного кабеля круглого сечения, 2-6 мм, 1/4" NPT, никелированная латунь, 1Ex d IIC Gb / 1Ex e IIC Gb / 0Ex ia IIC Ga / 2Ex nR IIC Gc / Ex ta IIIC Da, IP66 / IP68</t>
  </si>
  <si>
    <t>ВЗ-Н3/8</t>
  </si>
  <si>
    <t>ВЗ-Н3/8 - Взрывозащищенный кабельный ввод ВЗОР для небронированного кабеля круглого сечения, 3-8 мм, 3/8" NPT, никелированная латунь, 1Ex d IIC Gb / 1Ex e IIC Gb / 0Ex ia IIC Ga / 2Ex nR IIC Gc / Ex ta IIIC Da, IP66 / IP68</t>
  </si>
  <si>
    <t>ВЗ-Н1/2</t>
  </si>
  <si>
    <t>ВЗ-Н1/2 - Взрывозащищенный кабельный ввод ВЗОР для небронированного кабеля круглого сечения, 6-14 мм, 1/2" NPT, никелированная латунь, 1Ex d IIC Gb / 1Ex e IIC Gb / 0Ex ia IIC Ga / 2Ex nR IIC Gc / Ex ta IIIC Da, IP66 / IP68</t>
  </si>
  <si>
    <t>ВЗ-Н3/4</t>
  </si>
  <si>
    <t>ВЗ-Н3/4 - Взрывозащищенный кабельный ввод ВЗОР для небронированного кабеля круглого сечения, 12-18 мм, 3/4" NPT, никелированная латунь, 1Ex d IIC Gb / 1Ex e IIC Gb / 0Ex ia IIC Ga / 2Ex nR IIC Gc / Ex ta IIIC Da, IP66 / IP68</t>
  </si>
  <si>
    <t>ВЗ-Н1</t>
  </si>
  <si>
    <t>ВЗ-Н1 - Взрывозащищенный кабельный ввод ВЗОР для небронированного кабеля круглого сечения, 18-25 мм, 1" NPT, никелированная латунь, 1Ex d IIC Gb / 1Ex e IIC Gb / 0Ex ia IIC Ga / 2Ex nR IIC Gc / Ex ta IIIC Da, IP66 / IP68</t>
  </si>
  <si>
    <t>ВЗ-Н1.1/4</t>
  </si>
  <si>
    <t>ВЗ-Н1.1/4 - Взрывозащищенный кабельный ввод ВЗОР для небронированного кабеля круглого сечения, 25-31 мм, 1.1/4" NPT, никелированная латунь, 1Ex d IIC Gb / 1Ex e IIC Gb / 0Ex ia IIC Ga / 2Ex nR IIC Gc / Ex ta IIIC Da, IP66 / IP68</t>
  </si>
  <si>
    <t>ВЗ-Н1.1/2</t>
  </si>
  <si>
    <t>ВЗ-Н1.1/2 - Взрывозащищенный кабельный ввод ВЗОР для небронированного кабеля круглого сечения, 31-39 мм, 1.1/2" NPT, никелированная латунь, 1Ex d IIC Gb / 1Ex e IIC Gb / 0Ex ia IIC Ga / 2Ex nR IIC Gc / Ex ta IIIC Da, IP66 / IP68</t>
  </si>
  <si>
    <t>ВЗ-Н2</t>
  </si>
  <si>
    <t xml:space="preserve">ВЗ-Н2 - Взрывозащищенный кабельный ввод ВЗОР для небронированного кабеля круглого сечения, 39-47 мм, 2" NPT, никелированная латунь, 1Ex d IIC Gb / 1Ex e IIC Gb / 0Ex ia IIC Ga / 2Ex nR IIC Gc / Ex ta IIIC Da, IP66 / IP68  </t>
  </si>
  <si>
    <t>ВЗ-Н2.1/2</t>
  </si>
  <si>
    <t>ВЗ-Н2.1/2 - Взрывозащищенный кабельный ввод ВЗОР для небронированного кабеля круглого сечения, 47-55 мм, 2.1/2" NPT, никелированная латунь, 1Ex d IIC Gb / 1Ex e IIC Gb / 0Ex ia IIC Ga / 2Ex nR IIC Gc / Ex ta IIIC Da, IP66 / IP68</t>
  </si>
  <si>
    <t>ВЗ-Н2.1/2А</t>
  </si>
  <si>
    <t>ВЗ-Н2.1/2А - Взрывозащищенный кабельный ввод ВЗОР для небронированного кабеля круглого сечения, 55-63 мм, 2.1/2" NPT, никелированная латунь, 1Ex d IIC Gb / 1Ex e IIC Gb / 0Ex ia IIC Ga / 2Ex nR IIC Gc / Ex ta IIIC Da, IP66 / IP68</t>
  </si>
  <si>
    <t>ВЗ-Н3</t>
  </si>
  <si>
    <t>ВЗ-Н3 - Взрывозащищенный кабельный ввод ВЗОР для небронированного кабеля круглого сечения, 63-71 мм, 3" NPT, никелированная латунь, 1Ex d IIC Gb / 1Ex e IIC Gb / 0Ex ia IIC Ga / 2Ex nR IIC Gc / Ex ta IIIC Da, IP66 / IP68</t>
  </si>
  <si>
    <t>ВЗ-Н3А</t>
  </si>
  <si>
    <t>ВЗ-Н3А - Взрывозащищенный кабельный ввод ВЗОР для небронированного кабеля круглого сечения, 71-79 мм, 3 NPT, никелированная латунь, 1Ex d IIC Gb / 1Ex e IIC Gb / 0Ex ia IIC Ga / 2Ex nR IIC Gc / Ex ta IIIC Da, IP66 / IP68</t>
  </si>
  <si>
    <t>ВЗ-Н3.1/2</t>
  </si>
  <si>
    <t>ВЗ-Н3.1/2 - Взрывозащищенный кабельный ввод ВЗОР для небронированного кабеля круглого сечения, 79-87 мм, 3.1/2" NPT, никелированная латунь, 1Ex d IIC Gb / 1Ex e IIC Gb / 0Ex ia IIC Ga / 2Ex nR IIC Gc / Ex ta IIIC Da, IP66 / IP68</t>
  </si>
  <si>
    <t>ВЗ-Н3.1/2А</t>
  </si>
  <si>
    <t>ВЗ-Н3.1/2А - Взрывозащищенный кабельный ввод ВЗОР для небронированного кабеля круглого сечения, 84-92 мм, 3.1/2" NPT, никелированная латунь, 1Ex d IIC Gb / 1Ex e IIC Gb / 0Ex ia IIC Ga / 2Ex nR IIC Gc / Ex ta IIIC Da, IP66 / IP68</t>
  </si>
  <si>
    <t>ВЗ-Н1/4G</t>
  </si>
  <si>
    <t>ВЗ-Н1/4G - Взрывозащищенный кабельный ввод ВЗОР для небронированного кабеля круглого сечения, 2-6 мм, G 1/4", никелированная латунь, 1Ex d IIC Gb / 1Ex e IIC Gb / 0Ex ia IIC Ga / 2Ex nR IIC Gc / Ex ta IIIC Da, IP66 / IP68</t>
  </si>
  <si>
    <t>ВЗ-Н3/8G</t>
  </si>
  <si>
    <t>ВЗ-Н3/8G - Взрывозащищенный кабельный ввод ВЗОР для небронированного кабеля круглого сечения, 3-8 мм, G 3/8", никелированная латунь, 1Ex d IIC Gb / 1Ex e IIC Gb / 0Ex ia IIC Ga / 2Ex nR IIC Gc / Ex ta IIIC Da, IP66 / IP68</t>
  </si>
  <si>
    <t>ВЗ-Н1/2G</t>
  </si>
  <si>
    <t>ВЗ-Н1/2G - Взрывозащищенный кабельный ввод ВЗОР для небронированного кабеля круглого сечения, 6-14 мм, G 1/2", никелированная латунь, 1Ex d IIC Gb / 1Ex e IIC Gb / 0Ex ia IIC Ga / 2Ex nR IIC Gc / Ex ta IIIC Da, IP66 / IP68</t>
  </si>
  <si>
    <t>ВЗ-Н3/4G</t>
  </si>
  <si>
    <t>ВЗ-Н3/4G - Взрывозащищенный кабельный ввод ВЗОР для небронированного кабеля круглого сечения, 12-18 мм, G 3/4", никелированная латунь, 1Ex d IIC Gb / 1Ex e IIC Gb / 0Ex ia IIC Ga / 2Ex nR IIC Gc / Ex ta IIIC Da, IP66 / IP68</t>
  </si>
  <si>
    <t>ВЗ-Н1G</t>
  </si>
  <si>
    <t>ВЗ-Н1G - Взрывозащищенный кабельный ввод ВЗОР для небронированного кабеля круглого сечения, 18-25 мм, G 1", никелированная латунь, 1Ex d IIC Gb / 1Ex e IIC Gb / 0Ex ia IIC Ga / 2Ex nR IIC Gc / Ex ta IIIC Da, IP66 / IP68</t>
  </si>
  <si>
    <t>ВЗ-Н1.1/4G</t>
  </si>
  <si>
    <t>ВЗ-Н1.1/4G - Взрывозащищенный кабельный ввод ВЗОР для небронированного кабеля круглого сечения, 25-31 мм,G  1.1/4", никелированная латунь, 1Ex d IIC Gb / 1Ex e IIC Gb / 0Ex ia IIC Ga / 2Ex nR IIC Gc / Ex ta IIIC Da, IP66 / IP68</t>
  </si>
  <si>
    <t>ВЗ-Н1.1/2G</t>
  </si>
  <si>
    <t>ВЗ-Н1.1/2G - Взрывозащищенный кабельный ввод ВЗОР для небронированного кабеля круглого сечения, 31-39 мм, G 1.1/2", никелированная латунь, 1Ex d IIC Gb / 1Ex e IIC Gb / 0Ex ia IIC Ga / 2Ex nR IIC Gc / Ex ta IIIC Da, IP66 / IP68</t>
  </si>
  <si>
    <t>ВЗ-Н2G</t>
  </si>
  <si>
    <t>ВЗ-Н2G - Взрывозащищенный кабельный ввод ВЗОР для небронированного кабеля круглого сечения, 39-47 мм, G 2", никелированная латунь, 1Ex d IIC Gb / 1Ex e IIC Gb / 0Ex ia IIC Ga / 2Ex nR IIC Gc / Ex ta IIIC Da, IP66 / IP68</t>
  </si>
  <si>
    <t>ВЗ-Н2.1/2G</t>
  </si>
  <si>
    <t>ВЗ-Н2.1/2G - Взрывозащищенный кабельный ввод ВЗОР для небронированного кабеля круглого сечения, 47-55 мм, G 2.1/2", никелированная латунь, 1Ex d IIC Gb / 1Ex e IIC Gb / 0Ex ia IIC Ga / 2Ex nR IIC Gc / Ex ta IIIC Da, IP66 / IP68</t>
  </si>
  <si>
    <t>ВЗ-Н2.1/2GА</t>
  </si>
  <si>
    <t>ВЗ-Н2.1/2GА - Взрывозащищенный кабельный ввод ВЗОР для небронированного кабеля круглого сечения, 55-63 мм, G 2.1/2", никелированная латунь, 1Ex d IIC Gb / 1Ex e IIC Gb / 0Ex ia IIC Ga / 2Ex nR IIC Gc / Ex ta IIIC Da, IP66 / IP68</t>
  </si>
  <si>
    <t>ВЗ-Н3G</t>
  </si>
  <si>
    <t>ВЗ-Н3G - Взрывозащищенный кабельный ввод ВЗОР для небронированного кабеля круглого сечения, 63-71 мм, G 3", никелированная латунь, 1Ex d IIC Gb / 1Ex e IIC Gb / 0Ex ia IIC Ga / 2Ex nR IIC Gc / Ex ta IIIC Da, IP66 / IP68</t>
  </si>
  <si>
    <t>ВЗ-Н3GА</t>
  </si>
  <si>
    <t>ВЗ-Н3GА - Взрывозащищенный кабельный ввод ВЗОР для небронированного кабеля круглого сечения, 71-79 мм, G 3", никелированная латунь, 1Ex d IIC Gb / 1Ex e IIC Gb / 0Ex ia IIC Ga / 2Ex nR IIC Gc / Ex ta IIIC Da, IP66 / IP68</t>
  </si>
  <si>
    <t>ВЗ-Н3.1/2G</t>
  </si>
  <si>
    <t>ВЗ-Н3.1/2G - Взрывозащищенный кабельный ввод ВЗОР для небронированного кабеля круглого сечения, 79-87 мм, G 3.1/2", никелированная латунь, 1Ex d IIC Gb / 1Ex e IIC Gb / 0Ex ia IIC Ga / 2Ex nR IIC Gc / Ex ta IIIC Da, IP66 / IP68</t>
  </si>
  <si>
    <t>ВЗ-Н3.1/2GА</t>
  </si>
  <si>
    <t>ВЗ-Н3.1/2GА - Взрывозащищенный кабельный ввод ВЗОР для небронированного кабеля круглого сечения, 84-92 мм, G 3.1/2", никелированная латунь, 1Ex d IIC Gb / 1Ex e IIC Gb / 0Ex ia IIC Ga / 2Ex nR IIC Gc / Ex ta IIIC Da, IP66 / IP68</t>
  </si>
  <si>
    <t>ВЗ-Н12-Т1/2G(Н)/МР15</t>
  </si>
  <si>
    <t>ВЗ-Н12-Т/МР15 - Взрывозащищенный кабельный ввод ВЗОР для небронированного кабеля круглого сечения, 2-6 мм, М12х1,5-6g, с фитингом для присоединения металлорукава Ду 15, никелированная латунь, Ex d IIC Gb / 1Ex e IIC Gb / 0Ex ia IIC Ga / 2Ex nR IIC Gc / Ex ta IIIC Da, IP66 / IP68</t>
  </si>
  <si>
    <t>ВЗ-Н16-Т1/2G(Н)/МР15</t>
  </si>
  <si>
    <t>ВЗ-Н16-Т/МР15 - Взрывозащищенный кабельный ввод ВЗОР для небронированного кабеля круглого сечения, 3-8 мм, М16х1,5-6g, с фитингом для присоединения металлорукава Ду 15, никелированная латунь, 1Ex d IIC Gb / 1Ex e IIC Gb / 0Ex ia IIC Ga / 2Ex nR IIC Gc / Ex ta IIIC Da, IP66 / IP68</t>
  </si>
  <si>
    <t>ВЗ-Н20-Т1/2G(Н)/МР15</t>
  </si>
  <si>
    <t>ВЗ-Н20-Т/МР15 - Взрывозащищенный кабельный ввод ВЗОР для небронированного кабеля круглого сечения, 6-14 мм, М20х1,5-6g, с фитингом для присоединения металлорукава Ду 15, никелированная латунь, 1Ex d IIC Gb / 1Ex e IIC Gb / 0Ex ia IIC Ga / 2Ex nR IIC Gc / Ex ta IIIC Da, IP66 / IP68</t>
  </si>
  <si>
    <t>ВЗ-Н20-Т3/4G(Н)/МР20</t>
  </si>
  <si>
    <t>ВЗ-Н20-Т/МР20 - Взрывозащищенный кабельный ввод ВЗОР для небронированного кабеля круглого сечения, 6-14 мм, М20х1,5-6g, с фитингом для присоединения металлорукава Ду 20, никелированная латунь, 1Ex d IIC Gb / 1Ex e IIC Gb / 0Ex ia IIC Ga / 2Ex nR IIC Gc / Ex ta IIIC Da, IP66 / IP68</t>
  </si>
  <si>
    <t>ВЗ-Н20-Т1G(Н)/МР25</t>
  </si>
  <si>
    <t>ВЗ-Н20-Т/МР25 - Взрывозащищенный кабельный ввод ВЗОР для небронированного кабеля круглого сечения, 6-14 мм, М20х1,5-6g, с фитингом для присоединения металлорукава Ду 25, никелированная латунь, 1Ex d IIC Gb / 1Ex e IIC Gb / 0Ex ia IIC Ga / 2Ex nR IIC Gc / Ex ta IIIC Da, IP66 / IP68</t>
  </si>
  <si>
    <t>ВЗ-Н25-Т1/2G(Н)/МР15</t>
  </si>
  <si>
    <t>ВЗ-Н25-Т/МР15 - Взрывозащищенный кабельный ввод ВЗОР для небронированного кабеля круглого сечения, 12-18 мм, М25х1,5-6g, с фитингом для присоединения металлорукава Ду 15, никелированная латунь, 1Ex d IIC Gb / 1Ex e IIC Gb / 0Ex ia IIC Ga / 2Ex nR IIC Gc / Ex ta IIIC Da, IP66 / IP68</t>
  </si>
  <si>
    <t>ВЗ-Н25-Т3/4G(Н)/МР20</t>
  </si>
  <si>
    <t>ВЗ-Н25-Т/МР20 - Взрывозащищенный кабельный ввод ВЗОР для небронированного кабеля круглого сечения, 12-18 мм, М25х1,5-6g, с фитингом для присоединения металлорукава Ду 20, никелированная латунь, 1Ex d IIC Gb / 1Ex e IIC Gb / 0Ex ia IIC Ga / 2Ex nR IIC Gc / Ex ta IIIC Da, IP66 / IP68</t>
  </si>
  <si>
    <t>ВЗ-Н25-Т1G(Н)/МР25</t>
  </si>
  <si>
    <t>ВЗ-Н25-Т/МР25 - Взрывозащищенный кабельный ввод ВЗОР для небронированного кабеля круглого сечения, 12-18 мм, М25х1,5-6g, с фитингом для присоединения металлорукава Ду 25, никелированная латунь, 1Ex d IIC Gb / 1Ex e IIC Gb / 0Ex ia IIC Ga / 2Ex nR IIC Gc / Ex ta IIIC Da, IP66 / IP68</t>
  </si>
  <si>
    <t>ВЗ-Н25-Т1.1/4G(Н)/МР32</t>
  </si>
  <si>
    <t>ВЗ-Н25-Т/МР32 - Взрывозащищенный кабельный ввод ВЗОР для небронированного кабеля круглого сечения, 12-18 мм, М25х1,5-6g, с фитингом для присоединения металлорукава Ду 32, никелированная латунь, 1Ex d IIC Gb / 1Ex e IIC Gb / 0Ex ia IIC Ga / 2Ex nR IIC Gc / Ex ta IIIC Da, IP66 / IP68</t>
  </si>
  <si>
    <t>ВЗ-Н32-Т1G(Н)/МР25</t>
  </si>
  <si>
    <t>ВЗ-Н32-Т/МР25 - Взрывозащищенный кабельный ввод ВЗОР для небронированного кабеля круглого сечения, 18-25 мм, М32х1,5-6g, с фитингом для присоединения металлорукава Ду 25, никелированная латунь, 1Ex d IIC Gb / 1Ex e IIC Gb / 0Ex ia IIC Ga / 2Ex nR IIC Gc / Ex ta IIIC Da, IP66 / IP68</t>
  </si>
  <si>
    <t>ВЗ-Н32-Т1.1/4G(Н)/МР32</t>
  </si>
  <si>
    <t>ВЗ-Н32-Т/МР32 - Взрывозащищенный кабельный ввод ВЗОР для небронированного кабеля круглого сечения, 18-25 мм, М32х1,5-6g, с фитингом для присоединения металлорукава Ду 32, никелированная латунь, 1Ex d IIC Gb / 1Ex e IIC Gb / 0Ex ia IIC Ga / 2Ex nR IIC Gc / Ex ta IIIC Da, IP66 / IP68</t>
  </si>
  <si>
    <t>ВЗ-Н40-Т1.1/4G(Н)/МР32</t>
  </si>
  <si>
    <t>ВЗ-Н40-Т/МР32 - Взрывозащищенный кабельный ввод ВЗОР для небронированного кабеля круглого сечения, 25-31 мм, М40х1,5-6g, с фитингом для присоединения металлорукава Ду 32, никелированная латунь, 1Ex d IIC Gb / 1Ex e IIC Gb / 0Ex ia IIC Ga / 2Ex nR IIC Gc / Ex ta IIIC Da, IP66 / IP68</t>
  </si>
  <si>
    <t>ВЗ-Н40-Т1.1/2G(Н)/МР38</t>
  </si>
  <si>
    <t>ВЗ-Н40-Т/МР38 - Взрывозащищенный кабельный ввод ВЗОР для небронированного кабеля круглого сечения, 25-31 мм, М40х1,5-6g, с фитингом для присоединения металлорукава Ду 38, никелированная латунь, 1Ex d IIC Gb / 1Ex e IIC Gb / 0Ex ia IIC Ga / 2Ex nR IIC Gc / Ex ta IIIC Da, IP66 / IP68</t>
  </si>
  <si>
    <t>ВЗ-Н40-Т2G(Н)/МР50</t>
  </si>
  <si>
    <t>ВЗ-Н40-Т/МР50 - Взрывозащищенный кабельный ввод ВЗОР для небронированного кабеля круглого сечения, 25-31 мм, М40х1,5-6g, с фитингом для присоединения металлорукава Ду 50, никелированная латунь, 1Ex d IIC Gb / 1Ex e IIC Gb / 0Ex ia IIC Ga / 2Ex nR IIC Gc / Ex ta IIIC Da, IP66 / IP68</t>
  </si>
  <si>
    <t>ВЗ-Н50-Т1.1/2G(Н)/МР38</t>
  </si>
  <si>
    <t>ВЗ-Н50-Т/МР50 - Взрывозащищенный кабельный ввод ВЗОР для небронированного кабеля круглого сечения, 31-39 мм, М50х1,5-6g, с фитингом для присоединения металлорукава Ду 38, никелированная латунь, 1Ex d IIC Gb / 1Ex e IIC Gb / 0Ex ia IIC Ga / 2Ex nR IIC Gc / Ex ta IIIC Da, IP66 / IP68</t>
  </si>
  <si>
    <t>ВЗ-Н50-Т2G(Н)/МР50</t>
  </si>
  <si>
    <t>ВЗ-Н50-Т/МР50 - Взрывозащищенный кабельный ввод ВЗОР для небронированного кабеля круглого сечения, 31-39 мм, М50х1,5-6g, с фитингом для присоединения металлорукава Ду 50, никелированная латунь, 1Ex d IIC Gb / 1Ex e IIC Gb / 0Ex ia IIC Ga / 2Ex nR IIC Gc / Ex ta IIIC Da, IP66 / IP68</t>
  </si>
  <si>
    <t>ВЗ-Н63-Т2G(Н)/МР50</t>
  </si>
  <si>
    <t>ВЗ-Н63-Т/МР50 - Взрывозащищенный кабельный ввод ВЗОР для небронированного кабеля круглого сечения, 39-47 мм, М63х1,5-6g, с фитингом для присоединения металлорукава Ду 50, никелированная латунь, 1Ex d IIC Gb / 1Ex e IIC Gb / 0Ex ia IIC Ga / 2Ex nR IIC Gc / Ex ta IIIC Da, IP66 / IP68</t>
  </si>
  <si>
    <t>ВЗ-Н63-Т2.1/2G(Н)/МР60</t>
  </si>
  <si>
    <t>ВЗ-Н63-Т/МР60 - Взрывозащищенный кабельный ввод ВЗОР для небронированного кабеля круглого сечения, 39-47 мм, М63х1,5-6g, с фитингом для присоединения металлорукава Ду 60, никелированная латунь, 1Ex d IIC Gb / 1Ex e IIC Gb / 0Ex ia IIC Ga / 2Ex nR IIC Gc / Ex ta IIIC Da, IP66 / IP68</t>
  </si>
  <si>
    <t>ВЗ-Н1/4-Т1/2G(Н)/МР15</t>
  </si>
  <si>
    <t>ВЗ-Н1/4-Т/МР15 - Взрывозащищенный кабельный ввод ВЗОР для небронированного кабеля круглого сечения, 2-6 мм, 1/4" NPT, с фитингом для присоединения металлорукава Ду 15, никелированная латунь, Ex d IIC Gb / 1Ex e IIC Gb / 0Ex ia IIC Ga / 2Ex nR IIC Gc / Ex ta IIIC Da, IP66 / IP68</t>
  </si>
  <si>
    <t>ВЗ-Н3/8-Т1/2G(Н)/МР15</t>
  </si>
  <si>
    <t>ВЗ-Н3/8-Т/МР15 - Взрывозащищенный кабельный ввод ВЗОР для небронированного кабеля круглого сечения, 3-8 мм, 3/8" NPT, с фитингом для присоединения металлорукава Ду 15, никелированная латунь, 1Ex d IIC Gb / 1Ex e IIC Gb / 0Ex ia IIC Ga / 2Ex nR IIC Gc / Ex ta IIIC Da, IP66 / IP68</t>
  </si>
  <si>
    <t>ВЗ-Н1/2-Т1/2G(Н)/МР15</t>
  </si>
  <si>
    <t>ВЗ-Н1/2-Т/МР15 - Взрывозащищенный кабельный ввод ВЗОР для небронированного кабеля круглого сечения, 6-14 мм, 1/2" NPT, с фитингом для присоединения металлорукава Ду 15, никелированная латунь, 1Ex d IIC Gb / 1Ex e IIC Gb / 0Ex ia IIC Ga / 2Ex nR IIC Gc / Ex ta IIIC Da, IP66 / IP68</t>
  </si>
  <si>
    <t>ВЗ-Н1/2-Т3/4G(Н)/МР20</t>
  </si>
  <si>
    <t>ВЗ-Н1/2-Т/МР20 - Взрывозащищенный кабельный ввод ВЗОР для небронированного кабеля круглого сечения, 6-14 мм, 1/2" NPT, с фитингом для присоединения металлорукава Ду 20, никелированная латунь, 1Ex d IIC Gb / 1Ex e IIC Gb / 0Ex ia IIC Ga / 2Ex nR IIC Gc / Ex ta IIIC Da, IP66 / IP68</t>
  </si>
  <si>
    <t>ВЗ-Н1/2-Т1G(Н)/МР25</t>
  </si>
  <si>
    <t>ВЗ-Н1/2-Т/МР25 - Взрывозащищенный кабельный ввод ВЗОР для небронированного кабеля круглого сечения, 6-14 мм, 1/2" NPT, с фитингом для присоединения металлорукава Ду 25, никелированная латунь, 1Ex d IIC Gb / 1Ex e IIC Gb / 0Ex ia IIC Ga / 2Ex nR IIC Gc / Ex ta IIIC Da, IP66 / IP68</t>
  </si>
  <si>
    <t>ВЗ-Н3/4-Т1/2G(Н)/МР15</t>
  </si>
  <si>
    <t>ВЗ-Н3/4-Т/МР15 - Взрывозащищенный кабельный ввод ВЗОР для небронированного кабеля круглого сечения, 12-18 мм, М25х1,5-6g, с фитингом для присоединения металлорукава Ду 15, никелированная латунь, 1Ex d IIC Gb / 1Ex e IIC Gb / 0Ex ia IIC Ga / 2Ex nR IIC Gc / Ex ta IIIC Da, IP66 / IP68</t>
  </si>
  <si>
    <t>ВЗ-Н3/4-Т3/4G(Н)/МР20</t>
  </si>
  <si>
    <t>ВЗ-Н3/4-Т/МР20 - Взрывозащищенный кабельный ввод ВЗОР для небронированного кабеля круглого сечения, 12-18 мм, 3/4" NPT, с фитингом для присоединения металлорукава Ду 20, никелированная латунь, 1Ex d IIC Gb / 1Ex e IIC Gb / 0Ex ia IIC Ga / 2Ex nR IIC Gc / Ex ta IIIC Da, IP66 / IP68</t>
  </si>
  <si>
    <t>ВЗ-Н3/4-Т1G(Н)/МР25</t>
  </si>
  <si>
    <t>ВЗ-Н3/4-Т/МР25 - Взрывозащищенный кабельный ввод ВЗОР для небронированного кабеля круглого сечения, 12-18 мм, 3/4" NPT, с фитингом для присоединения металлорукава Ду 25, никелированная латунь, 1Ex d IIC Gb / 1Ex e IIC Gb / 0Ex ia IIC Ga / 2Ex nR IIC Gc / Ex ta IIIC Da, IP66 / IP68</t>
  </si>
  <si>
    <t>ВЗ-Н3/4-Т1.1/4G(Н)/МР32</t>
  </si>
  <si>
    <t>ВЗ-Н3/4-Т/МР32 - Взрывозащищенный кабельный ввод ВЗОР для небронированного кабеля круглого сечения, 12-18 мм, 3/4" NPT, с фитингом для присоединения металлорукава Ду 32, никелированная латунь, 1Ex d IIC Gb / 1Ex e IIC Gb / 0Ex ia IIC Ga / 2Ex nR IIC Gc / Ex ta IIIC Da, IP66 / IP68</t>
  </si>
  <si>
    <t>ВЗ-Н1Т1G(Н)/МР25</t>
  </si>
  <si>
    <t>ВЗ-Н1Т/МР25 - Взрывозащищенный кабельный ввод ВЗОР для небронированного кабеля круглого сечения, 18-25 мм, 1" NPT, с фитингом для присоединения металлорукава Ду 25, никелированная латунь, 1Ex d IIC Gb / 1Ex e IIC Gb / 0Ex ia IIC Ga / 2Ex nR IIC Gc / Ex ta IIIC Da, IP66 / IP68</t>
  </si>
  <si>
    <t>ВЗ-Н1Т1.1/4G(Н)/МР32</t>
  </si>
  <si>
    <t>ВЗ-Н1Т/МР32 - Взрывозащищенный кабельный ввод ВЗОР для небронированного кабеля круглого сечения, 18-25 мм, 1" NPT, с фитингом для присоединения металлорукава Ду 32, никелированная латунь, 1Ex d IIC Gb / 1Ex e IIC Gb / 0Ex ia IIC Ga / 2Ex nR IIC Gc / Ex ta IIIC Da, IP66 / IP68</t>
  </si>
  <si>
    <t>ВЗ-Н1.1/4-Т1.1/4G(Н)/МР32</t>
  </si>
  <si>
    <t>ВЗ-Н1.1/4-Т/МР32 - Взрывозащищенный кабельный ввод ВЗОР для небронированного кабеля круглого сечения, 25-31 мм, 1.1/4" NPT, с фитингом для присоединения металлорукава Ду 32, никелированная латунь, 1Ex d IIC Gb / 1Ex e IIC Gb / 0Ex ia IIC Ga / 2Ex nR IIC Gc / Ex ta IIIC Da, IP66 / IP68</t>
  </si>
  <si>
    <t>ВЗ-Н1.1/4-Т1.1/2G(Н)/МР38</t>
  </si>
  <si>
    <t>ВЗ-Н1.1/4-Т/МР38 - Взрывозащищенный кабельный ввод ВЗОР для небронированного кабеля круглого сечения, 25-31 мм, 1.1/4" NPT, с фитингом для присоединения металлорукава Ду 38, никелированная латунь, 1Ex d IIC Gb / 1Ex e IIC Gb / 0Ex ia IIC Ga / 2Ex nR IIC Gc / Ex ta IIIC Da, IP66 / IP68</t>
  </si>
  <si>
    <t>ВЗ-Н1.1/4-Т2G(Н)/МР50</t>
  </si>
  <si>
    <t>ВЗ-Н1.1/4-Т/МР50 - Взрывозащищенный кабельный ввод ВЗОР для небронированного кабеля круглого сечения, 25-31 мм, 1.1/4" NPT, с фитингом для присоединения металлорукава Ду 50, никелированная латунь, 1Ex d IIC Gb / 1Ex e IIC Gb / 0Ex ia IIC Ga / 2Ex nR IIC Gc / Ex ta IIIC Da, IP66 / IP68</t>
  </si>
  <si>
    <t>ВЗ-Н1.1/2-Т1.1.2G(Н)/МР38</t>
  </si>
  <si>
    <t>ВЗ-Н1.1/2-Т/МР50 - Взрывозащищенный кабельный ввод ВЗОР для небронированного кабеля круглого сечения, 31-39 мм, 1.1/2" NPT, с фитингом для присоединения металлорукава Ду 38, никелированная латунь, 1Ex d IIC Gb / 1Ex e IIC Gb / 0Ex ia IIC Ga / 2Ex nR IIC Gc / Ex ta IIIC Da, IP66 / IP68</t>
  </si>
  <si>
    <t>ВЗ-Н1.1/2-Т2G(Н)/МР50</t>
  </si>
  <si>
    <t>ВЗ-Н1.1/2-Т/МР50 - Взрывозащищенный кабельный ввод ВЗОР для небронированного кабеля круглого сечения, 31-39 мм, 1.1/2" NPT, с фитингом для присоединения металлорукава Ду 50, никелированная латунь, 1Ex d IIC Gb / 1Ex e IIC Gb / 0Ex ia IIC Ga / 2Ex nR IIC Gc / Ex ta IIIC Da, IP66 / IP68</t>
  </si>
  <si>
    <t>ВЗ-Н2-Т2G(Н)/МР50</t>
  </si>
  <si>
    <t>ВЗ-Н2-Т/МР50 - Взрывозащищенный кабельный ввод ВЗОР для небронированного кабеля круглого сечения, 39-47 мм, 2" NPT, с фитингом для присоединения металлорукава Ду 50, никелированная латунь, 1Ex d IIC Gb / 1Ex e IIC Gb / 0Ex ia IIC Ga / 2Ex nR IIC Gc / Ex ta IIIC Da, IP66 / IP68</t>
  </si>
  <si>
    <t>ВЗ-Н2-Т2.1/2G(Н)/МР60</t>
  </si>
  <si>
    <t>ВЗ-Н2-Т/МР60 - Взрывозащищенный кабельный ввод ВЗОР для небронированного кабеля круглого сечения, 39-47 мм, 2" NPT, с фитингом для присоединения металлорукава Ду 60, никелированная латунь, 1Ex d IIC Gb / 1Ex e IIC Gb / 0Ex ia IIC Ga / 2Ex nR IIC Gc / Ex ta IIIC Da, IP66 / IP68</t>
  </si>
  <si>
    <t>ВЗ-Н1/4G-Т1/2G(Н)/МР15</t>
  </si>
  <si>
    <t>ВЗ-Н1/4G-Т/МР15 - Взрывозащищенный кабельный ввод ВЗОР для небронированного кабеля круглого сечения, 2-6 мм, 1/4" NPT, с фитингом для присоединения металлорукава Ду 15, никелированная латунь, Ex d IIC Gb / 1Ex e IIC Gb / 0Ex ia IIC Ga / 2Ex nR IIC Gc / Ex ta IIIC Da, IP66 / IP68</t>
  </si>
  <si>
    <t>ВЗ-Н3/8G-Т1/2G(Н)/МР15</t>
  </si>
  <si>
    <t>ВЗ-Н3/8G-Т/МР15 - Взрывозащищенный кабельный ввод ВЗОР для небронированного кабеля круглого сечения, 3-8 мм, 3/8" NPT, с фитингом для присоединения металлорукава Ду 15, никелированная латунь, 1Ex d IIC Gb / 1Ex e IIC Gb / 0Ex ia IIC Ga / 2Ex nR IIC Gc / Ex ta IIIC Da, IP66 / IP68</t>
  </si>
  <si>
    <t>ВЗ-Н1/2G-Т1/2G(Н)/МР15</t>
  </si>
  <si>
    <t>ВЗ-Н1/2G-Т/МР15 - Взрывозащищенный кабельный ввод ВЗОР для небронированного кабеля круглого сечения, 6-14 мм, 1/2" NPT, с фитингом для присоединения металлорукава Ду 15, никелированная латунь, 1Ex d IIC Gb / 1Ex e IIC Gb / 0Ex ia IIC Ga / 2Ex nR IIC Gc / Ex ta IIIC Da, IP66 / IP68</t>
  </si>
  <si>
    <t>ВЗ-Н1/2G-Т3/4G(Н)/МР20</t>
  </si>
  <si>
    <t>ВЗ-Н1/2G-Т/МР20 - Взрывозащищенный кабельный ввод ВЗОР для небронированного кабеля круглого сечения, 6-14 мм, 1/2" NPT, с фитингом для присоединения металлорукава Ду 20, никелированная латунь, 1Ex d IIC Gb / 1Ex e IIC Gb / 0Ex ia IIC Ga / 2Ex nR IIC Gc / Ex ta IIIC Da, IP66 / IP68</t>
  </si>
  <si>
    <t>ВЗ-Н1/2G-Т1G(Н)/МР25</t>
  </si>
  <si>
    <t>ВЗ-Н1/2G-Т/МР25 - Взрывозащищенный кабельный ввод ВЗОР для небронированного кабеля круглого сечения, 6-14 мм, 1/2" NPT, с фитингом для присоединения металлорукава Ду 25, никелированная латунь, 1Ex d IIC Gb / 1Ex e IIC Gb / 0Ex ia IIC Ga / 2Ex nR IIC Gc / Ex ta IIIC Da, IP66 / IP68</t>
  </si>
  <si>
    <t>ВЗ-Н3/4G-Т1/2G(Н)/МР15</t>
  </si>
  <si>
    <t>ВЗ-Н3/4G-Т/МР15 - Взрывозащищенный кабельный ввод ВЗОР для небронированного кабеля круглого сечения, 12-18 мм, М25х1,5-6g, с фитингом для присоединения металлорукава Ду 15, никелированная латунь, 1Ex d IIC Gb / 1Ex e IIC Gb / 0Ex ia IIC Ga / 2Ex nR IIC Gc / Ex ta IIIC Da, IP66 / IP68</t>
  </si>
  <si>
    <t>ВЗ-Н3/4G-Т3/4G(Н)/МР20</t>
  </si>
  <si>
    <t>ВЗ-Н3/4G-Т/МР20 - Взрывозащищенный кабельный ввод ВЗОР для небронированного кабеля круглого сечения, 12-18 мм, 3/4" NPT, с фитингом для присоединения металлорукава Ду 20, никелированная латунь, 1Ex d IIC Gb / 1Ex e IIC Gb / 0Ex ia IIC Ga / 2Ex nR IIC Gc / Ex ta IIIC Da, IP66 / IP68</t>
  </si>
  <si>
    <t>ВЗ-Н3/4G-Т1G(Н)/МР25</t>
  </si>
  <si>
    <t>ВЗ-Н3/4G-Т/МР25 - Взрывозащищенный кабельный ввод ВЗОР для небронированного кабеля круглого сечения, 12-18 мм, 3/4" NPT, с фитингом для присоединения металлорукава Ду 25, никелированная латунь, 1Ex d IIC Gb / 1Ex e IIC Gb / 0Ex ia IIC Ga / 2Ex nR IIC Gc / Ex ta IIIC Da, IP66 / IP68</t>
  </si>
  <si>
    <t>ВЗ-Н3/4G-Т1.1/4G(Н)/МР32</t>
  </si>
  <si>
    <t>ВЗ-Н3/4G-Т/МР32 - Взрывозащищенный кабельный ввод ВЗОР для небронированного кабеля круглого сечения, 12-18 мм, 3/4" NPT, с фитингом для присоединения металлорукава Ду 32, никелированная латунь, 1Ex d IIC Gb / 1Ex e IIC Gb / 0Ex ia IIC Ga / 2Ex nR IIC Gc / Ex ta IIIC Da, IP66 / IP68</t>
  </si>
  <si>
    <t>ВЗ-Н1G-Т1G(Н)/МР25</t>
  </si>
  <si>
    <t>ВЗ-Н1G-Т/МР25 - Взрывозащищенный кабельный ввод ВЗОР для небронированного кабеля круглого сечения, 18-25 мм, 1" NPT, с фитингом для присоединения металлорукава Ду 25, никелированная латунь, 1Ex d IIC Gb / 1Ex e IIC Gb / 0Ex ia IIC Ga / 2Ex nR IIC Gc / Ex ta IIIC Da, IP66 / IP68</t>
  </si>
  <si>
    <t>ВЗ-Н1G-Т1.1/4G(Н)/МР32</t>
  </si>
  <si>
    <t>ВЗ-Н1G-Т/МР32 - Взрывозащищенный кабельный ввод ВЗОР для небронированного кабеля круглого сечения, 18-25 мм, 1" NPT, с фитингом для присоединения металлорукава Ду 32, никелированная латунь, 1Ex d IIC Gb / 1Ex e IIC Gb / 0Ex ia IIC Ga / 2Ex nR IIC Gc / Ex ta IIIC Da, IP66 / IP68</t>
  </si>
  <si>
    <t>ВЗ-Н1.1/4G-Т1.1/4G(Н)/МР32</t>
  </si>
  <si>
    <t>ВЗ-Н1.1/4G-Т/МР32 - Взрывозащищенный кабельный ввод ВЗОР для небронированного кабеля круглого сечения, 25-31 мм, 1.1/4" NPT, с фитингом для присоединения металлорукава Ду 32, никелированная латунь, 1Ex d IIC Gb / 1Ex e IIC Gb / 0Ex ia IIC Ga / 2Ex nR IIC Gc / Ex ta IIIC Da, IP66 / IP68</t>
  </si>
  <si>
    <t>ВЗ-Н1.1/4G-Т1.1/2G(Н)/МР38</t>
  </si>
  <si>
    <t>ВЗ-Н1.1/4G-Т/МР38 - Взрывозащищенный кабельный ввод ВЗОР для небронированного кабеля круглого сечения, 25-31 мм, 1.1/4" NPT, с фитингом для присоединения металлорукава Ду 38, никелированная латунь, 1Ex d IIC Gb / 1Ex e IIC Gb / 0Ex ia IIC Ga / 2Ex nR IIC Gc / Ex ta IIIC Da, IP66 / IP68</t>
  </si>
  <si>
    <t>ВЗ-Н1.1/4G-Т2G(Н)/МР50</t>
  </si>
  <si>
    <t>ВЗ-Н1.1/4G-Т/МР50 - Взрывозащищенный кабельный ввод ВЗОР для небронированного кабеля круглого сечения, 25-31 мм, 1.1/4" NPT, с фитингом для присоединения металлорукава Ду 50, никелированная латунь, 1Ex d IIC Gb / 1Ex e IIC Gb / 0Ex ia IIC Ga / 2Ex nR IIC Gc / Ex ta IIIC Da, IP66 / IP68</t>
  </si>
  <si>
    <t>ВЗ-Н1.1/2G-Т1.1/2G(Н)/МР38</t>
  </si>
  <si>
    <t>ВЗ-Н1.1/2G-Т/МР50 - Взрывозащищенный кабельный ввод ВЗОР для небронированного кабеля круглого сечения, 31-39 мм, 1.1/2" NPT, с фитингом для присоединения металлорукава Ду 38, никелированная латунь, 1Ex d IIC Gb / 1Ex e IIC Gb / 0Ex ia IIC Ga / 2Ex nR IIC Gc / Ex ta IIIC Da, IP66 / IP68</t>
  </si>
  <si>
    <t>ВЗ-Н1.1/2G-Т2G(Н)/МР50</t>
  </si>
  <si>
    <t>ВЗ-Н1.1/2G-Т/МР50 - Взрывозащищенный кабельный ввод ВЗОР для небронированного кабеля круглого сечения, 31-39 мм, 1.1/2" NPT, с фитингом для присоединения металлорукава Ду 50, никелированная латунь, 1Ex d IIC Gb / 1Ex e IIC Gb / 0Ex ia IIC Ga / 2Ex nR IIC Gc / Ex ta IIIC Da, IP66 / IP68</t>
  </si>
  <si>
    <t>ВЗ-Н2G-Т2G(Н)/МР50</t>
  </si>
  <si>
    <t>ВЗ-Н2G-Т/МР50 - Взрывозащищенный кабельный ввод ВЗОР для небронированного кабеля круглого сечения, 39-47 мм, 2" NPT, с фитингом для присоединения металлорукава Ду 50, никелированная латунь, 1Ex d IIC Gb / 1Ex e IIC Gb / 0Ex ia IIC Ga / 2Ex nR IIC Gc / Ex ta IIIC Da, IP66 / IP68</t>
  </si>
  <si>
    <t>ВЗ-Н2G-Т2.1/2G(Н)/МР60</t>
  </si>
  <si>
    <t>ВЗ-Н2G-Т/МР60 - Взрывозащищенный кабельный ввод ВЗОР для небронированного кабеля круглого сечения, 39-47 мм, 2" NPT, с фитингом для присоединения металлорукава Ду 60, никелированная латунь, 1Ex d IIC Gb / 1Ex e IIC Gb / 0Ex ia IIC Ga / 2Ex nR IIC Gc / Ex ta IIIC Da, IP66 / IP68</t>
  </si>
  <si>
    <t>ВЗ-Н16-МР12 - Взрывозащищенный кабельный ввод ВЗОР для небронированного кабеля круглого сечения, 3-8 мм, М16х1,5-6g, с креплением металлорукава Ду 12, никелированная латунь, Ex d IIC Gb / 1Ex e IIC Gb / 0Ex ia IIC Ga / 2Ex nR IIC Gc / Ex ta IIIC Da, IP66 / IP68</t>
  </si>
  <si>
    <t>ВЗ-Н20-МР15 - Взрывозащищенный кабельный ввод ВЗОР для небронированного кабеля круглого сечения, 6-14 мм, М20х1,5-6g, с креплением металлорукава Ду 15, никелированная латунь, Ex d IIC Gb / 1Ex e IIC Gb / 0Ex ia IIC Ga / 2Ex nR IIC Gc / Ex ta IIIC Da, IP66 / IP68</t>
  </si>
  <si>
    <t>ВЗ-Н20-МР16 - Взрывозащищенный кабельный ввод ВЗОР для небронированного кабеля круглого сечения, 6-14 мм, М20х1,5-6g, с креплением металлорукава Ду 16, никелированная латунь, Ex d IIC Gb / 1Ex e IIC Gb / 0Ex ia IIC Ga / 2Ex nR IIC Gc / Ex ta IIIC Da, IP66 / IP68</t>
  </si>
  <si>
    <t>ВЗ-Н20-МР18 - Взрывозащищенный кабельный ввод ВЗОР для небронированного кабеля круглого сечения, 6-14 мм, М20х1,5-6g, с креплением металлорукава Ду 18, никелированная латунь, Ex d IIC Gb / 1Ex e IIC Gb / 0Ex ia IIC Ga / 2Ex nR IIC Gc / Ex ta IIIC Da, IP66 / IP68</t>
  </si>
  <si>
    <t>ВЗ-Н20-МР20 - Взрывозащищенный кабельный ввод ВЗОР для небронированного кабеля круглого сечения, 6-14 мм, М20х1,5-6g, с креплением металлорукава Ду 20, никелированная латунь, Ex d IIC Gb / 1Ex e IIC Gb / 0Ex ia IIC Ga / 2Ex nR IIC Gc / Ex ta IIIC Da, IP66 / IP68</t>
  </si>
  <si>
    <t>ВЗ-Н20-МР22 - Взрывозащищенный кабельный ввод ВЗОР для небронированного кабеля круглого сечения, 6-14 мм, М20х1,5-6g, с креплением металлорукава Ду 22, никелированная латунь, Ex d IIC Gb / 1Ex e IIC Gb / 0Ex ia IIC Ga / 2Ex nR IIC Gc / Ex ta IIIC Da, IP66 / IP68</t>
  </si>
  <si>
    <t>ВЗ-Н20-МР25 - Взрывозащищенный кабельный ввод ВЗОР для небронированного кабеля круглого сечения, 6-14 мм, М20х1,5-6g, с креплением металлорукава Ду 25, никелированная латунь, Ex d IIC Gb / 1Ex e IIC Gb / 0Ex ia IIC Ga / 2Ex nR IIC Gc / Ex ta IIIC Da, IP66 / IP68</t>
  </si>
  <si>
    <t>ВЗ-Н25-МР18 - Взрывозащищенный кабельный ввод ВЗОР для небронированного кабеля круглого сечения, 12-18 мм, М25х1,5-6g, с креплением металлорукава Ду 18, никелированная латунь, Ex d IIC Gb / 1Ex e IIC Gb / 0Ex ia IIC Ga / 2Ex nR IIC Gc / Ex ta IIIC Da, IP66 / IP68</t>
  </si>
  <si>
    <t>ВЗ-Н25-МР20 - Взрывозащищенный кабельный ввод ВЗОР для небронированного кабеля круглого сечения, 12-18 мм, М25х1,5-6g, с креплением металлорукава Ду 20, никелированная латунь, Ex d IIC Gb / 1Ex e IIC Gb / 0Ex ia IIC Ga / 2Ex nR IIC Gc / Ex ta IIIC Da, IP66 / IP68</t>
  </si>
  <si>
    <t>ВЗ-Н25-МР22 - Взрывозащищенный кабельный ввод ВЗОР для небронированного кабеля круглого сечения, 12-18 мм, М25х1,5-6g, с креплением металлорукава Ду 22, никелированная латунь, Ex d IIC Gb / 1Ex e IIC Gb / 0Ex ia IIC Ga / 2Ex nR IIC Gc / Ex ta IIIC Da, IP66 / IP68</t>
  </si>
  <si>
    <t>ВЗ-Н25-МР25 - Взрывозащищенный кабельный ввод ВЗОР для небронированного кабеля круглого сечения, 12-18 мм, М25х1,5-6g, с креплением металлорукава Ду 25, никелированная латунь, Ex d IIC Gb / 1Ex e IIC Gb / 0Ex ia IIC Ga / 2Ex nR IIC Gc / Ex ta IIIC Da, IP66 / IP68</t>
  </si>
  <si>
    <t>ВЗ-Н25-МР32 - Взрывозащищенный кабельный ввод ВЗОР для небронированного кабеля круглого сечения, 12-18 мм, М25х1,5-6g, с креплением металлорукава Ду 32, никелированная латунь, Ex d IIC Gb / 1Ex e IIC Gb / 0Ex ia IIC Ga / 2Ex nR IIC Gc / Ex ta IIIC Da, IP66 / IP68</t>
  </si>
  <si>
    <t>ВЗ-Н32-МР25 - Взрывозащищенный кабельный ввод ВЗОР для небронированного кабеля круглого сечения, 18-25 мм, М32х1,5-6g, с креплением металлорукава Ду 25, никелированная латунь, Ex d IIC Gb / 1Ex e IIC Gb / 0Ex ia IIC Ga / 2Ex nR IIC Gc / Ex ta IIIC Da, IP66 / IP68</t>
  </si>
  <si>
    <t>ВЗ-Н32-МР32 - Взрывозащищенный кабельный ввод ВЗОР для небронированного кабеля круглого сечения, 18-25 мм, М32х1,5-6g, с креплением металлорукава Ду 32, никелированная латунь, Ex d IIC Gb / 1Ex e IIC Gb / 0Ex ia IIC Ga / 2Ex nR IIC Gc / Ex ta IIIC Da, IP66 / IP68</t>
  </si>
  <si>
    <t>ВЗ-Н32-МР38 - Взрывозащищенный кабельный ввод ВЗОР для небронированного кабеля круглого сечения, 18-25 мм, М32х1,5-6g, с креплением металлорукава Ду 38, никелированная латунь, Ex d IIC Gb / 1Ex e IIC Gb / 0Ex ia IIC Ga / 2Ex nR IIC Gc / Ex ta IIIC Da, IP66 / IP68</t>
  </si>
  <si>
    <t>ВЗ-Н40-МР32 - Взрывозащищенный кабельный ввод ВЗОР для небронированного кабеля круглого сечения, 25-31 мм, М40х1,5-6g, с креплением металлорукава Ду 32, никелированная латунь, Ex d IIC Gb / 1Ex e IIC Gb / 0Ex ia IIC Ga / 2Ex nR IIC Gc / Ex ta IIIC Da, IP66 / IP68</t>
  </si>
  <si>
    <t>ВЗ-Н40-МР38 - Взрывозащищенный кабельный ввод ВЗОР для небронированного кабеля круглого сечения, 25-31 мм, М40х1,5-6g, с креплением металлорукава Ду 38, никелированная латунь, Ex d IIC Gb / 1Ex e IIC Gb / 0Ex ia IIC Ga / 2Ex nR IIC Gc / Ex ta IIIC Da, IP66 / IP68</t>
  </si>
  <si>
    <t>ВЗ-Н3/8-МР12</t>
  </si>
  <si>
    <t>ВЗ-Н3/8-МР12 - Взрывозащищенный кабельный ввод ВЗОР для небронированного кабеля круглого сечения, 3-8 мм, 3/8" NPT, с креплением металлорукава Ду 12, никелированная латунь, Ex d IIC Gb / 1Ex e IIC Gb / 0Ex ia IIC Ga / 2Ex nR IIC Gc / Ex ta IIIC Da, IP66 / IP68</t>
  </si>
  <si>
    <t>ВЗ-Н1/2-МР15</t>
  </si>
  <si>
    <t>ВЗ-Н1/2-МР15 - Взрывозащищенный кабельный ввод ВЗОР для небронированного кабеля круглого сечения, 6-14 мм, 1/2" NPT, с креплением металлорукава Ду 15, никелированная латунь, Ex d IIC Gb / 1Ex e IIC Gb / 0Ex ia IIC Ga / 2Ex nR IIC Gc / Ex ta IIIC Da, IP66 / IP68</t>
  </si>
  <si>
    <t>ВЗ-Н1/2-МР16</t>
  </si>
  <si>
    <t>ВЗ-Н1/2-МР16 - Взрывозащищенный кабельный ввод ВЗОР для небронированного кабеля круглого сечения, 6-14 мм, 1/2" NPT, с креплением металлорукава Ду 16, никелированная латунь, Ex d IIC Gb / 1Ex e IIC Gb / 0Ex ia IIC Ga / 2Ex nR IIC Gc / Ex ta IIIC Da, IP66 / IP68</t>
  </si>
  <si>
    <t>ВЗ-Н1/2-МР18</t>
  </si>
  <si>
    <t>ВЗ-Н1/2-МР18 - Взрывозащищенный кабельный ввод ВЗОР для небронированного кабеля круглого сечения, 6-14 мм, 1/2" NPT, с креплением металлорукава Ду 18, никелированная латунь, Ex d IIC Gb / 1Ex e IIC Gb / 0Ex ia IIC Ga / 2Ex nR IIC Gc / Ex ta IIIC Da, IP66 / IP68</t>
  </si>
  <si>
    <t>ВЗ-Н1/2-МР20</t>
  </si>
  <si>
    <t>ВЗ-Н1/2-МР20 - Взрывозащищенный кабельный ввод ВЗОР для небронированного кабеля круглого сечения, 6-14 мм, 1/2" NPT, с креплением металлорукава Ду 20, никелированная латунь, Ex d IIC Gb / 1Ex e IIC Gb / 0Ex ia IIC Ga / 2Ex nR IIC Gc / Ex ta IIIC Da, IP66 / IP68</t>
  </si>
  <si>
    <t>ВЗ-Н1/2-МР22</t>
  </si>
  <si>
    <t>ВЗ-Н1/2-МР22 - Взрывозащищенный кабельный ввод ВЗОР для небронированного кабеля круглого сечения, 6-14 мм, 1/2" NPT, с креплением металлорукава Ду 22, никелированная латунь, Ex d IIC Gb / 1Ex e IIC Gb / 0Ex ia IIC Ga / 2Ex nR IIC Gc / Ex ta IIIC Da, IP66 / IP68</t>
  </si>
  <si>
    <t>ВЗ-Н1/2-МР25</t>
  </si>
  <si>
    <t>ВЗ-Н1/2-МР25 - Взрывозащищенный кабельный ввод ВЗОР для небронированного кабеля круглого сечения, 6-14 мм, 1/2" NPT, с креплением металлорукава Ду 25, никелированная латунь, Ex d IIC Gb / 1Ex e IIC Gb / 0Ex ia IIC Ga / 2Ex nR IIC Gc / Ex ta IIIC Da, IP66 / IP68</t>
  </si>
  <si>
    <t>ВЗ-Н3/4-МР15</t>
  </si>
  <si>
    <t>ВЗ-Н3/4-МР15 - Взрывозащищенный кабельный ввод ВЗОР для небронированного кабеля круглого сечения, 12-18 мм, 3/4" NPT, с креплением металлорукава Ду 15, никелированная латунь, Ex d IIC Gb / 1Ex e IIC Gb / 0Ex ia IIC Ga / 2Ex nR IIC Gc / Ex ta IIIC Da, IP66 / IP68</t>
  </si>
  <si>
    <t>ВЗ-Н3/4-МР16</t>
  </si>
  <si>
    <t>ВЗ-Н3/4-МР16 - Взрывозащищенный кабельный ввод ВЗОР для небронированного кабеля круглого сечения, 12-18 мм, 3/4" NPT, с креплением металлорукава Ду 16, никелированная латунь, Ex d IIC Gb / 1Ex e IIC Gb / 0Ex ia IIC Ga / 2Ex nR IIC Gc / Ex ta IIIC Da, IP66 / IP68</t>
  </si>
  <si>
    <t>ВЗ-Н3/4-МР18</t>
  </si>
  <si>
    <t>ВЗ-Н3/4-МР18 - Взрывозащищенный кабельный ввод ВЗОР для небронированного кабеля круглого сечения, 12-18 мм, 3/4" NPT, с креплением металлорукава Ду 18, никелированная латунь, Ex d IIC Gb / 1Ex e IIC Gb / 0Ex ia IIC Ga / 2Ex nR IIC Gc / Ex ta IIIC Da, IP66 / IP68</t>
  </si>
  <si>
    <t>ВЗ-Н3/4-МР20</t>
  </si>
  <si>
    <t>ВЗ-Н3/4-МР20 - Взрывозащищенный кабельный ввод ВЗОР для небронированного кабеля круглого сечения, 12-18 мм, 3/4" NPT, с креплением металлорукава Ду 20, никелированная латунь, Ex d IIC Gb / 1Ex e IIC Gb / 0Ex ia IIC Ga / 2Ex nR IIC Gc / Ex ta IIIC Da, IP66 / IP68</t>
  </si>
  <si>
    <t>ВЗ-Н3/4-МР22</t>
  </si>
  <si>
    <t>ВЗ-Н3/4-МР22 - Взрывозащищенный кабельный ввод ВЗОР для небронированного кабеля круглого сечения, 12-18 мм, 3/4" NPT, с креплением металлорукава Ду 22, никелированная латунь, Ex d IIC Gb / 1Ex e IIC Gb / 0Ex ia IIC Ga / 2Ex nR IIC Gc / Ex ta IIIC Da, IP66 / IP68</t>
  </si>
  <si>
    <t>ВЗ-Н3/4-МР25</t>
  </si>
  <si>
    <t>ВЗ-Н3/4-МР25 - Взрывозащищенный кабельный ввод ВЗОР для небронированного кабеля круглого сечения, 12-18 мм, 3/4" NPT, с креплением металлорукава Ду 25, никелированная латунь, Ex d IIC Gb / 1Ex e IIC Gb / 0Ex ia IIC Ga / 2Ex nR IIC Gc / Ex ta IIIC Da, IP66 / IP68</t>
  </si>
  <si>
    <t>ВЗ-Н3/4-МР32</t>
  </si>
  <si>
    <t>ВЗ-Н3/4-МР32 - Взрывозащищенный кабельный ввод ВЗОР для небронированного кабеля круглого сечения, 12-18 мм, 3/4" NPT, с креплением металлорукава Ду 32, никелированная латунь, Ex d IIC Gb / 1Ex e IIC Gb / 0Ex ia IIC Ga / 2Ex nR IIC Gc / Ex ta IIIC Da, IP66 / IP68</t>
  </si>
  <si>
    <t>ВЗ-Н1-МР25</t>
  </si>
  <si>
    <t>ВЗ-Н1-МР25 - Взрывозащищенный кабельный ввод ВЗОР для небронированного кабеля круглого сечения, 18-25 мм, 1" NPT, с креплением металлорукава Ду 25, никелированная латунь, Ex d IIC Gb / 1Ex e IIC Gb / 0Ex ia IIC Ga / 2Ex nR IIC Gc / Ex ta IIIC Da, IP66 / IP68</t>
  </si>
  <si>
    <t>ВЗ-Н1-МР32</t>
  </si>
  <si>
    <t>ВЗ-Н1-МР32 - Взрывозащищенный кабельный ввод ВЗОР для небронированного кабеля круглого сечения, 18-25 мм, 1" NPT, с креплением металлорукава Ду 32, никелированная латунь, Ex d IIC Gb / 1Ex e IIC Gb / 0Ex ia IIC Ga / 2Ex nR IIC Gc / Ex ta IIIC Da, IP66 / IP68</t>
  </si>
  <si>
    <t>ВЗ-Н1-МР38</t>
  </si>
  <si>
    <t>ВЗ-Н1-МР38 - Взрывозащищенный кабельный ввод ВЗОР для небронированного кабеля круглого сечения, 18-25 мм, 1" NPT, с креплением металлорукава Ду 38, никелированная латунь, Ex d IIC Gb / 1Ex e IIC Gb / 0Ex ia IIC Ga / 2Ex nR IIC Gc / Ex ta IIIC Da, IP66 / IP68</t>
  </si>
  <si>
    <t>ВЗ-Н1.1/4-МР32</t>
  </si>
  <si>
    <t>ВЗ-Н1.1/4-МР32 - Взрывозащищенный кабельный ввод ВЗОР для небронированного кабеля круглого сечения, 25-31 мм, 1.1/4" NPT, с креплением металлорукава Ду 32, никелированная латунь, Ex d IIC Gb / 1Ex e IIC Gb / 0Ex ia IIC Ga / 2Ex nR IIC Gc / Ex ta IIIC Da, IP66 / IP68</t>
  </si>
  <si>
    <t>ВЗ-Н1.1/4-МР38</t>
  </si>
  <si>
    <t>ВЗ-Н1.1/4-МР38 - Взрывозащищенный кабельный ввод ВЗОР для небронированного кабеля круглого сечения, 25-31 мм, 1.1/4" NPT, с креплением металлорукава Ду 38, никелированная латунь, Ex d IIC Gb / 1Ex e IIC Gb / 0Ex ia IIC Ga / 2Ex nR IIC Gc / Ex ta IIIC Da, IP66 / IP68</t>
  </si>
  <si>
    <t>ВЗ-Н3/8G-МР12</t>
  </si>
  <si>
    <t>ВЗ-Н3/8G-МР12 - Взрывозащищенный кабельный ввод ВЗОР для небронированного кабеля круглого сечения, 3-8 мм, G 3/8", с креплением металлорукава Ду 12, никелированная латунь, Ex d IIC Gb / 1Ex e IIC Gb / 0Ex ia IIC Ga / 2Ex nR IIC Gc / Ex ta IIIC Da, IP66 / IP68</t>
  </si>
  <si>
    <t>ВЗ-Н1/2G-МР15</t>
  </si>
  <si>
    <t>ВЗ-Н1/2G-МР15 - Взрывозащищенный кабельный ввод ВЗОР для небронированного кабеля круглого сечения, 6-14 мм, G 1/2", с креплением металлорукава Ду 15, никелированная латунь, Ex d IIC Gb / 1Ex e IIC Gb / 0Ex ia IIC Ga / 2Ex nR IIC Gc / Ex ta IIIC Da, IP66 / IP68</t>
  </si>
  <si>
    <t>ВЗ-Н1/2G-МР16</t>
  </si>
  <si>
    <t>ВЗ-Н1/2G-МР16 - Взрывозащищенный кабельный ввод ВЗОР для небронированного кабеля круглого сечения, 6-14 мм, G 1/2", с креплением металлорукава Ду 16, никелированная латунь, Ex d IIC Gb / 1Ex e IIC Gb / 0Ex ia IIC Ga / 2Ex nR IIC Gc / Ex ta IIIC Da, IP66 / IP68</t>
  </si>
  <si>
    <t>ВЗ-Н1/2G-МР18</t>
  </si>
  <si>
    <t>ВЗ-Н1/2G-МР18 - Взрывозащищенный кабельный ввод ВЗОР для небронированного кабеля круглого сечения, 6-14 мм, G 1/2", с креплением металлорукава Ду 18, никелированная латунь, Ex d IIC Gb / 1Ex e IIC Gb / 0Ex ia IIC Ga / 2Ex nR IIC Gc / Ex ta IIIC Da, IP66 / IP68</t>
  </si>
  <si>
    <t>ВЗ-Н1/2G-МР20</t>
  </si>
  <si>
    <t>ВЗ-Н1/2G-МР20 - Взрывозащищенный кабельный ввод ВЗОР для небронированного кабеля круглого сечения, 6-14 мм, G 1/2", с креплением металлорукава Ду 20, никелированная латунь, Ex d IIC Gb / 1Ex e IIC Gb / 0Ex ia IIC Ga / 2Ex nR IIC Gc / Ex ta IIIC Da, IP66 / IP68</t>
  </si>
  <si>
    <t>ВЗ-Н1/2G-МР22</t>
  </si>
  <si>
    <t>ВЗ-Н1/2G-МР22 - Взрывозащищенный кабельный ввод ВЗОР для небронированного кабеля круглого сечения, 6-14 мм, G 1/2", с креплением металлорукава Ду 22, никелированная латунь, Ex d IIC Gb / 1Ex e IIC Gb / 0Ex ia IIC Ga / 2Ex nR IIC Gc / Ex ta IIIC Da, IP66 / IP68</t>
  </si>
  <si>
    <t>ВЗ-Н1/2G-МР25</t>
  </si>
  <si>
    <t>ВЗ-Н1/2G-МР25 - Взрывозащищенный кабельный ввод ВЗОР для небронированного кабеля круглого сечения, 6-14 мм, G 1/2", с креплением металлорукава Ду 25, никелированная латунь, Ex d IIC Gb / 1Ex e IIC Gb / 0Ex ia IIC Ga / 2Ex nR IIC Gc / Ex ta IIIC Da, IP66 / IP68</t>
  </si>
  <si>
    <t>ВЗ-Н3/4G-МР15</t>
  </si>
  <si>
    <t>ВЗ-Н3/4G-МР15 - Взрывозащищенный кабельный ввод ВЗОР для небронированного кабеля круглого сечения, 12-18 мм, G 3/4", с креплением металлорукава Ду 15, никелированная латунь, Ex d IIC Gb / 1Ex e IIC Gb / 0Ex ia IIC Ga / 2Ex nR IIC Gc / Ex ta IIIC Da, IP66 / IP68</t>
  </si>
  <si>
    <t>ВЗ-Н3/4G-МР16</t>
  </si>
  <si>
    <t>ВЗ-Н3/4G-МР16 - Взрывозащищенный кабельный ввод ВЗОР для небронированного кабеля круглого сечения, 12-18 мм, G 3/4", с креплением металлорукава Ду 16, никелированная латунь, Ex d IIC Gb / 1Ex e IIC Gb / 0Ex ia IIC Ga / 2Ex nR IIC Gc / Ex ta IIIC Da, IP66 / IP68</t>
  </si>
  <si>
    <t>ВЗ-Н3/4G-МР18</t>
  </si>
  <si>
    <t>ВЗ-Н3/4G-МР18 - Взрывозащищенный кабельный ввод ВЗОР для небронированного кабеля круглого сечения, 12-18 мм, G 3/4", с креплением металлорукава Ду 18, никелированная латунь, Ex d IIC Gb / 1Ex e IIC Gb / 0Ex ia IIC Ga / 2Ex nR IIC Gc / Ex ta IIIC Da, IP66 / IP68</t>
  </si>
  <si>
    <t>ВЗ-Н3/4G-МР20</t>
  </si>
  <si>
    <t>ВЗ-Н3/4G-МР20 - Взрывозащищенный кабельный ввод ВЗОР для небронированного кабеля круглого сечения, 12-18 мм, G 3/4", с креплением металлорукава Ду 20, никелированная латунь, Ex d IIC Gb / 1Ex e IIC Gb / 0Ex ia IIC Ga / 2Ex nR IIC Gc / Ex ta IIIC Da, IP66 / IP68</t>
  </si>
  <si>
    <t>ВЗ-Н3/4G-МР22</t>
  </si>
  <si>
    <t>ВЗ-Н3/4G-МР22 - Взрывозащищенный кабельный ввод ВЗОР для небронированного кабеля круглого сечения, 12-18 мм, G 3/4", с креплением металлорукава Ду 22, никелированная латунь, Ex d IIC Gb / 1Ex e IIC Gb / 0Ex ia IIC Ga / 2Ex nR IIC Gc / Ex ta IIIC Da, IP66 / IP68</t>
  </si>
  <si>
    <t>ВЗ-Н3/4G-МР25</t>
  </si>
  <si>
    <t>ВЗ-Н3/4G-МР25 - Взрывозащищенный кабельный ввод ВЗОР для небронированного кабеля круглого сечения, 12-18 мм, G 3/4", с креплением металлорукава Ду 25, никелированная латунь, Ex d IIC Gb / 1Ex e IIC Gb / 0Ex ia IIC Ga / 2Ex nR IIC Gc / Ex ta IIIC Da, IP66 / IP68</t>
  </si>
  <si>
    <t>ВЗ-Н3/4G-МР32</t>
  </si>
  <si>
    <t>ВЗ-Н3/4G-МР32 - Взрывозащищенный кабельный ввод ВЗОР для небронированного кабеля круглого сечения, 12-18 мм, G 3/4", с креплением металлорукава Ду 32, никелированная латунь, Ex d IIC Gb / 1Ex e IIC Gb / 0Ex ia IIC Ga / 2Ex nR IIC Gc / Ex ta IIIC Da, IP66 / IP68</t>
  </si>
  <si>
    <t>ВЗ-Н1G-МР25</t>
  </si>
  <si>
    <t>ВЗ-Н1G-МР25 - Взрывозащищенный кабельный ввод ВЗОР для небронированного кабеля круглого сечения, 18-25 мм, G 1", с креплением металлорукава Ду 25, никелированная латунь, Ex d IIC Gb / 1Ex e IIC Gb / 0Ex ia IIC Ga / 2Ex nR IIC Gc / Ex ta IIIC Da, IP66 / IP68</t>
  </si>
  <si>
    <t>ВЗ-Н1G-МР32</t>
  </si>
  <si>
    <t>ВЗ-Н1G-МР32 - Взрывозащищенный кабельный ввод ВЗОР для небронированного кабеля круглого сечения, 18-25 мм, G 1", с креплением металлорукава Ду 32, никелированная латунь, Ex d IIC Gb / 1Ex e IIC Gb / 0Ex ia IIC Ga / 2Ex nR IIC Gc / Ex ta IIIC Da, IP66 / IP68</t>
  </si>
  <si>
    <t>ВЗ-Н1G-МР38</t>
  </si>
  <si>
    <t>ВЗ-Н1G-МР38 - Взрывозащищенный кабельный ввод ВЗОР для небронированного кабеля круглого сечения, 18-25 мм, G 1", с креплением металлорукава Ду 38, никелированная латунь, Ex d IIC Gb / 1Ex e IIC Gb / 0Ex ia IIC Ga / 2Ex nR IIC Gc / Ex ta IIIC Da, IP66 / IP68</t>
  </si>
  <si>
    <t>ВЗ-Н1.1/4G-МР32</t>
  </si>
  <si>
    <t>ВЗ-Н1.1/4G-МР32 - Взрывозащищенный кабельный ввод ВЗОР для небронированного кабеля круглого сечения, 25-31 мм, G 1.1/4", с креплением металлорукава Ду 32, никелированная латунь, Ex d IIC Gb / 1Ex e IIC Gb / 0Ex ia IIC Ga / 2Ex nR IIC Gc / Ex ta IIIC Da, IP66 / IP68</t>
  </si>
  <si>
    <t>ВЗ-Н1.1/4G-МР38</t>
  </si>
  <si>
    <t>ВЗ-Н1.1/4G-МР38 - Взрывозащищенный кабельный ввод ВЗОР для небронированного кабеля круглого сечения, 25-31 мм, G 1.1/4", с креплением металлорукава Ду 38, никелированная латунь, Ex d IIC Gb / 1Ex e IIC Gb / 0Ex ia IIC Ga / 2Ex nR IIC Gc / Ex ta IIIC Da, IP66 / IP68</t>
  </si>
  <si>
    <t>ВЗ-Н16-Т3/8G(В) - Взрывозащищенный кабельный ввод ВЗОР для небронированного кабеля круглого сечения, 3-8 мм, М16х1,5-6g, с фитингом для присоединения трубы G 3/8" (внутренняя), никелированная латунь, 1Ex d IIC Gb / 1Ex e IIC Gb / 0Ex ia IIC Ga / 2Ex nR IIC Gc / Ex ta IIIC Da, IP66 / IP68</t>
  </si>
  <si>
    <t>ВЗ-Н16-Т1/2G(В) - Взрывозащищенный кабельный ввод ВЗОР для небронированного кабеля круглого сечения, 3-8 мм, М16х1,5-6g, с фитингом для присоединения трубы G 1/2" (внутренняя), никелированная латунь, 1Ex d IIC Gb / 1Ex e IIC Gb / 0Ex ia IIC Ga / 2Ex nR IIC Gc / Ex ta IIIC Da, IP66 / IP68</t>
  </si>
  <si>
    <t>ВЗ-Н20-Т1/2G(В) - Взрывозащищенный кабельный ввод ВЗОР для небронированного кабеля круглого сечения, 6-14 мм, М20х1,5-6g, с фитингом для присоединения трубы G 1/2" (внутренняя), никелированная латунь, 1Ex d IIC Gb / 1Ex e IIC Gb / 0Ex ia IIC Ga / 2Ex nR IIC Gc / Ex ta IIIC Da, IP66 / IP68</t>
  </si>
  <si>
    <t>ВЗ-Н20-Т3/4G(В) - Взрывозащищенный кабельный ввод ВЗОР для небронированного кабеля круглого сечения, 6-14 мм, М20х1,5-6g, с фитингом для присоединения трубы G 3/4" (внутренняя), никелированная латунь, 1Ex d IIC Gb / 1Ex e IIC Gb / 0Ex ia IIC Ga / 2Ex nR IIC Gc / Ex ta IIIC Da, IP66 / IP68</t>
  </si>
  <si>
    <t>ВЗ-Н25-Т3/4G(B) - Взрывозащищенный кабельный ввод ВЗОР для небронированного кабеля круглого сечения, 12-18 мм, М25х1,5-6g, с фитингом для присоединения трубы G 3/4" (внутренняя), никелированная латунь, 1Ex d IIC Gb / 1Ex e IIC Gb / 0Ex ia IIC Ga / 2Ex nR IIC Gc / Ex ta IIIC Da, IP66 / IP68</t>
  </si>
  <si>
    <t>ВЗ-Н25-Т1G(B) - Взрывозащищенный кабельный ввод ВЗОР для небронированного кабеля круглого сечения, 12-18 мм, М25х1,5-6g, с фитингом для присоединения трубы G 1" (внутренняя), никелированная латунь, 1Ex d IIC Gb / 1Ex e IIC Gb / 0Ex ia IIC Ga / 2Ex nR IIC Gc / Ex ta IIIC Da, IP66 / IP68</t>
  </si>
  <si>
    <t>ВЗ-Н32-Т1G(B) - Взрывозащищенный кабельный ввод ВЗОР для небронированного кабеля круглого сечения, 18-25 мм, М32х1,5-6g, с фитингом для присоединения трубы G 1" (внутренняя), никелированная латунь, 1Ex d IIC Gb / 1Ex e IIC Gb / 0Ex ia IIC Ga / 2Ex nR IIC Gc / Ex ta IIIC Da, IP66 / IP68</t>
  </si>
  <si>
    <t>ВЗ-Н32-Т1.1/4G(B) - Взрывозащищенный кабельный ввод ВЗОР для небронированного кабеля круглого сечения, 18-25 мм, М32х1,5-6g, с фитингом для присоединения трубы G 1.1/4" (внутренняя), никелированная латунь, 1Ex d IIC Gb / 1Ex e IIC Gb / 0Ex ia IIC Ga / 2Ex nR IIC Gc / Ex ta IIIC Da, IP66 / IP68</t>
  </si>
  <si>
    <t>ВЗ-Н40-Т1.1/4G(B) - Взрывозащищенный кабельный ввод ВЗОР для небронированного кабеля круглого сечения, 25-31 мм, М40х1,5-6g, с фитингом для присоединения трубы G 1.1/4" (внутренняя), никелированная латунь, 1Ex d IIC Gb / 1Ex e IIC Gb / 0Ex ia IIC Ga / 2Ex nR IIC Gc / Ex ta IIIC Da, IP66 / IP68</t>
  </si>
  <si>
    <t>ВЗ-Н40-Т1.1/2G(B) - Взрывозащищенный кабельный ввод ВЗОР для небронированного кабеля круглого сечения, 25-31 мм, М40х1,5-6g, с фитингом для присоединения трубы G 1.1/2" (внутренняя), никелированная латунь, 1Ex d IIC Gb / 1Ex e IIC Gb / 0Ex ia IIC Ga / 2Ex nR IIC Gc / Ex ta IIIC Da, IP66 / IP68</t>
  </si>
  <si>
    <t>ВЗ-Н50-Т1.1/2G(B) - Взрывозащищенный кабельный ввод ВЗОР для небронированного кабеля круглого сечения, 31-39 мм, М50х1,5-6g, с фитингом для присоединения трубы G 1.1/2" (внутренняя), никелированная латунь, 1Ex d IIC Gb / 1Ex e IIC Gb / 0Ex ia IIC Ga / 2Ex nR IIC Gc / Ex ta IIIC Da, IP66 / IP68</t>
  </si>
  <si>
    <t>ВЗ-Н50-Т2G(B) - Взрывозащищенный кабельный ввод ВЗОР для небронированного кабеля круглого сечения, 31-39 мм, М50х1,5-6g, с фитингом для присоединения трубы G 2" (внутренняя), никелированная латунь, 1Ex d IIC Gb / 1Ex e IIC Gb / 0Ex ia IIC Ga / 2Ex nR IIC Gc / Ex ta IIIC Da, IP66 / IP68</t>
  </si>
  <si>
    <t>ВЗ-Н3/8-Т3/8G(В)</t>
  </si>
  <si>
    <t>ВЗ-Н3/8-Т3/8G(B) - Взрывозащищенный кабельный ввод ВЗОР для небронированного кабеля круглого сечения, 3-8 мм, 3/8" NPT, с фитингом для присоединения трубы G 3/8" (внутренняя), никелированная латунь, 1Ex d IIC Gb / 1Ex e IIC Gb / 0Ex ia IIC Ga / 2Ex nR IIC Gc / Ex ta IIIC Da, IP66 / IP68</t>
  </si>
  <si>
    <t>ВЗ-Н3/8-Т1/2G(В)</t>
  </si>
  <si>
    <t>ВЗ-Н3/8-Т1/2G(B) - Взрывозащищенный кабельный ввод ВЗОР для небронированного кабеля круглого сечения, 3-8 мм, 3/8" NPT, с фитингом для присоединения трубы G 1/2" (внутренняя), никелированная латунь, 1Ex d IIC Gb / 1Ex e IIC Gb / 0Ex ia IIC Ga / 2Ex nR IIC Gc / Ex ta IIIC Da, IP66 / IP68</t>
  </si>
  <si>
    <t>ВЗ-Н1/2-Т1/2G(В)</t>
  </si>
  <si>
    <t>ВЗ-Н1/2-Т1/2G(B) - Взрывозащищенный кабельный ввод ВЗОР для небронированного кабеля круглого сечения, 6-14 мм, 1/2" NPT, с фитингом для присоединения трубы G 1/2" (внутренняя), никелированная латунь, 1Ex d IIC Gb / 1Ex e IIC Gb / 0Ex ia IIC Ga / 2Ex nR IIC Gc / Ex ta IIIC Da, IP66 / IP68</t>
  </si>
  <si>
    <t>ВЗ-Н1/2-Т3/4G(В)</t>
  </si>
  <si>
    <t>ВЗ-Н1/2-Т3/4G(B) - Взрывозащищенный кабельный ввод ВЗОР для небронированного кабеля круглого сечения, 6-14 мм, 1/2" NPT, с фитингом для присоединения трубы G 3/4" (внутренняя), никелированная латунь, 1Ex d IIC Gb / 1Ex e IIC Gb / 0Ex ia IIC Ga / 2Ex nR IIC Gc / Ex ta IIIC Da, IP66 / IP68</t>
  </si>
  <si>
    <t>ВЗ-Н3/4-Т3/4G(В)</t>
  </si>
  <si>
    <t>ВЗ-Н3/4-Т3/4G(B) - Взрывозащищенный кабельный ввод ВЗОР для небронированного кабеля круглого сечения, 12-18 мм, 3/4" NPT, с фитингом для присоединения трубы G 3/4" (внутренняя), никелированная латунь, 1Ex d IIC Gb / 1Ex e IIC Gb / 0Ex ia IIC Ga / 2Ex nR IIC Gc / Ex ta IIIC Da, IP66 / IP68</t>
  </si>
  <si>
    <t>ВЗ-Н3/4-Т1G(В)</t>
  </si>
  <si>
    <t>ВЗ-Н3/4-Т1G(B) - Взрывозащищенный кабельный ввод ВЗОР для небронированного кабеля круглого сечения, 12-18 мм, 3/4" NPT, с фитингом для присоединения трубы G 1" (внутренняя), никелированная латунь, 1Ex d IIC Gb / 1Ex e IIC Gb / 0Ex ia IIC Ga / 2Ex nR IIC Gc / Ex ta IIIC Da, IP66 / IP68</t>
  </si>
  <si>
    <t>ВЗ-Н1-Т1G(В)</t>
  </si>
  <si>
    <t>ВЗ-Н1-Т1G(B) - Взрывозащищенный кабельный ввод ВЗОР для небронированного кабеля круглого сечения, 18-25 мм, 1" NPT, с фитингом для присоединения трубы G 1" (внутренняя), никелированная латунь, 1Ex d IIC Gb / 1Ex e IIC Gb / 0Ex ia IIC Ga / 2Ex nR IIC Gc / Ex ta IIIC Da, IP66 / IP68</t>
  </si>
  <si>
    <t>ВЗ-Н1-Т1.1/4G(В)</t>
  </si>
  <si>
    <t>ВЗ-Н1-Т1.1/4G(B) - Взрывозащищенный кабельный ввод ВЗОР для небронированного кабеля круглого сечения, 18-25 мм, 1" NPT, с фитингом для присоединения трубы G 1.1/4" (внутренняя), никелированная латунь, 1Ex d IIC Gb / 1Ex e IIC Gb / 0Ex ia IIC Ga / 2Ex nR IIC Gc / Ex ta IIIC Da, IP66 / IP68</t>
  </si>
  <si>
    <t>ВЗ-Н1.1/4-Т1.1/4G(В)</t>
  </si>
  <si>
    <t>ВЗ-Н1.1/4-Т1.1/4G(B) - Взрывозащищенный кабельный ввод ВЗОР для небронированного кабеля круглого сечения, 25-31 мм, 1.1/4" NPT, с фитингом для присоединения трубы G 1.1/4" (внутренняя), никелированная латунь, 1Ex d IIC Gb / 1Ex e IIC Gb / 0Ex ia IIC Ga / 2Ex nR IIC Gc / Ex ta IIIC Da, IP66 / IP68</t>
  </si>
  <si>
    <t>ВЗ-Н1.1/4-Т1.1/2G(В)</t>
  </si>
  <si>
    <t>ВЗ-Н1.1/4-Т1.1/2G(B) - Взрывозащищенный кабельный ввод ВЗОР для небронированного кабеля круглого сечения, 25-31 мм, 1.1/4" NPT, с фитингом для присоединения трубы G 1.1/2" (внутренняя), никелированная латунь, 1Ex d IIC Gb / 1Ex e IIC Gb / 0Ex ia IIC Ga / 2Ex nR IIC Gc / Ex ta IIIC Da, IP66 / IP68</t>
  </si>
  <si>
    <t>ВЗ-Н1.1/2-Т1.1/2G(В)</t>
  </si>
  <si>
    <t>ВЗ-Н1.1/2-Т1.1/2G(B) - Взрывозащищенный кабельный ввод ВЗОР для небронированного кабеля круглого сечения, 31-39 мм, 1.1/2" NPT, с фитингом для присоединения трубы G 1.1/2" (внутренняя), никелированная латунь, 1Ex d IIC Gb / 1Ex e IIC Gb / 0Ex ia IIC Ga / 2Ex nR IIC Gc / Ex ta IIIC Da, IP66 / IP68</t>
  </si>
  <si>
    <t>ВЗ-Н1.1/2-Т2G(В)</t>
  </si>
  <si>
    <t>ВЗ-Н1.1/2-Т2G(B) - Взрывозащищенный кабельный ввод ВЗОР для небронированного кабеля круглого сечения, 31-39 мм, 1.1/2" NPT, с фитингом для присоединения трубы G 2" (внутренняя), никелированная латунь, 1Ex d IIC Gb / 1Ex e IIC Gb / 0Ex ia IIC Ga / 2Ex nR IIC Gc / Ex ta IIIC Da, IP66 / IP68</t>
  </si>
  <si>
    <t>ВЗ-Н3/8G-Т3/8G(В)</t>
  </si>
  <si>
    <t>ВЗ-Н3/8G-Т3/8G(B) - Взрывозащищенный кабельный ввод ВЗОР для небронированного кабеля круглого сечения, 3-8 мм, G 3/8", с фитингом для присоединения трубы G 3/8" (внутренняя), никелированная латунь, 1Ex d IIC Gb / 1Ex e IIC Gb / 0Ex ia IIC Ga / 2Ex nR IIC Gc / Ex ta IIIC Da, IP66 / IP68</t>
  </si>
  <si>
    <t>ВЗ-Н3/8G-Т1/2G(В)</t>
  </si>
  <si>
    <t>ВЗ-Н3/8G-Т1/2G(B) - Взрывозащищенный кабельный ввод ВЗОР для небронированного кабеля круглого сечения, 3-8 мм, G 3/8", с фитингом для присоединения трубы G 1/2" (внутренняя), никелированная латунь, 1Ex d IIC Gb / 1Ex e IIC Gb / 0Ex ia IIC Ga / 2Ex nR IIC Gc / Ex ta IIIC Da, IP66 / IP68</t>
  </si>
  <si>
    <t>ВЗ-Н1/2G-Т1/2G(В)</t>
  </si>
  <si>
    <t>ВЗ-Н1/2G-Т1/2G(B) - Взрывозащищенный кабельный ввод ВЗОР для небронированного кабеля круглого сечения, 6-14 мм, G 1/2", с фитингом для присоединения трубы G 1/2" (внутренняя), никелированная латунь, 1Ex d IIC Gb / 1Ex e IIC Gb / 0Ex ia IIC Ga / 2Ex nR IIC Gc / Ex ta IIIC Da, IP66 / IP68</t>
  </si>
  <si>
    <t>ВЗ-Н1/2G-Т3/4G(В)</t>
  </si>
  <si>
    <t>ВЗ-Н1/2G-Т3/4G(B) - Взрывозащищенный кабельный ввод ВЗОР для небронированного кабеля круглого сечения, 6-14 мм, G 1/2", с фитингом для присоединения трубы G 3/4" (внутренняя), никелированная латунь, 1Ex d IIC Gb / 1Ex e IIC Gb / 0Ex ia IIC Ga / 2Ex nR IIC Gc / Ex ta IIIC Da, IP66 / IP68</t>
  </si>
  <si>
    <t>ВЗ-Н3/4G-Т3/4G(В)</t>
  </si>
  <si>
    <t>ВЗ-Н3/4G-Т3/4G(B) - Взрывозащищенный кабельный ввод ВЗОР для небронированного кабеля круглого сечения, 12-18 мм, G 3/4", с фитингом для присоединения трубы G 3/4" (внутренняя), никелированная латунь, 1Ex d IIC Gb / 1Ex e IIC Gb / 0Ex ia IIC Ga / 2Ex nR IIC Gc / Ex ta IIIC Da, IP66 / IP68</t>
  </si>
  <si>
    <t>ВЗ-Н3/4G-Т1G(В)</t>
  </si>
  <si>
    <t>ВЗ-Н3/4G-Т1G(B) - Взрывозащищенный кабельный ввод ВЗОР для небронированного кабеля круглого сечения, 12-18 мм, G 3/4", с фитингом для присоединения трубы G 1" (внутренняя), никелированная латунь, 1Ex d IIC Gb / 1Ex e IIC Gb / 0Ex ia IIC Ga / 2Ex nR IIC Gc / Ex ta IIIC Da, IP66 / IP68</t>
  </si>
  <si>
    <t>ВЗ-Н1G-Т1G(В)</t>
  </si>
  <si>
    <t>ВЗ-Н1G-Т1G(B) - Взрывозащищенный кабельный ввод ВЗОР для небронированного кабеля круглого сечения, 18-25 мм, G 1", с фитингом для присоединения трубы G 1" (внутренняя), никелированная латунь, 1Ex d IIC Gb / 1Ex e IIC Gb / 0Ex ia IIC Ga / 2Ex nR IIC Gc / Ex ta IIIC Da, IP66 / IP68</t>
  </si>
  <si>
    <t>ВЗ-Н1G-Т1.1/4G(В)</t>
  </si>
  <si>
    <t>ВЗ-Н1G-Т1.1/4G(B) - Взрывозащищенный кабельный ввод ВЗОР для небронированного кабеля круглого сечения, 18-25 мм, G 1", с фитингом для присоединения трубы G 1.1/4" (внутренняя), никелированная латунь, 1Ex d IIC Gb / 1Ex e IIC Gb / 0Ex ia IIC Ga / 2Ex nR IIC Gc / Ex ta IIIC Da, IP66 / IP68</t>
  </si>
  <si>
    <t>ВЗ-Н1.1/4G-Т1.1/4G(В)</t>
  </si>
  <si>
    <t>ВЗ-Н1.1/4G-Т1.1/4G(B) - Взрывозащищенный кабельный ввод ВЗОР для небронированного кабеля круглого сечения, 25-31 мм, G 1.1/4" , с фитингом для присоединения трубы G 1.1/4" (внутренняя), никелированная латунь, 1Ex d IIC Gb / 1Ex e IIC Gb / 0Ex ia IIC Ga / 2Ex nR IIC Gc / Ex ta IIIC Da, IP66 / IP68</t>
  </si>
  <si>
    <t>ВЗ-Н1.1/4G-Т1.1/2G(В)</t>
  </si>
  <si>
    <t>ВЗ-Н1.1/4G-Т1.1/2G(B) - Взрывозащищенный кабельный ввод ВЗОР для небронированного кабеля круглого сечения, 25-31 мм, G 1.1/4", с фитингом для присоединения трубы G 1.1/2" (внутренняя), никелированная латунь, 1Ex d IIC Gb / 1Ex e IIC Gb / 0Ex ia IIC Ga / 2Ex nR IIC Gc / Ex ta IIIC Da, IP66 / IP68</t>
  </si>
  <si>
    <t>ВЗ-Н1.1/2G-Т1.1/2G(В)</t>
  </si>
  <si>
    <t>ВЗ-Н1.1/2G-Т1.1/2G(B) - Взрывозащищенный кабельный ввод ВЗОР для небронированного кабеля круглого сечения, 31-39 мм, G 1.1/2", с фитингом для присоединения трубы G 1.1/2" (внутренняя), никелированная латунь, 1Ex d IIC Gb / 1Ex e IIC Gb / 0Ex ia IIC Ga / 2Ex nR IIC Gc / Ex ta IIIC Da, IP66 / IP68</t>
  </si>
  <si>
    <t>ВЗ-Н1.1/2G-Т2G(В)</t>
  </si>
  <si>
    <t>ВЗ-Н1.1/2G-Т2G(B) - Взрывозащищенный кабельный ввод ВЗОР для небронированного кабеля круглого сечения, 31-39 мм, G 1.1/2", с фитингом для присоединения трубы G 2" (внутренняя), никелированная латунь, 1Ex d IIC Gb / 1Ex e IIC Gb / 0Ex ia IIC Ga / 2Ex nR IIC Gc / Ex ta IIIC Da, IP66 / IP68</t>
  </si>
  <si>
    <t>ВЗ-Н16-Т3/8G(Н) - Взрывозащищенный кабельный ввод ВЗОР для небронированного кабеля круглого сечения, 3-8 мм, М16х1,5-6g, с фитингом для присоединения трубы G 3/8" (наружная), никелированная латунь, 1Ex d IIC Gb / 1Ex e IIC Gb / 0Ex ia IIC Ga / 2Ex nR IIC Gc / Ex ta IIIC Da, IP66 / IP68</t>
  </si>
  <si>
    <t>ВЗ-Н16-Т3/8G(Н) - Взрывозащищенный кабельный ввод ВЗОР для небронированного кабеля круглого сечения, 3-8 мм, М16х1,5-6g, с фитингом для присоединения трубы G 1/2" (наружная), никелированная латунь, 1Ex d IIC Gb / 1Ex e IIC Gb / 0Ex ia IIC Ga / 2Ex nR IIC Gc / Ex ta IIIC Da, IP66 / IP68</t>
  </si>
  <si>
    <t>ВЗ-Н20-Т1/2G(Н) - Взрывозащищенный кабельный ввод ВЗОР для небронированного кабеля круглого сечения, 6-14 мм, М20х1,5-6g, с фитингом для присоединения трубы G 1/2" (наружная), никелированная латунь, 1Ex d IIC Gb / 1Ex e IIC Gb / 0Ex ia IIC Ga / 2Ex nR IIC Gc / Ex ta IIIC Da, IP66 / IP68</t>
  </si>
  <si>
    <t>ВЗ-Н20-Т3/4G(Н) - Взрывозащищенный кабельный ввод ВЗОР для небронированного кабеля круглого сечения, 6-14 мм, М20х1,5-6g, с фитингом для присоединения трубы G 3/4" (наружная), никелированная латунь, 1Ex d IIC Gb / 1Ex e IIC Gb / 0Ex ia IIC Ga / 2Ex nR IIC Gc / Ex ta IIIC Da, IP66 / IP68</t>
  </si>
  <si>
    <t>ВЗ-Н25-Т3/4G(Н) - Взрывозащищенный кабельный ввод ВЗОР для небронированного кабеля круглого сечения, 12-18 мм, М25х1,5-6g, с фитингом для присоединения трубы G 3/4" (наружная), никелированная латунь, 1Ex d IIC Gb / 1Ex e IIC Gb / 0Ex ia IIC Ga / 2Ex nR IIC Gc / Ex ta IIIC Da, IP66 / IP68</t>
  </si>
  <si>
    <t>ВЗ-Н25-Т1G(Н) - Взрывозащищенный кабельный ввод ВЗОР для небронированного кабеля круглого сечения, 12-18 мм, М25х1,5-6g, с фитингом для присоединения трубы G 1" (наружная), никелированная латунь, 1Ex d IIC Gb / 1Ex e IIC Gb / 0Ex ia IIC Ga / 2Ex nR IIC Gc / Ex ta IIIC Da, IP66 / IP68</t>
  </si>
  <si>
    <t>ВЗ-Н32-Т1G(Н) - Взрывозащищенный кабельный ввод ВЗОР для небронированного кабеля круглого сечения, 18-25 мм, М32х1,5-6g, с фитингом для присоединения трубы G 1" (наружная), никелированная латунь, 1Ex d IIC Gb / 1Ex e IIC Gb / 0Ex ia IIC Ga / 2Ex nR IIC Gc / Ex ta IIIC Da, IP66 / IP68</t>
  </si>
  <si>
    <t>ВЗ-Н32-Т1.1/4G(Н) - Взрывозащищенный кабельный ввод ВЗОР для небронированного кабеля круглого сечения, 18-25 мм, М32х1,5-6g, с фитингом для присоединения трубы G 1.1/4" (наружная), никелированная латунь, 1Ex d IIC Gb / 1Ex e IIC Gb / 0Ex ia IIC Ga / 2Ex nR IIC Gc / Ex ta IIIC Da, IP66 / IP68</t>
  </si>
  <si>
    <t>ВЗ-Н40-Т1.1/4G(Н) - Взрывозащищенный кабельный ввод ВЗОР для небронированного кабеля круглого сечения, 25-31 мм, М40х1,5-6g, с фитингом для присоединения трубы G 1.1/4" (наружная), никелированная латунь, 1Ex d IIC Gb / 1Ex e IIC Gb / 0Ex ia IIC Ga / 2Ex nR IIC Gc / Ex ta IIIC Da, IP66 / IP68</t>
  </si>
  <si>
    <t>ВЗ-Н40-Т1.1/2G(Н) - Взрывозащищенный кабельный ввод ВЗОР для небронированного кабеля круглого сечения, 25-31 мм, М40х1,5-6g, с фитингом для присоединения трубы G 1.1/2" (наружная), никелированная латунь, 1Ex d IIC Gb / 1Ex e IIC Gb / 0Ex ia IIC Ga / 2Ex nR IIC Gc / Ex ta IIIC Da, IP66 / IP68</t>
  </si>
  <si>
    <t>ВЗ-Н50-Т1.1/2G(Н) - Взрывозащищенный кабельный ввод ВЗОР для небронированного кабеля круглого сечения, 31-39 мм, М50х1,5-6g, с фитингом для присоединения трубы G 1.1/2" (наружная), никелированная латунь, 1Ex d IIC Gb / 1Ex e IIC Gb / 0Ex ia IIC Ga / 2Ex nR IIC Gc / Ex ta IIIC Da, IP66 / IP68</t>
  </si>
  <si>
    <t>ВЗ-Н50-Т2G(Н) - Взрывозащищенный кабельный ввод ВЗОР для небронированного кабеля круглого сечения, 31-39 мм, М50х1,5-6g, с фитингом для присоединения трубы G 2" (наружная), никелированная латунь, 1Ex d IIC Gb / 1Ex e IIC Gb / 0Ex ia IIC Ga / 2Ex nR IIC Gc / Ex ta IIIC Da, IP66 / IP68</t>
  </si>
  <si>
    <t>ВЗ-Н3/8-Т3/8G(Н)</t>
  </si>
  <si>
    <t>ВЗ-Н3/8-Т3/8G(Н) - Взрывозащищенный кабельный ввод ВЗОР для небронированного кабеля круглого сечения, 3-8 мм, 3/8" NPT, с фитингом для присоединения трубы G 3/8" (наружная), никелированная латунь, 1Ex d IIC Gb / 1Ex e IIC Gb / 0Ex ia IIC Ga / 2Ex nR IIC Gc / Ex ta IIIC Da, IP66 / IP68</t>
  </si>
  <si>
    <t>ВЗ-Н3/8-Т1/2G(Н)</t>
  </si>
  <si>
    <t>ВЗ-Н3/8-Т1/2G(Н) - Взрывозащищенный кабельный ввод ВЗОР для небронированного кабеля круглого сечения, 3-8 мм, 3/8" NPT, с фитингом для присоединения трубы G 1/2" (наружная), никелированная латунь, 1Ex d IIC Gb / 1Ex e IIC Gb / 0Ex ia IIC Ga / 2Ex nR IIC Gc / Ex ta IIIC Da, IP66 / IP68</t>
  </si>
  <si>
    <t>ВЗ-Н1/2-Т1/2G(Н)</t>
  </si>
  <si>
    <t>ВЗ-Н1/2-Т1/2G(Н) - Взрывозащищенный кабельный ввод ВЗОР для небронированного кабеля круглого сечения, 6-14 мм, 1/2" NPT, с фитингом для присоединения трубы G 1/2" (наружная), никелированная латунь, 1Ex d IIC Gb / 1Ex e IIC Gb / 0Ex ia IIC Ga / 2Ex nR IIC Gc / Ex ta IIIC Da, IP66 / IP68</t>
  </si>
  <si>
    <t>ВЗ-Н1/2-Т3/4G(Н)</t>
  </si>
  <si>
    <t>ВЗ-Н1/2-Т3/4G(Н) - Взрывозащищенный кабельный ввод ВЗОР для небронированного кабеля круглого сечения, 6-14 мм, 1/2" NPT, с фитингом для присоединения трубы G 3/4" (наружная), никелированная латунь, 1Ex d IIC Gb / 1Ex e IIC Gb / 0Ex ia IIC Ga / 2Ex nR IIC Gc / Ex ta IIIC Da, IP66 / IP68</t>
  </si>
  <si>
    <t>ВЗ-Н3/4-Т3/4G(Н)</t>
  </si>
  <si>
    <t>ВЗ-Н3/4-Т3/4G(Н) - Взрывозащищенный кабельный ввод ВЗОР для небронированного кабеля круглого сечения, 12-18 мм, 3/4" NPT, с фитингом для присоединения трубы G 3/4" (наружная), никелированная латунь, 1Ex d IIC Gb / 1Ex e IIC Gb / 0Ex ia IIC Ga / 2Ex nR IIC Gc / Ex ta IIIC Da, IP66 / IP68</t>
  </si>
  <si>
    <t>ВЗ-Н3/4-Т1G(Н)</t>
  </si>
  <si>
    <t>ВЗ-Н3/4-Т1G(Н) - Взрывозащищенный кабельный ввод ВЗОР для небронированного кабеля круглого сечения, 12-18 мм, 3/4" NPT, с фитингом для присоединения трубы G 1" (наружная), никелированная латунь, 1Ex d IIC Gb / 1Ex e IIC Gb / 0Ex ia IIC Ga / 2Ex nR IIC Gc / Ex ta IIIC Da, IP66 / IP68</t>
  </si>
  <si>
    <t>ВЗ-Н1-Т1G(Н)</t>
  </si>
  <si>
    <t>ВЗ-Н1-Т1G(Н) - Взрывозащищенный кабельный ввод ВЗОР для небронированного кабеля круглого сечения, 18-25 мм, 1" NPT, с фитингом для присоединения трубы G 1" (наружная), никелированная латунь, 1Ex d IIC Gb / 1Ex e IIC Gb / 0Ex ia IIC Ga / 2Ex nR IIC Gc / Ex ta IIIC Da, IP66 / IP68</t>
  </si>
  <si>
    <t>ВЗ-Н1-Т1.1/4G(Н)</t>
  </si>
  <si>
    <t>ВЗ-Н1-Т1.1/4G(Н) - Взрывозащищенный кабельный ввод ВЗОР для небронированного кабеля круглого сечения, 18-25 мм, 1" NPT, с фитингом для присоединения трубы G 1.1/4" (наружная), никелированная латунь, 1Ex d IIC Gb / 1Ex e IIC Gb / 0Ex ia IIC Ga / 2Ex nR IIC Gc / Ex ta IIIC Da, IP66 / IP68</t>
  </si>
  <si>
    <t>ВЗ-Н1.1/4-Т1.1/4G(Н)</t>
  </si>
  <si>
    <t>ВЗ-Н1.1/4-Т1.1/4G(Н) - Взрывозащищенный кабельный ввод ВЗОР для небронированного кабеля круглого сечения, 25-31 мм, 1.1/4" NPT, с фитингом для присоединения трубы G 1.1/4" (наружная), никелированная латунь, 1Ex d IIC Gb / 1Ex e IIC Gb / 0Ex ia IIC Ga / 2Ex nR IIC Gc / Ex ta IIIC Da, IP66 / IP68</t>
  </si>
  <si>
    <t>ВЗ-Н1.1/4-Т1.1/2G(Н)</t>
  </si>
  <si>
    <t>ВЗ-Н1.1/4-Т1.1/2G(Н) - Взрывозащищенный кабельный ввод ВЗОР для небронированного кабеля круглого сечения, 25-31 мм, 1.1/4" NPT, с фитингом для присоединения трубы G 1.1/2" (наружная), никелированная латунь, 1Ex d IIC Gb / 1Ex e IIC Gb / 0Ex ia IIC Ga / 2Ex nR IIC Gc / Ex ta IIIC Da, IP66 / IP68</t>
  </si>
  <si>
    <t>ВЗ-Н1.1/2-Т1.1/2G(Н)</t>
  </si>
  <si>
    <t>ВЗ-Н1.1/2-Т1.1/2G(Н) - Взрывозащищенный кабельный ввод ВЗОР для небронированного кабеля круглого сечения, 31-39 мм, 1.1/2" NPT, с фитингом для присоединения трубы G 1.1/2" (наружная), никелированная латунь, 1Ex d IIC Gb / 1Ex e IIC Gb / 0Ex ia IIC Ga / 2Ex nR IIC Gc / Ex ta IIIC Da, IP66 / IP68</t>
  </si>
  <si>
    <t>ВЗ-Н1.1/2-Т2G(Н)</t>
  </si>
  <si>
    <t>ВЗ-Н1.1/2-Т2G(Н) - Взрывозащищенный кабельный ввод ВЗОР для небронированного кабеля круглого сечения, 31-39 мм, 1.1/2" NPT, с фитингом для присоединения трубы G 2" (наружная), никелированная латунь, 1Ex d IIC Gb / 1Ex e IIC Gb / 0Ex ia IIC Ga / 2Ex nR IIC Gc / Ex ta IIIC Da, IP66 / IP68</t>
  </si>
  <si>
    <t>ВЗ-Н3/8G-Т3/8G(Н)</t>
  </si>
  <si>
    <t>ВЗ-Н3/8G-Т3/8G(Н) - Взрывозащищенный кабельный ввод ВЗОР для небронированного кабеля круглого сечения, 3-8 мм, G 3/8", с фитингом для присоединения трубы G 3/8" (наружная), никелированная латунь, 1Ex d IIC Gb / 1Ex e IIC Gb / 0Ex ia IIC Ga / 2Ex nR IIC Gc / Ex ta IIIC Da, IP66 / IP68</t>
  </si>
  <si>
    <t>ВЗ-Н3/8G-Т1/2G(Н)</t>
  </si>
  <si>
    <t>ВЗ-Н3/8G-Т1/2G(Н) - Взрывозащищенный кабельный ввод ВЗОР для небронированного кабеля круглого сечения, 3-8 мм, G 3/8", с фитингом для присоединения трубы G 1/2" (наружная), никелированная латунь, 1Ex d IIC Gb / 1Ex e IIC Gb / 0Ex ia IIC Ga / 2Ex nR IIC Gc / Ex ta IIIC Da, IP66 / IP68</t>
  </si>
  <si>
    <t>ВЗ-Н1/2G-Т1/2G(Н)</t>
  </si>
  <si>
    <t>ВЗ-Н1/2G-Т1/2G(Н) - Взрывозащищенный кабельный ввод ВЗОР для небронированного кабеля круглого сечения, 6-14 мм, G 1/2", с фитингом для присоединения трубы G 1/2" (наружная), никелированная латунь, 1Ex d IIC Gb / 1Ex e IIC Gb / 0Ex ia IIC Ga / 2Ex nR IIC Gc / Ex ta IIIC Da, IP66 / IP68</t>
  </si>
  <si>
    <t>ВЗ-Н1/2G-Т3/4G(Н)</t>
  </si>
  <si>
    <t>ВЗ-Н1/2G-Т3/4G(Н) - Взрывозащищенный кабельный ввод ВЗОР для небронированного кабеля круглого сечения, 6-14 мм, G 1/2", с фитингом для присоединения трубы G 3/4" (наружная), никелированная латунь, 1Ex d IIC Gb / 1Ex e IIC Gb / 0Ex ia IIC Ga / 2Ex nR IIC Gc / Ex ta IIIC Da, IP66 / IP68</t>
  </si>
  <si>
    <t>ВЗ-Н3/4G-Т3/4G(Н)</t>
  </si>
  <si>
    <t>ВЗ-Н3/4G-Т3/4G(Н) - Взрывозащищенный кабельный ввод ВЗОР для небронированного кабеля круглого сечения, 12-18 мм, G 3/4", с фитингом для присоединения трубы G 3/4" (наружная), никелированная латунь, 1Ex d IIC Gb / 1Ex e IIC Gb / 0Ex ia IIC Ga / 2Ex nR IIC Gc / Ex ta IIIC Da, IP66 / IP68</t>
  </si>
  <si>
    <t>ВЗ-Н3/4G-Т1G(Н)</t>
  </si>
  <si>
    <t>ВЗ-Н3/4G-Т1G(Н) - Взрывозащищенный кабельный ввод ВЗОР для небронированного кабеля круглого сечения, 12-18 мм, G 3/4", с фитингом для присоединения трубы G 1" (наружная), никелированная латунь, 1Ex d IIC Gb / 1Ex e IIC Gb / 0Ex ia IIC Ga / 2Ex nR IIC Gc / Ex ta IIIC Da, IP66 / IP68</t>
  </si>
  <si>
    <t>ВЗ-Н1G-Т1G(Н)</t>
  </si>
  <si>
    <t>ВЗ-Н1G-Т1G(Н) - Взрывозащищенный кабельный ввод ВЗОР для небронированного кабеля круглого сечения, 18-25 мм, G 1", с фитингом для присоединения трубы G 1" (наружная), никелированная латунь, 1Ex d IIC Gb / 1Ex e IIC Gb / 0Ex ia IIC Ga / 2Ex nR IIC Gc / Ex ta IIIC Da, IP66 / IP68</t>
  </si>
  <si>
    <t>ВЗ-Н1G-Т1.1/4G(Н)</t>
  </si>
  <si>
    <t>ВЗ-Н1G-Т1.1/4G(Н) - Взрывозащищенный кабельный ввод ВЗОР для небронированного кабеля круглого сечения, 18-25 мм, G 1", с фитингом для присоединения трубы G 1.1/4" (наружная), никелированная латунь, 1Ex d IIC Gb / 1Ex e IIC Gb / 0Ex ia IIC Ga / 2Ex nR IIC Gc / Ex ta IIIC Da, IP66 / IP68</t>
  </si>
  <si>
    <t>ВЗ-Н1.1/4G-Т1.1/4G(Н)</t>
  </si>
  <si>
    <t>ВЗ-Н1.1/4G-Т1.1/4G(Н) - Взрывозащищенный кабельный ввод ВЗОР для небронированного кабеля круглого сечения, 25-31 мм, G 1.1/4" , с фитингом для присоединения трубы G 1.1/4" (наружная), никелированная латунь, 1Ex d IIC Gb / 1Ex e IIC Gb / 0Ex ia IIC Ga / 2Ex nR IIC Gc / Ex ta IIIC Da, IP66 / IP68</t>
  </si>
  <si>
    <t>ВЗ-Н1.1/4G-Т1.1/2G(Н)</t>
  </si>
  <si>
    <t>ВЗ-Н1.1/4G-Т1.1/2G(Н) - Взрывозащищенный кабельный ввод ВЗОР для небронированного кабеля круглого сечения, 25-31 мм, G 1.1/4", с фитингом для присоединения трубы G 1.1/2" (наружная), никелированная латунь, 1Ex d IIC Gb / 1Ex e IIC Gb / 0Ex ia IIC Ga / 2Ex nR IIC Gc / Ex ta IIIC Da, IP66 / IP68</t>
  </si>
  <si>
    <t>ВЗ-Н1.1/2G-Т1.1/2G(Н)</t>
  </si>
  <si>
    <t>ВЗ-Н1.1/2G-Т1.1/2G(Н) - Взрывозащищенный кабельный ввод ВЗОР для небронированного кабеля круглого сечения, 31-39 мм, G 1.1/2", с фитингом для присоединения трубы G 1.1/2" (наружная), никелированная латунь, 1Ex d IIC Gb / 1Ex e IIC Gb / 0Ex ia IIC Ga / 2Ex nR IIC Gc / Ex ta IIIC Da, IP66 / IP68</t>
  </si>
  <si>
    <t>ВЗ-Н1.1/2G-Т2G(Н)</t>
  </si>
  <si>
    <t>ВЗ-Н1.1/2G-Т2G(Н) - Взрывозащищенный кабельный ввод ВЗОР для небронированного кабеля круглого сечения, 31-39 мм, G 1.1/2", с фитингом для присоединения трубы G 2" (наружная), никелированная латунь, 1Ex d IIC Gb / 1Ex e IIC Gb / 0Ex ia IIC Ga / 2Ex nR IIC Gc / Ex ta IIIC Da, IP66 / IP68</t>
  </si>
  <si>
    <t xml:space="preserve">ВЗ-Б16 - Взрывозащищенный кабельный ввод ВЗОР для всех типов бронированного кабеля круглого сечения, диаметр обжимаемого кабеля по наружной оболочке 8-12 мм, по внутренней оболочке 3-8 мм, М16х1,5-6g, никелированная латунь, 1Ex d IIC Gb / 1Ex e IIC Gb / 0Ex ia IIC Ga / 2Ex nR IIC Gc / Ex ta IIIC Da, IP66 / IP68 </t>
  </si>
  <si>
    <t xml:space="preserve">ВЗ-Б20 -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никелированная латунь, 1Ex d IIC Gb / 1Ex e IIC Gb / 0Ex ia IIC Ga / 2Ex nR IIC Gc / Ex ta IIIC Da, IP66 / IP68 </t>
  </si>
  <si>
    <t xml:space="preserve">ВЗ-Б25 -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никелированная латунь, 1Ex d IIC Gb / 1Ex e IIC Gb / 0Ex ia IIC Ga / 2Ex nR IIC Gc / Ex ta IIIC Da, IP66 / IP68 </t>
  </si>
  <si>
    <t xml:space="preserve">ВЗ-Б32 -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никелированная латунь, 1Ex d IIC Gb / 1Ex e IIC Gb / 0Ex ia IIC Ga / 2Ex nR IIC Gc / Ex ta IIIC Da, IP66 / IP68 </t>
  </si>
  <si>
    <t xml:space="preserve">ВЗ-Б40 - Взрывозащищенный кабельный ввод ВЗОР для всех типов бронированного кабеля круглого сечения, диаметр обжимаемого кабеля по наружной оболочке 27-37 мм, по внутренней оболочке 25-31 мм, М40х1,5-6g, никелированная латунь, 1Ex d IIC Gb / 1Ex e IIC Gb / 0Ex ia IIC Ga / 2Ex nR IIC Gc / Ex ta IIIC Da, IP66 / IP68 </t>
  </si>
  <si>
    <t xml:space="preserve">ВЗ-Б50 - Взрывозащищенный кабельный ввод ВЗОР для всех типов бронированного кабеля круглого сечения, диаметр обжимаемого кабеля по наружной оболочке 36-46 мм, по внутренней оболочке 31-39 мм, М50х1,5-6g, никелированная латунь, 1Ex d IIC Gb / 1Ex e IIC Gb / 0Ex ia IIC Ga / 2Ex nR IIC Gc / Ex ta IIIC Da, IP66 / IP68 </t>
  </si>
  <si>
    <t xml:space="preserve">ВЗ-Б63 - Взрывозащищенный кабельный ввод ВЗОР для всех типов бронированного кабеля круглого сечения, диаметр обжимаемого кабеля по наружной оболочке 45-55 мм, по внутренней оболочке 39-47 мм, М63х1,5-6g, никелированная латунь, 1Ex d IIC Gb / 1Ex e IIC Gb / 0Ex ia IIC Ga / 2Ex nR IIC Gc / Ex ta IIIC Da, IP66 / IP68 </t>
  </si>
  <si>
    <t>ВЗ-Б75</t>
  </si>
  <si>
    <t xml:space="preserve">ВЗ-Б75 - Взрывозащищенный кабельный ввод ВЗОР для всех типов бронированного кабеля круглого сечения, диаметр обжимаемого кабеля по наружной оболочке 55-65 мм, по внутренней оболочке 47-55 мм, М75х1,5-6g, никелированная латунь, 1Ex d IIC Gb / 1Ex e IIC Gb / 0Ex ia IIC Ga / 2Ex nR IIC Gc / Ex ta IIIC Da, IP66 / IP68 </t>
  </si>
  <si>
    <t>ВЗ-Б75А</t>
  </si>
  <si>
    <t xml:space="preserve">ВЗ-Б75A - Взрывозащищенный кабельный ввод ВЗОР для всех типов бронированного кабеля круглого сечения, диаметр обжимаемого кабеля по наружной оболочке 65-75 мм, по внутренней оболочке 55-63 мм, М75х1,5-6g, никелированная латунь, 1Ex d IIC Gb / 1Ex e IIC Gb / 0Ex ia IIC Ga / 2Ex nR IIC Gc / Ex ta IIIC Da, IP66 / IP68 </t>
  </si>
  <si>
    <t>ВЗ-Б90</t>
  </si>
  <si>
    <t xml:space="preserve">ВЗ-Б90 - Взрывозащищенный кабельный ввод ВЗОР для всех типов бронированного кабеля круглого сечения, диаметр обжимаемого кабеля по наружной оболочке 71-81 мм, по внутренней оболочке 63-71 мм, М90х1,5-6g, никелированная латунь, 1Ex d IIC Gb / 1Ex e IIC Gb / 0Ex ia IIC Ga / 2Ex nR IIC Gc / Ex ta IIIC Da, IP66 / IP68 </t>
  </si>
  <si>
    <t>ВЗ-Б90А</t>
  </si>
  <si>
    <t xml:space="preserve">ВЗ-Б90А - Взрывозащищенный кабельный ввод ВЗОР для всех типов бронированного кабеля круглого сечения, диаметр обжимаемого кабеля по наружной оболочке 71-81 мм, по внутренней оболочке 63-71 мм, М90х2-6g, никелированная латунь, 1Ex d IIC Gb / 1Ex e IIC Gb / 0Ex ia IIC Ga / 2Ex nR IIC Gc / Ex ta IIIC Da, IP66 / IP68 </t>
  </si>
  <si>
    <t>ВЗ-Б3/8</t>
  </si>
  <si>
    <t xml:space="preserve">ВЗ-Б3/8 - Взрывозащищенный кабельный ввод ВЗОР для всех типов бронированного кабеля круглого сечения, диаметр обжимаемого кабеля по наружной оболочке 8-12 мм, по внутренней оболочке 3-8 мм, 3/8" NPT, никелированная латунь, 1Ex d IIC Gb / 1Ex e IIC Gb / 0Ex ia IIC Ga / 2Ex nR IIC Gc / Ex ta IIIC Da, IP66 / IP68 </t>
  </si>
  <si>
    <t>ВЗ-Б1/2</t>
  </si>
  <si>
    <t xml:space="preserve">ВЗ-Б1/2 -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1/2" NPT, никелированная латунь, 1Ex d IIC Gb / 1Ex e IIC Gb / 0Ex ia IIC Ga / 2Ex nR IIC Gc / Ex ta IIIC Da, IP66 / IP68 </t>
  </si>
  <si>
    <t>ВЗ-Б3/4</t>
  </si>
  <si>
    <t xml:space="preserve">ВЗ-Б3/4 -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3/4" NPT, никелированная латунь, 1Ex d IIC Gb / 1Ex e IIC Gb / 0Ex ia IIC Ga / 2Ex nR IIC Gc / Ex ta IIIC Da, IP66 / IP68 </t>
  </si>
  <si>
    <t>ВЗ-Б1</t>
  </si>
  <si>
    <t xml:space="preserve">ВЗ-Б1 -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1" NPT, никелированная латунь, 1Ex d IIC Gb / 1Ex e IIC Gb / 0Ex ia IIC Ga / 2Ex nR IIC Gc / Ex ta IIIC Da, IP66 / IP68 </t>
  </si>
  <si>
    <t>ВЗ-Б1.1/4</t>
  </si>
  <si>
    <t xml:space="preserve">ВЗ-Б1.1/4 - Взрывозащищенный кабельный ввод ВЗОР для всех типов бронированного кабеля круглого сечения, диаметр обжимаемого кабеля по наружной оболочке 27-37 мм, по внутренней оболочке 25-31 мм, 1.1/4" NPT, никелированная латунь, 1Ex d IIC Gb / 1Ex e IIC Gb / 0Ex ia IIC Ga / 2Ex nR IIC Gc / Ex ta IIIC Da, IP66 / IP68 </t>
  </si>
  <si>
    <t>ВЗ-Б1.1/2</t>
  </si>
  <si>
    <t xml:space="preserve">ВЗ-Б1.1/2 - Взрывозащищенный кабельный ввод ВЗОР для всех типов бронированного кабеля круглого сечения, диаметр обжимаемого кабеля по наружной оболочке 36-46 мм, по внутренней оболочке 31-39 мм, 1.1/2" NPT, никелированная латунь, 1Ex d IIC Gb / 1Ex e IIC Gb / 0Ex ia IIC Ga / 2Ex nR IIC Gc / Ex ta IIIC Da, IP66 / IP68 </t>
  </si>
  <si>
    <t>ВЗ-Б2</t>
  </si>
  <si>
    <t xml:space="preserve">ВЗ-Б2 - Взрывозащищенный кабельный ввод ВЗОР для всех типов бронированного кабеля круглого сечения, диаметр обжимаемого кабеля по наружной оболочке 45-55 мм, по внутренней оболочке 39-47 мм, 2" NPT, никелированная латунь, 1Ex d IIC Gb / 1Ex e IIC Gb / 0Ex ia IIC Ga / 2Ex nR IIC Gc / Ex ta IIIC Da, IP66 / IP68 </t>
  </si>
  <si>
    <t>ВЗ-Б2.1/2</t>
  </si>
  <si>
    <t xml:space="preserve">ВЗ-Б2.1/2 - Взрывозащищенный кабельный ввод ВЗОР для всех типов бронированного кабеля круглого сечения, диаметр обжимаемого кабеля по наружной оболочке 55-65 мм, по внутренней оболочке 47-55 мм, 2.1/2" NPT, никелированная латунь, 1Ex d IIC Gb / 1Ex e IIC Gb / 0Ex ia IIC Ga / 2Ex nR IIC Gc / Ex ta IIIC Da, IP66 / IP68 </t>
  </si>
  <si>
    <t>ВЗ-Б2.1/2А</t>
  </si>
  <si>
    <t xml:space="preserve">ВЗ-Б2.1/2A - Взрывозащищенный кабельный ввод ВЗОР для всех типов бронированного кабеля круглого сечения, диаметр обжимаемого кабеля по наружной оболочке 65-75 мм, по внутренней оболочке 55-63 мм, 2.1/2" NPT, никелированная латунь, 1Ex d IIC Gb / 1Ex e IIC Gb / 0Ex ia IIC Ga / 2Ex nR IIC Gc / Ex ta IIIC Da, IP66 / IP68 </t>
  </si>
  <si>
    <t>ВЗ-Б3</t>
  </si>
  <si>
    <t xml:space="preserve">ВЗ-Б3 - Взрывозащищенный кабельный ввод ВЗОР для всех типов бронированного кабеля круглого сечения, диаметр обжимаемого кабеля по наружной оболочке 71-81 мм, по внутренней оболочке 63-71 мм, 3" NPT, никелированная латунь, 1Ex d IIC Gb / 1Ex e IIC Gb / 0Ex ia IIC Ga / 2Ex nR IIC Gc / Ex ta IIIC Da, IP66 / IP68 </t>
  </si>
  <si>
    <t>ВЗ-Б3/8G</t>
  </si>
  <si>
    <t xml:space="preserve">ВЗ-Б3/8G - Взрывозащищенный кабельный ввод ВЗОР для всех типов бронированного кабеля круглого сечения, диаметр обжимаемого кабеля по наружной оболочке 8-12 мм, по внутренней оболочке 3-8 мм, G 3/8" , никелированная латунь, 1Ex d IIC Gb / 1Ex e IIC Gb / 0Ex ia IIC Ga / 2Ex nR IIC Gc / Ex ta IIIC Da, IP66 / IP68 </t>
  </si>
  <si>
    <t>ВЗ-Б1/2G</t>
  </si>
  <si>
    <t xml:space="preserve">ВЗ-Б1/2G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G 1/2", никелированная латунь, 1Ex d IIC Gb / 1Ex e IIC Gb / 0Ex ia IIC Ga / 2Ex nR IIC Gc / Ex ta IIIC Da, IP66 / IP68 </t>
  </si>
  <si>
    <t>ВЗ-Б3/4G</t>
  </si>
  <si>
    <t xml:space="preserve">ВЗ-Б3/4G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G 3/4", никелированная латунь, 1Ex d IIC Gb / 1Ex e IIC Gb / 0Ex ia IIC Ga / 2Ex nR IIC Gc / Ex ta IIIC Da, IP66 / IP68 </t>
  </si>
  <si>
    <t>ВЗ-Б1G</t>
  </si>
  <si>
    <t xml:space="preserve">ВЗ-Б1G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G 1", никелированная латунь, 1Ex d IIC Gb / 1Ex e IIC Gb / 0Ex ia IIC Ga / 2Ex nR IIC Gc / Ex ta IIIC Da, IP66 / IP68 </t>
  </si>
  <si>
    <t>ВЗ-Б1.1/4G</t>
  </si>
  <si>
    <t xml:space="preserve">ВЗ-Б1.1/4G - Взрывозащищенный кабельный ввод ВЗОР для всех типов бронированного кабеля круглого сечения, диаметр обжимаемого кабеля по наружной оболочке 27-37 мм, по внутренней оболочке 25-31 мм, G 1.1/4", никелированная латунь, 1Ex d IIC Gb / 1Ex e IIC Gb / 0Ex ia IIC Ga / 2Ex nR IIC Gc / Ex ta IIIC Da, IP66 / IP68 </t>
  </si>
  <si>
    <t>ВЗ-Б1.1/2G</t>
  </si>
  <si>
    <t xml:space="preserve">ВЗ-Б1.1/2G - Взрывозащищенный кабельный ввод ВЗОР для всех типов бронированного кабеля круглого сечения, диаметр обжимаемого кабеля по наружной оболочке 36-46 мм, по внутренней оболочке 31-39 мм, G 1.1/2", никелированная латунь, 1Ex d IIC Gb / 1Ex e IIC Gb / 0Ex ia IIC Ga / 2Ex nR IIC Gc / Ex ta IIIC Da, IP66 / IP68 </t>
  </si>
  <si>
    <t>ВЗ-Б2G</t>
  </si>
  <si>
    <t xml:space="preserve">ВЗ-Б2G - Взрывозащищенный кабельный ввод ВЗОР для всех типов бронированного кабеля круглого сечения, диаметр обжимаемого кабеля по наружной оболочке 45-55 мм, по внутренней оболочке 39-47 мм, G 2", никелированная латунь, 1Ex d IIC Gb / 1Ex e IIC Gb / 0Ex ia IIC Ga / 2Ex nR IIC Gc / Ex ta IIIC Da, IP66 / IP68 </t>
  </si>
  <si>
    <t>ВЗ-Б2.1/2G</t>
  </si>
  <si>
    <t xml:space="preserve">ВЗ-Б2.1/2G - Взрывозащищенный кабельный ввод ВЗОР для всех типов бронированного кабеля круглого сечения, диаметр обжимаемого кабеля по наружной оболочке 55-65 мм, по внутренней оболочке 47-55 мм, G 2.1/2", никелированная латунь, 1Ex d IIC Gb / 1Ex e IIC Gb / 0Ex ia IIC Ga / 2Ex nR IIC Gc / Ex ta IIIC Da, IP66 / IP68 </t>
  </si>
  <si>
    <t>ВЗ-Б2.1/2GА</t>
  </si>
  <si>
    <t xml:space="preserve">ВЗ-Б2.1/2GA - Взрывозащищенный кабельный ввод ВЗОР для всех типов бронированного кабеля круглого сечения, диаметр обжимаемого кабеля по наружной оболочке 65-75 мм, по внутренней оболочке 55-63 мм, G 2.1/2", никелированная латунь, 1Ex d IIC Gb / 1Ex e IIC Gb / 0Ex ia IIC Ga / 2Ex nR IIC Gc / Ex ta IIIC Da, IP66 / IP68 </t>
  </si>
  <si>
    <t>ВЗ-Б3G</t>
  </si>
  <si>
    <t xml:space="preserve">ВЗ-Б3G - Взрывозащищенный кабельный ввод ВЗОР для всех типов бронированного кабеля круглого сечения, диаметр обжимаемого кабеля по наружной оболочке 71-81 мм, по внутренней оболочке 63-71 мм, G 3", никелированная латунь, 1Ex d IIC Gb / 1Ex e IIC Gb / 0Ex ia IIC Ga / 2Ex nR IIC Gc / Ex ta IIIC Da, IP66 / IP68 </t>
  </si>
  <si>
    <t>ВЗ-МБ20</t>
  </si>
  <si>
    <t xml:space="preserve">ВЗ-МБ20 -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никелированная латунь , 1Ex d IIC Gb / 1Ex e IIC Gb / 0Ex ia IIC Ga / 2Ex nR IIC Gc / Ex ta IIIC Da, IP66 / IP68 </t>
  </si>
  <si>
    <t>ВЗ-МБ25</t>
  </si>
  <si>
    <t xml:space="preserve">ВЗ-МБ25 -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никелированная латунь , 1Ex d IIC Gb / 1Ex e IIC Gb / 0Ex ia IIC Ga / 2Ex nR IIC Gc / Ex ta IIIC Da, IP66 / IP68 </t>
  </si>
  <si>
    <t>ВЗ-МБ32</t>
  </si>
  <si>
    <t xml:space="preserve">ВЗ-МБ32 -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никелированная латунь , 1Ex d IIC Gb / 1Ex e IIC Gb / 0Ex ia IIC Ga / 2Ex nR IIC Gc / Ex ta IIIC Da, IP66 / IP68 </t>
  </si>
  <si>
    <t>ВЗ-МБ40</t>
  </si>
  <si>
    <t xml:space="preserve">ВЗ-МБ40 - Взрывозащищенный кабельный ввод ВЗОР для всех типов бронированного кабеля круглого сечения, диаметр обжимаемого кабеля по наружной оболочке 27-37 мм, по внутренней оболочке 25-31 мм, М40х1,5-6g, никелированная латунь , 1Ex d IIC Gb / 1Ex e IIC Gb / 0Ex ia IIC Ga / 2Ex nR IIC Gc / Ex ta IIIC Da, IP66 / IP68 </t>
  </si>
  <si>
    <t xml:space="preserve">ВЗ-Б20-Т/МР15 -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с фитингом под металлорукав Ду 15, никелированная латунь, 1Ex d IIC Gb / 1Ex e IIC Gb / 0Ex ia IIC Ga / 2Ex nR IIC Gc / Ex ta IIIC Da, IP66 / IP68 </t>
  </si>
  <si>
    <t xml:space="preserve">ВЗ-Б20-Т/МР20 -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с фитингом под металлорукав Ду 20, никелированная латунь, 1Ex d IIC Gb / 1Ex e IIC Gb / 0Ex ia IIC Ga / 2Ex nR IIC Gc / Ex ta IIIC Da, IP66 / IP68 </t>
  </si>
  <si>
    <t xml:space="preserve">ВЗ-Б20-Т/МР25 -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с фитингом под металлорукав Ду 25, никелированная латунь, 1Ex d IIC Gb / 1Ex e IIC Gb / 0Ex ia IIC Ga / 2Ex nR IIC Gc / Ex ta IIIC Da, IP66 / IP68 </t>
  </si>
  <si>
    <t xml:space="preserve">ВЗ-Б25-Т/МР20 -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с фитингом под металлорукав Ду 20, никелированная латунь, 1Ex d IIC Gb / 1Ex e IIC Gb / 0Ex ia IIC Ga / 2Ex nR IIC Gc / Ex ta IIIC Da, IP66 / IP68 </t>
  </si>
  <si>
    <t xml:space="preserve">ВЗ-Б25-Т/МР25 -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с фитингом под металлорукав Ду 25, никелированная латунь, 1Ex d IIC Gb / 1Ex e IIC Gb / 0Ex ia IIC Ga / 2Ex nR IIC Gc / Ex ta IIIC Da, IP66 / IP68 </t>
  </si>
  <si>
    <t xml:space="preserve">ВЗ-Б25-Т/МР32 -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с фитингом под металлорукав Ду 32, никелированная латунь, 1Ex d IIC Gb / 1Ex e IIC Gb / 0Ex ia IIC Ga / 2Ex nR IIC Gc / Ex ta IIIC Da, IP66 / IP68 </t>
  </si>
  <si>
    <t xml:space="preserve">ВЗ-Б32-Т/МР25 -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с фитингом под металлорукав Ду 25, никелированная латунь, 1Ex d IIC Gb / 1Ex e IIC Gb / 0Ex ia IIC Ga / 2Ex nR IIC Gc / Ex ta IIIC Da, IP66 / IP68 </t>
  </si>
  <si>
    <t xml:space="preserve">ВЗ-Б32-Т/МР32 -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с фитингом под металлорукав Ду 32, никелированная латунь, 1Ex d IIC Gb / 1Ex e IIC Gb / 0Ex ia IIC Ga / 2Ex nR IIC Gc / Ex ta IIIC Da, IP66 / IP68 </t>
  </si>
  <si>
    <t xml:space="preserve">ВЗ-Б32-Т/МР38 -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с фитингом под металлорукав Ду 38, никелированная латунь, 1Ex d IIC Gb / 1Ex e IIC Gb / 0Ex ia IIC Ga / 2Ex nR IIC Gc / Ex ta IIIC Da, IP66 / IP68 </t>
  </si>
  <si>
    <t>ВЗ-Б20-Т1/2G(Н)</t>
  </si>
  <si>
    <t xml:space="preserve">ВЗ-Б20-Т1/2G(Н)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с фитингом для присоединения трубы G 1/2" (наружная) никелированная латунь, 1Ex d IIC Gb / 1Ex e IIC Gb / 0Ex ia IIC Ga / 2Ex nR IIC Gc / Ex ta IIIC Da, IP66 / IP68 </t>
  </si>
  <si>
    <t>ВЗ-Б20-Т3/4G(Н)</t>
  </si>
  <si>
    <t xml:space="preserve">ВЗ-Б20-Т3/4G(Н)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с фитингом для присоединения трубы G 3/4" (наружная) никелированная латунь, 1Ex d IIC Gb / 1Ex e IIC Gb / 0Ex ia IIC Ga / 2Ex nR IIC Gc / Ex ta IIIC Da, IP66 / IP68 </t>
  </si>
  <si>
    <t>ВЗ-Б25-Т3/4G(Н)</t>
  </si>
  <si>
    <t xml:space="preserve">ВЗ-Б25-Т3/4G(Н)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с фитингом для присоединения трубы G 3/4" (наружная) никелированная латунь, 1Ex d IIC Gb / 1Ex e IIC Gb / 0Ex ia IIC Ga / 2Ex nR IIC Gc / Ex ta IIIC Da, IP66 / IP68 </t>
  </si>
  <si>
    <t>ВЗ-Б25-Т1(Н)</t>
  </si>
  <si>
    <t xml:space="preserve">ВЗ-Б25-Т1G(Н)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с фитингом для присоединения трубы G 1" (наружная) никелированная латунь, 1Ex d IIC Gb / 1Ex e IIC Gb / 0Ex ia IIC Ga / 2Ex nR IIC Gc / Ex ta IIIC Da, IP66 / IP68 </t>
  </si>
  <si>
    <t>ВЗ-Б32-Т1(Н)</t>
  </si>
  <si>
    <t xml:space="preserve">ВЗ-Б32-Т1G(Н)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с фитингом для присоединения трубы G 1" (наружная) никелированная латунь, 1Ex d IIC Gb / 1Ex e IIC Gb / 0Ex ia IIC Ga / 2Ex nR IIC Gc / Ex ta IIIC Da, IP66 / IP68 </t>
  </si>
  <si>
    <t>ВЗ-Б32-Т1.1/4(Н)</t>
  </si>
  <si>
    <t xml:space="preserve">ВЗ-Б32-Т1.1/4G(Н)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с фитингом для присоединения трубы G 1.1/4" (наружная) никелированная латунь, 1Ex d IIC Gb / 1Ex e IIC Gb / 0Ex ia IIC Ga / 2Ex nR IIC Gc / Ex ta IIIC Da, IP66 / IP68 </t>
  </si>
  <si>
    <t>ВЗ-Б20-Т1/2G(В)</t>
  </si>
  <si>
    <t xml:space="preserve">ВЗ-Б20-Т1/2G(В)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с фитингом для присоединения трубы G 1/2" (внутренняя) никелированная латунь, 1Ex d IIC Gb / 1Ex e IIC Gb / 0Ex ia IIC Ga / 2Ex nR IIC Gc / Ex ta IIIC Da, IP66 / IP68 </t>
  </si>
  <si>
    <t>ВЗ-Б20-Т3/4G(В)</t>
  </si>
  <si>
    <t xml:space="preserve">ВЗ-Б20-Т3/4G(В)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с фитингом для присоединения трубы G 3/4" (внутренняя) никелированная латунь, 1Ex d IIC Gb / 1Ex e IIC Gb / 0Ex ia IIC Ga / 2Ex nR IIC Gc / Ex ta IIIC Da, IP66 / IP68 </t>
  </si>
  <si>
    <t>ВЗ-Б25-Т3/4G(В)</t>
  </si>
  <si>
    <t xml:space="preserve">ВЗ-Б25-Т3/4G(В)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с фитингом для присоединения трубы G 3/4" (внутренняя) никелированная латунь, 1Ex d IIC Gb / 1Ex e IIC Gb / 0Ex ia IIC Ga / 2Ex nR IIC Gc / Ex ta IIIC Da, IP66 / IP68 </t>
  </si>
  <si>
    <t>ВЗ-Б25-Т1G(В)</t>
  </si>
  <si>
    <t xml:space="preserve">ВЗ-Б25-Т1G(В)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с фитингом для присоединения трубы G 1" (внутренняя) никелированная латунь, 1Ex d IIC Gb / 1Ex e IIC Gb / 0Ex ia IIC Ga / 2Ex nR IIC Gc / Ex ta IIIC Da, IP66 / IP68 </t>
  </si>
  <si>
    <t>ВЗ-Б32-Т1G(В)</t>
  </si>
  <si>
    <t xml:space="preserve">ВЗ-Б32-Т1G(В)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с фитингом для присоединения трубы G 1" (внутренняя) никелированная латунь, 1Ex d IIC Gb / 1Ex e IIC Gb / 0Ex ia IIC Ga / 2Ex nR IIC Gc / Ex ta IIIC Da, IP66 / IP68 </t>
  </si>
  <si>
    <t>ВЗ-Б32-Т1.1/4(В)</t>
  </si>
  <si>
    <t xml:space="preserve">ВЗ-Б32-Т1.1/4G(В)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с фитингом для присоединения трубы G 1.1/4" (внутренняя) никелированная латунь, 1Ex d IIC Gb / 1Ex e IIC Gb / 0Ex ia IIC Ga / 2Ex nR IIC Gc / Ex ta IIIC Da, IP66 / IP68 </t>
  </si>
  <si>
    <t>ВЗ-Б25-Т25(В)</t>
  </si>
  <si>
    <t xml:space="preserve">ВЗ-Б25-Т25(В)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с фитингом для присоединения трубы М25х1,5 (внутренняя) никелированная латунь, 1Ex d IIC Gb / 1Ex e IIC Gb / 0Ex ia IIC Ga / 2Ex nR IIC Gc / Ex ta IIIC Da, IP66 / IP68 </t>
  </si>
  <si>
    <t>ВЗ-Б32-Т40(В)</t>
  </si>
  <si>
    <t xml:space="preserve">ВЗ-Б32-Т40(В)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с фитингом для присоединения трубы М40х1,5 (внутренняя) никелированная латунь, 1Ex d IIC Gb / 1Ex e IIC Gb / 0Ex ia IIC Ga / 2Ex nR IIC Gc / Ex ta IIIC Da, IP66 / IP68 </t>
  </si>
  <si>
    <t>ВЗ-Б40-Т40(В)</t>
  </si>
  <si>
    <t xml:space="preserve">ВЗ-Б32-Т40(В) - Взрывозащищенный кабельный ввод ВЗОР для всех типов бронированного кабеля круглого сечения, диаметр обжимаемого кабеля по наружной оболочке 27-37 мм, по внутренней оболочке 25-31 мм, М40х1,5-6g, с фитингом для присоединения трубы М40х1,5 (внутренняя) никелированная латунь, 1Ex d IIC Gb / 1Ex e IIC Gb / 0Ex ia IIC Ga / 2Ex nR IIC Gc / Ex ta IIIC Da, IP66 / IP68 </t>
  </si>
  <si>
    <t>ВЗ-П20</t>
  </si>
  <si>
    <t>ВЗ-П20 - Взрывозащищенный кабельный ввод ВЗОР для плоского кабеля (6,3х4)-(11,8х7) мм, М20х1,5-6g, никелированная латунь, 1Ex e IIC Gb / 0Ex ia IIC Ga / 2Ex nR IIC Gc / Ex ta IIIC Da, IP66 / IP68</t>
  </si>
  <si>
    <t>ВЗ-П20А</t>
  </si>
  <si>
    <t>ВЗ-П20A - Взрывозащищенный кабельный ввод ВЗОР для плоского кабеля (8,1х5,8)-(14,6х6.2) мм, М20х1,5-6g, никелированная латунь, 1Ex e IIC Gb / 0Ex ia IIC Ga / 2Ex nR IIC Gc / Ex ta IIIC Da, IP66 / IP68</t>
  </si>
  <si>
    <t>ВЗ-П20В</t>
  </si>
  <si>
    <t>ВЗ-П20B - Взрывозащищенный кабельный ввод ВЗОР для плоского кабеля (10,3х5,6)-(13,6х9) мм, М20х1,5-6g, никелированная латунь, 1Ex e IIC Gb / 0Ex ia IIC Ga / 2Ex nR IIC Gc / Ex ta IIIC Da, IP66 / IP68</t>
  </si>
  <si>
    <t>ВЗ-П32</t>
  </si>
  <si>
    <t>ВЗ-П32 - Взрывозащищенный кабельный ввод ВЗОР от 1 до 3-х плоских кабелей (8,3х3,7)-(10,5х6) мм, М32х1,5-6g, никелированная латунь, 1Ex e IIC Gb / 0Ex ia IIC Ga / 2Ex nR IIC Gc / Ex ta IIIC Da, IP66 / IP68</t>
  </si>
  <si>
    <t>ВЗ-П32А</t>
  </si>
  <si>
    <t>ВЗ-П32A - Взрывозащищенный кабельный ввод ВЗОР от 1 до 3-х плоских кабелей (10,4х3,8)-(12,9х7,1) мм, М32х1,5-6g, никелированная латунь, 1Ex e IIC Gb / 0Ex ia IIC Ga / 2Ex nR IIC Gc / Ex ta IIIC Da, IP66 / IP68</t>
  </si>
  <si>
    <t>ВЗ-П32В</t>
  </si>
  <si>
    <t>ВЗ-П32B - Взрывозащищенный кабельный ввод ВЗОР от 1 до 3-х плоских кабелей (12,5х3,7) - (15,4х6,5) мм, М32х1,5-6g, никелированная латунь, 1Ex e IIC Gb / 0Ex ia IIC Ga / 2Ex nR IIC Gc / Ex ta IIIC Da, IP66 / IP68</t>
  </si>
  <si>
    <t>ВЗ-П1/2</t>
  </si>
  <si>
    <t>ВЗ-П1/2 - Взрывозащищенный кабельный ввод ВЗОР для плоского кабеля (6,3х4)-(11,8х7) мм, 1/2" NPT, никелированная латунь, 1Ex e IIC Gb / 0Ex ia IIC Ga / 2Ex nR IIC Gc / Ex ta IIIC Da, IP66 / IP68</t>
  </si>
  <si>
    <t>ВЗ-П1/2А</t>
  </si>
  <si>
    <t>ВЗ-П1/2A - Взрывозащищенный кабельный ввод ВЗОР для плоского кабеля (8,1х5,8)-(14,6х6.2) мм, 1/2" NPT, никелированная латунь, 1Ex e IIC Gb / 0Ex ia IIC Ga / 2Ex nR IIC Gc / Ex ta IIIC Da, IP66 / IP68</t>
  </si>
  <si>
    <t>ВЗ-П1/2В</t>
  </si>
  <si>
    <t>ВЗ-П1/2B - Взрывозащищенный кабельный ввод ВЗОР для плоского кабеля (10,3х5,6)-(13,6х9) мм, 1/2" NPT, никелированная латунь, 1Ex e IIC Gb / 0Ex ia IIC Ga / 2Ex nR IIC Gc / Ex ta IIIC Da, IP66 / IP68</t>
  </si>
  <si>
    <t>ВЗ-П1</t>
  </si>
  <si>
    <t>ВЗ-П1 - Взрывозащищенный кабельный ввод ВЗОР от 1 до 3-х плоских кабелей (8,3х3,7)-(10,5х6) мм, 1" NPT, никелированная латунь, 1Ex e IIC Gb / 0Ex ia IIC Ga / 2Ex nR IIC Gc / Ex ta IIIC Da, IP66 / IP68</t>
  </si>
  <si>
    <t>ВЗ-П1А</t>
  </si>
  <si>
    <t>ВЗ-П1A - Взрывозащищенный кабельный ввод ВЗОР от 1 до 3-х плоских кабелей (10,4х3,8)-(12,9х7,1) мм, 1" NPT, никелированная латунь, 1Ex e IIC Gb / 0Ex ia IIC Ga / 2Ex nR IIC Gc / Ex ta IIIC Da, IP66 / IP68</t>
  </si>
  <si>
    <t>ВЗ-П1В</t>
  </si>
  <si>
    <t>ВЗ-П1B - Взрывозащищенный кабельный ввод ВЗОР от 1 до 3-х плоских кабелей (12,5х3,7) - (15,4х6,5) мм, 1" NPT, никелированная латунь, 1Ex e IIC Gb / 0Ex ia IIC Ga / 2Ex nR IIC Gc / Ex ta IIIC Da, IP66 / IP68</t>
  </si>
  <si>
    <t>ВЗ-П1/2G</t>
  </si>
  <si>
    <t>ВЗ-П1/2G - Взрывозащищенный кабельный ввод ВЗОР для плоского кабеля (6,3х4)-(11,8х7) мм, G 1/2", никелированная латунь, 1Ex e IIC Gb / 0Ex ia IIC Ga / 2Ex nR IIC Gc / Ex ta IIIC Da, IP66 / IP68</t>
  </si>
  <si>
    <t>ВЗ-П1/2GА</t>
  </si>
  <si>
    <t>ВЗ-П1/2GA - Взрывозащищенный кабельный ввод ВЗОР для плоского кабеля (8,1х5,8)-(14,6х6.2) мм, G 1/2", никелированная латунь, 1Ex e IIC Gb / 0Ex ia IIC Ga / 2Ex nR IIC Gc / Ex ta IIIC Da, IP66 / IP68</t>
  </si>
  <si>
    <t>ВЗ-П1/2GВ</t>
  </si>
  <si>
    <t>ВЗ-П1/2GB - Взрывозащищенный кабельный ввод ВЗОР для плоского кабеля (10,3х5,6)-(13,6х9) мм,G  1/2", никелированная латунь, 1Ex e IIC Gb / 0Ex ia IIC Ga / 2Ex nR IIC Gc / Ex ta IIIC Da, IP66 / IP68</t>
  </si>
  <si>
    <t>ВЗ-П1G</t>
  </si>
  <si>
    <t>ВЗ-П1G - Взрывозащищенный кабельный ввод ВЗОР от 1 до 3-х плоских кабелей (8,3х3,7)-(10,5х6) мм, G 1", никелированная латунь, 1Ex e IIC Gb / 0Ex ia IIC Ga / 2Ex nR IIC Gc / Ex ta IIIC Da, IP66 / IP68</t>
  </si>
  <si>
    <t>ВЗ-П1GА</t>
  </si>
  <si>
    <t>ВЗ-П1GA - Взрывозащищенный кабельный ввод ВЗОР от 1 до 3-х плоских кабелей (10,4х3,8)-(12,9х7,1) мм, G 1", никелированная латунь, 1Ex e IIC Gb / 0Ex ia IIC Ga / 2Ex nR IIC Gc / Ex ta IIIC Da, IP66 / IP68</t>
  </si>
  <si>
    <t>ВЗ-П1GВ</t>
  </si>
  <si>
    <t>ВЗ-П1GB - Взрывозащищенный кабельный ввод ВЗОР от 1 до 3-х плоских кабелей (12,5х3,7) - (15,4х6,5) мм, G 1", никелированная латунь, 1Ex e IIC Gb / 0Ex ia IIC Ga / 2Ex nR IIC Gc / Ex ta IIIC Da, IP66 / IP68</t>
  </si>
  <si>
    <t>ВЗ-П20-Т1/2G(B)</t>
  </si>
  <si>
    <t>ВЗ-П20-Т1/2G(B) - Взрывозащищенный кабельный ввод ВЗОР для плоского кабеля (6,3х4)-(11,8х7) мм, М20х1,5-6g, с фитингом для присоединения трубы G 1/2" (внутренняя) никелированная латунь, 1Ex e IIC Gb / 0Ex ia IIC Ga / 2Ex nR IIC Gc / Ex ta IIIC Da, IP66 / IP68</t>
  </si>
  <si>
    <t>ВЗ-П20А-Т1/2G(B)</t>
  </si>
  <si>
    <t>ВЗ-П20А-Т1/2G(B) - Взрывозащищенный кабельный ввод ВЗОР для плоского кабеля (8,1х5,8) - (14,6х6,2) мм, М20х1,5-6g, с фитингом для присоединения трубы G 1/2" (внутренняя) никелированная латунь, 1Ex e IIC Gb / 0Ex ia IIC Ga / 2Ex nR IIC Gc / Ex ta IIIC Da, IP66 / IP68</t>
  </si>
  <si>
    <t>ВЗ-П20В-Т1/2G(B)</t>
  </si>
  <si>
    <t>ВЗ-П20В-Т1/2G(B) - Взрывозащищенный кабельный ввод ВЗОР для плоского кабеля (10,3х5,6) - (13,6х9) мм, М20х1,5-6g, с фитингом для присоединения трубы G 1/2" (внутренняя) никелированная латунь, 1Ex e IIC Gb / 0Ex ia IIC Ga / 2Ex nR IIC Gc / Ex ta IIIC Da, IP66 / IP68</t>
  </si>
  <si>
    <t>ВЗ-П32-Т1G(B)</t>
  </si>
  <si>
    <t>ВЗ-П32-Т1G(B) - Взрывозащищенный кабельный ввод ВЗОР от для от 1 до 3-х плоских кабелей (8,3х3,7) - (10,5х6) мм, М32х1,5-6g, с фитингом для присоединения трубы G 1" (внутренняя) никелированная латунь, 1Ex e IIC Gb / 0Ex ia IIC Ga / 2Ex nR IIC Gc / Ex ta IIIC Da, IP66 / IP68</t>
  </si>
  <si>
    <t>ВЗ-П32А-Т1G(B)</t>
  </si>
  <si>
    <t>ВЗ-П32А-Т1G(B) - Взрывозащищенный кабельный ввод ВЗОР для от 1 до 3-х плоских кабелей (10,4х3,8) - (12,9х7,1) мм, М32х1,5-6g, с фитингом для присоединения трубы G 1" (внутренняя) никелированная латунь, 1Ex e IIC Gb / 0Ex ia IIC Ga / 2Ex nR IIC Gc / Ex ta IIIC Da, IP66 / IP68</t>
  </si>
  <si>
    <t>ВЗ-П32В-Т1G(В)</t>
  </si>
  <si>
    <t>ВЗ-П32В-Т1G(В) - Взрывозащищенный кабельный ввод ВЗОР для от 1 до 3-х плоских кабелей (12,5х3,7) - (15,4х6,5) мм, М32х1,5-6g, с фитингом для присоединения трубы G 1" (внутренняя) никелированная латунь, 1Ex e IIC Gb / 0Ex ia IIC Ga / 2Ex nR IIC Gc / Ex ta IIIC Da, IP66 / IP68</t>
  </si>
  <si>
    <t>ВЗ-П32Кр-01</t>
  </si>
  <si>
    <t>ВЗ-П32Кр-01 - Взрывозащищенный кабельный ввод серии ВЗ-ПКр ВЗОР в исполнении с кронштейном для крепления на трубопровод для от 1 до 3-х плоских кабелей (8,3х3,7) - (10,5х6) мм, 1Ex e IIC Gb / 0Ex ia IIC Ga / 2Ex nR IIC Gc / Ex ta IIIC Da, IP66</t>
  </si>
  <si>
    <t>ВЗ-П32АКр-01</t>
  </si>
  <si>
    <t>ВЗ-П32Кр-01 - Взрывозащищенный кабельный ввод серии ВЗ-ПКр ВЗОР в исполнении с кронштейном для крепления на трубопровод для от 1 до 3-х плоских кабелей (10,4х3,8) - (12,9х7,1) мм, 1Ex e IIC Gb / 0Ex ia IIC Ga / 2Ex nR IIC Gc / Ex ta IIIC Da, IP66</t>
  </si>
  <si>
    <t>ВЗ-П32ВКр-01</t>
  </si>
  <si>
    <t>ВЗ-П32Кр-01 - Взрывозащищенный кабельный ввод серии ВЗ-ПКр ВЗОР в исполнении с кронштейном для крепления на трубопровод для от 1 до 3-х плоских кабелей (12,5х3,7) - (15,4х6,5) мм, 1Ex e IIC Gb / 0Ex ia IIC Ga / 2Ex nR IIC Gc / Ex ta IIIC Da, IP66</t>
  </si>
  <si>
    <t>ВЗ-Р12</t>
  </si>
  <si>
    <t>ВЗ-Р12 - Взрывозащищенная резьбовая заглушка ВЗОР, М12х1,5-6g, никелированная латунь, Ex d IIC Gb U / Ex e IIС Gb U / Ex ia IIC Ga U, IP66 / IP68</t>
  </si>
  <si>
    <t>ВЗ-Р16</t>
  </si>
  <si>
    <t>ВЗ-Р16 - Взрывозащищенная резьбовая заглушка ВЗОР, М16х1,5-6g, никелированная латунь, Ex d IIC Gb U / Ex e IIС Gb U / Ex ia IIC Ga U, IP66 / IP68</t>
  </si>
  <si>
    <t>ВЗ-Р20</t>
  </si>
  <si>
    <t>ВЗ-Р20 - Взрывозащищенная резьбовая заглушка ВЗОР, М20х1,5-6g, никелированная латунь, Ex d IIC Gb U / Ex e IIС Gb U / Ex ia IIC Ga U, IP66 / IP68</t>
  </si>
  <si>
    <t>ВЗ-Р25</t>
  </si>
  <si>
    <t>ВЗ-Р25 - Взрывозащищенная резьбовая заглушка ВЗОР, М25х1,5-6g, никелированная латунь, Ex d IIC Gb U / Ex e IIС Gb U / Ex ia IIC Ga U, IP66 / IP68</t>
  </si>
  <si>
    <t>ВЗ-Р32</t>
  </si>
  <si>
    <t>ВЗ-Р32 - Взрывозащищенная резьбовая заглушка ВЗОР, М32х1,5-6g, никелированная латунь, Ex d IIC Gb U / Ex e IIС Gb U / Ex ia IIC Ga U, IP66 / IP68</t>
  </si>
  <si>
    <t>ВЗ-Р40</t>
  </si>
  <si>
    <t>ВЗ-Р40 - Взрывозащищенная резьбовая заглушка ВЗОР, М40х1,5-6g, никелированная латунь, Ex d IIC Gb U / Ex e IIС Gb U / Ex ia IIC Ga U, IP66 / IP68</t>
  </si>
  <si>
    <t>ВЗ-Р50</t>
  </si>
  <si>
    <t>ВЗ-Р50 - Взрывозащищенная резьбовая заглушка ВЗОР, М50х1,5-6g, никелированная латунь, Ex d IIC Gb U / Ex e IIС Gb U / Ex ia IIC Ga U, IP66 / IP68</t>
  </si>
  <si>
    <t>ВЗ-Р63</t>
  </si>
  <si>
    <t>ВЗ-Р63 - Взрывозащищенная резьбовая заглушка ВЗОР, М63х1,5-6g, никелированная латунь, Ex d IIC Gb U / Ex e IIС Gb U / Ex ia IIC Ga U, IP66 / IP68</t>
  </si>
  <si>
    <t>ВЗ-Р75</t>
  </si>
  <si>
    <t>ВЗ-Р75 - Взрывозащищенная резьбовая заглушка ВЗОР, М75х1,5-6g, никелированная латунь, Ex d IIC Gb U /Ex e IIС Gb U / Ex ia IIC Ga U, IP66 / IP68</t>
  </si>
  <si>
    <t>ВЗ-Р90</t>
  </si>
  <si>
    <t>ВЗ-Р90 - Взрывозащищенная резьбовая заглушка ВЗОР, М90х1,5-6g, никелированная латунь, Ex d IIC Gb U / Ex e IIС Gb U / Ex ia IIC Ga U, IP66 / IP68</t>
  </si>
  <si>
    <t>ВЗ-Р90А</t>
  </si>
  <si>
    <t>ВЗ-Р90А - Взрывозащищенная резьбовая заглушка ВЗОР, М90х2-6g, никелированная латунь, Ex d IIC Gb U / Ex e IIС Gb U / Ex ia IIC Ga U, IP66 / IP68</t>
  </si>
  <si>
    <t>ВЗ-Р100</t>
  </si>
  <si>
    <t>ВЗ-Р100 - Взрывозащищенная резьбовая заглушка ВЗОР, М100х1,5-6g, никелированная латунь, Ex d IIC Gb U / Ex e IIС Gb U / Ex ia IIC Ga U, IP66 / IP68</t>
  </si>
  <si>
    <t>ВЗ-Р100А</t>
  </si>
  <si>
    <t>ВЗ-Р100А - Взрывозащищенная резьбовая заглушка ВЗОР, М100х2-6g, никелированная латунь, Ex d IIC Gb U / Ex e IIС Gb U / Ex ia IIC Ga U, IP66 / IP68</t>
  </si>
  <si>
    <t>ВЗ-Р1/4</t>
  </si>
  <si>
    <t>ВЗ-Р1/4 - Взрывозащищенная резьбовая заглушка ВЗОР, 1/4" NPT, никелированная латунь, Ex d IIC Gb U / Ex e IIС Gb U / Ex ia IIC Ga U, IP66 / IP68</t>
  </si>
  <si>
    <t>ВЗ-Р3/8</t>
  </si>
  <si>
    <t>ВЗ-Р3/8 - Взрывозащищенная резьбовая заглушка ВЗОР, 3/8" NPT, никелированная латунь, Ex d IIC Gb U / Ex e IIС Gb U / Ex ia IIC Ga U, IP66 / IP68</t>
  </si>
  <si>
    <t>ВЗ-Р1/2</t>
  </si>
  <si>
    <t>ВЗ-Р1/2 - Взрывозащищенная резьбовая заглушка ВЗОР, 1/2" NPT, никелированная латунь, Ex d IIC Gb U / Ex e IIС Gb U / Ex ia IIC Ga U, IP66 / IP68</t>
  </si>
  <si>
    <t>ВЗ-Р3/4</t>
  </si>
  <si>
    <t>ВЗ-Р3/4 - Взрывозащищенная резьбовая заглушка ВЗОР, 3/4" NPT, никелированная латунь, Ex d IIC Gb U / Ex e IIС Gb U / Ex ia IIC Ga U, IP66 / IP68</t>
  </si>
  <si>
    <t>ВЗ-Р1</t>
  </si>
  <si>
    <t>ВЗ-Р1 - Взрывозащищенная резьбовая заглушка ВЗОР, 1" NPT, никелированная латунь, Ex d IIC Gb U / Ex e IIС Gb U / Ex ia IIC Ga U, IP66 / IP68</t>
  </si>
  <si>
    <t>ВЗ-Р1.1/4</t>
  </si>
  <si>
    <t>ВЗ-Р1.1/4 - Взрывозащищенная резьбовая заглушка ВЗОР, 1.1/4" NPT, никелированная латунь, Ex d IIC Gb U / Ex e IIС Gb U / Ex ia IIC Ga U, IP66 / IP68</t>
  </si>
  <si>
    <t>ВЗ-Р1.1/2</t>
  </si>
  <si>
    <t>ВЗ-Р1.1/2 - Взрывозащищенная резьбовая заглушка ВЗОР, 1.1/2" NPT, никелированная латунь, Ex d IIC Gb U /Ex e IIС Gb U / Ex ia IIC Ga U, IP66 / IP68</t>
  </si>
  <si>
    <t>ВЗ-Р2</t>
  </si>
  <si>
    <t>ВЗ-Р2 - Взрывозащищенная резьбовая заглушка ВЗОР, 2" NPT, никелированная латунь, Ex d IIC Gb U / Ex e IIС Gb U / Ex ia IIC Ga U, IP66 / IP68</t>
  </si>
  <si>
    <t>ВЗ-Р2.1/2</t>
  </si>
  <si>
    <t>ВЗ-Р2.1/2 - Взрывозащищенная резьбовая заглушка ВЗОР, 2.1/2" NPT, никелированная латунь, Ex d IIC Gb U /Ex e IIС Gb U / Ex ia IIC Ga U, IP66 / IP68</t>
  </si>
  <si>
    <t>ВЗ-Р3</t>
  </si>
  <si>
    <t>ВЗ-Р3 - Взрывозащищенная резьбовая заглушка ВЗОР, 3" NPT, никелированная латунь, Ex d IIC Gb U / Ex e IIС Gb U / Ex ia IIC Ga U, IP66 / IP68</t>
  </si>
  <si>
    <t>ВЗ-Р3.1/2</t>
  </si>
  <si>
    <t>ВЗ-Р3.1/2 - Взрывозащищенная резьбовая заглушка ВЗОР, 3.1/2" NPT, никелированная латунь, Ex d IIC Gb U / Ex e IIС Gb U / Ex ia IIC Ga U, IP66 / IP68</t>
  </si>
  <si>
    <t>ВЗ-Р1/4G</t>
  </si>
  <si>
    <t>ВЗ-Р1/4G - Взрывозащищенная резьбовая заглушка ВЗОР, G 1/4", никелированная латунь, Ex d IIC Gb U / Ex e IIС Gb U / Ex ia IIC Ga U, IP66 / IP68</t>
  </si>
  <si>
    <t>ВЗ-Р3/8G</t>
  </si>
  <si>
    <t>ВЗ-Р3/8G - Взрывозащищенная резьбовая заглушка ВЗОР, G 3/8", никелированная латунь, Ex d IIC Gb U / Ex e IIС Gb U / Ex ia IIC Ga U, IP66 / IP68</t>
  </si>
  <si>
    <t>ВЗ-Р1/2G</t>
  </si>
  <si>
    <t>ВЗ-Р1/2G - Взрывозащищенная резьбовая заглушка ВЗОР, G 1/2", никелированная латунь, Ex d IIC Gb U / Ex e IIС Gb U / Ex ia IIC Ga U, IP66 / IP68</t>
  </si>
  <si>
    <t>ВЗ-Р3/4G</t>
  </si>
  <si>
    <t>ВЗ-Р3/4G - Взрывозащищенная резьбовая заглушка ВЗОР, G 3/4", никелированная латунь, Ex d IIC Gb U / Ex e IIС Gb U / Ex ia IIC Ga U, IP66 / IP68</t>
  </si>
  <si>
    <t>ВЗ-Р1G</t>
  </si>
  <si>
    <t>ВЗ-Р1G - Взрывозащищенная резьбовая заглушка ВЗОР, G 1", никелированная латунь, Ex d IIC Gb U / Ex e IIС Gb U / Ex ia IIC Ga U, IP66 / IP68</t>
  </si>
  <si>
    <t>ВЗ-Р1.1/4G</t>
  </si>
  <si>
    <t>ВЗ-Р1.1/4G - Взрывозащищенная резьбовая заглушка ВЗОР, G 1.1/4", никелированная латунь, Ex d IIC Gb U / Ex e IIС Gb U / Ex ia IIC Ga U, IP66 / IP68</t>
  </si>
  <si>
    <t>ВЗ-Р1.1/2G</t>
  </si>
  <si>
    <t>ВЗ-Р1.1/2G - Взрывозащищенная резьбовая заглушка ВЗОР, G 1.1/2", никелированная латунь, Ex d IIC Gb U / Ex e IIС Gb U / Ex ia IIC Ga U, IP66 / IP68</t>
  </si>
  <si>
    <t>ВЗ-Р2G</t>
  </si>
  <si>
    <t>ВЗ-Р2G - Взрывозащищенная резьбовая заглушка ВЗОР, G 2", никелированная латунь, Ex d IIC Gb U / Ex e IIС Gb U / Ex ia IIC Ga U, IP66 / IP68</t>
  </si>
  <si>
    <t>ВЗ-Р2.1/2G</t>
  </si>
  <si>
    <t>ВЗ-Р2.1/2G - Взрывозащищенная резьбовая заглушка ВЗОР, G 2.1/2", никелированная латунь, Ex d IIC Gb U / Ex e IIС Gb U / Ex ia IIC Ga U, IP66 / IP68</t>
  </si>
  <si>
    <t>ВЗ-Р3G</t>
  </si>
  <si>
    <t>ВЗ-Р3G - Взрывозащищенная резьбовая заглушка ВЗОР, G 3", никелированная латунь, Ex d IIC Gb U / Ex e IIС Gb U / Ex ia IIC Ga U, IP66 / IP68</t>
  </si>
  <si>
    <t>ВЗ-Р3.1/2G</t>
  </si>
  <si>
    <t>ВЗ-Р3.1/2G - Взрывозащищенная резьбовая заглушка ВЗОР, G 3.1/2", никелированная латунь, Ex d IIC Gb U / Ex e IIС Gb U / Ex ia IIC Ga U, IP66 / IP68</t>
  </si>
  <si>
    <t>ВЗ-ВЗ12</t>
  </si>
  <si>
    <t>ВЗ-ВЗ12 - взрывозащищенная защитная пробка для кабельных вводов ВЗОР (12, 1/4, 1/4G), никелированная латунь, Ex d IIC Gb U / Ex e IIС Gb U / Ex ia IIC Ga U, IP66 / IP68</t>
  </si>
  <si>
    <t>ВЗ-ВЗ16</t>
  </si>
  <si>
    <t>ВЗ-ВЗ16 - взрывозащищенная защитная пробка для кабельных вводов ВЗОР (16, 3/8, 3/8G), никелированная латунь, Ex d IIC Gb U / Ex e IIС Gb U / Ex ia IIC Ga U, IP66 / IP68</t>
  </si>
  <si>
    <t>ВЗ-ВЗ20</t>
  </si>
  <si>
    <t>ВЗ-ВЗ20 - взрывозащищенная защитная пробка для кабельных вводов ВЗОР (20, 1/2, 1/2G), никелированная латунь, Ex d IIC Gb U / Ex e IIС Gb U / Ex ia IIC Ga U, IP66 / IP68</t>
  </si>
  <si>
    <t>ВЗ-ВЗ25</t>
  </si>
  <si>
    <t>ВЗ-ВЗ25 - взрывозащищенная защитная пробка для кабельных вводов ВЗОР (25, 3/4, 3/4G), никелированная латунь, Ex d IIC Gb U / Ex e IIС Gb U / Ex ia IIC Ga U, IP66 / IP68</t>
  </si>
  <si>
    <t>ВЗ-ВЗ32</t>
  </si>
  <si>
    <t>ВЗ-ВЗ32 - взрывозащищенная защитная пробка для кабельных вводов ВЗОР (32, 1, 1G), никелированная латунь, Ex d IIC Gb U / Ex e IIС Gb U / Ex ia IIC Ga U, IP66 / IP68</t>
  </si>
  <si>
    <t>ВЗ-ВЗ40</t>
  </si>
  <si>
    <t>ВЗ-ВЗ40 - взрывозащищенная защитная пробка для кабельных вводов ВЗОР (40, 1.1/4, 1.1/4G), никелированная латунь, Ex d IIC Gb U / Ex e IIС Gb U / Ex ia IIC Ga U, IP66 / IP68</t>
  </si>
  <si>
    <t>ВЗ-ВЗ50</t>
  </si>
  <si>
    <t>ВЗ-ВЗ50 - взрывозащищенная защитная пробка для кабельных вводов ВЗОР (50, 1.1/2, 1.1/2G), никелированная латунь, Ex d IIC Gb U / Ex e IIС Gb U / Ex ia IIC Ga U, IP66 / IP68</t>
  </si>
  <si>
    <t>ВЗ-ВЗ63</t>
  </si>
  <si>
    <t>ВЗ-ВЗ63 - взрывозащищенная защитная пробка для кабельных вводов ВЗОР (63, 2, 2G), никелированная латунь, Ex d IIC Gb U / Ex e IIС Gb U / Ex ia IIC Ga U, IP66 / IP68</t>
  </si>
  <si>
    <t>ВЗ-ВЗ75</t>
  </si>
  <si>
    <t>ВЗ-ВЗ75 - взрывозащищенная защитная пробка для кабельных вводов ВЗОР (75, 2.1/2, 2.1/2G), никелированная латунь, Ex d IIC Gb U / Ex e IIС Gb U / Ex ia IIC Ga U, IP66 / IP68</t>
  </si>
  <si>
    <t>ВЗ-ВЗ75А</t>
  </si>
  <si>
    <t>ВЗ-ВЗ75A - взрывозащищенная защитная пробка для кабельных вводов ВЗОР (75, 2.1/2, 2.1/2G), никелированная латунь, Ex d IIC Gb U / Ex e IIС Gb U / Ex ia IIC Ga U, IP66 / IP68</t>
  </si>
  <si>
    <t>ВЗ-ВЗ90</t>
  </si>
  <si>
    <t>ВЗ-ВЗ90 - взрывозащищенная защитная пробка для кабельных вводов ВЗОР (90, 3, 3G), никелированная латунь, Ex d IIC Gb U / Ex e IIС Gb U / Ex ia IIC Ga U, IP66 / IP68</t>
  </si>
  <si>
    <t>ВЗ-ВЗ90А</t>
  </si>
  <si>
    <t>ВЗ-ВЗ90A - взрывозащищенная защитная пробка для кабельных вводов ВЗОР (90, 3, 3G), никелированная латунь, Ex d IIC Gb U / Ex e IIС Gb U / Ex ia IIC Ga U, IP66 / IP68</t>
  </si>
  <si>
    <t>ВЗ-ВЗ100</t>
  </si>
  <si>
    <t>ВЗ-ВЗ100 - взрывозащищенная защитная пробка для кабельных вводов ВЗОР (100, 3.1/2, 3.1/2G), никелированная латунь, Ex d IIC Gb U / Ex e IIС Gb U / Ex ia IIC Ga U, IP66 / IP68</t>
  </si>
  <si>
    <t>ВЗ-ВЗ100А</t>
  </si>
  <si>
    <t>ВЗ-ВЗ100A - взрывозащищенная защитная пробка для кабельных вводов ВЗОР (100, 3.1/2, 3.1/2G), никелированная латунь, Ex d IIC Gb U / Ex e IIС Gb U / Ex ia IIC Ga U, IP66 / IP68</t>
  </si>
  <si>
    <t>ВЗ-ВЗе12</t>
  </si>
  <si>
    <t>ВЗ-ВЗе12 - взрывозащищенная защитная заглушка для кабельных вводов ВЗОР (12, 1/4, 1/4G), никелированная латунь, Ex e IIС Gb U / Ex ia IIC Ga U, IP66 / IP68</t>
  </si>
  <si>
    <t>ВЗ-ВЗе16</t>
  </si>
  <si>
    <t>ВЗ-ВЗе16 - взрывозащищенная защитная заглушка для кабельных вводов ВЗОР (16, 3/8, 3/8G), никелированная латунь, Ex e IIС Gb U / Ex ia IIC Ga U, IP66 / IP68</t>
  </si>
  <si>
    <t>ВЗ-ВЗе20</t>
  </si>
  <si>
    <t>ВЗ-ВЗе20 - взрывозащищенная защитная заглушка для кабельных вводов ВЗОР (20, 1/2, 1/2G), никелированная латунь, Ex e IIС Gb U / Ex ia IIC Ga U, IP66 / IP68</t>
  </si>
  <si>
    <t>ВЗ-ВЗе25</t>
  </si>
  <si>
    <t>ВЗ-ВЗе25 - взрывозащищенная защитная заглушка для кабельных вводов ВЗОР (25, 3/4, 3/4G), никелированная латунь, Ex e IIС Gb U / Ex ia IIC Ga U, IP66 / IP68</t>
  </si>
  <si>
    <t>ВЗ-ВЗе32</t>
  </si>
  <si>
    <t>ВЗ-ВЗе32 - взрывозащищенная защитная заглушка для кабельных вводов ВЗОР (32, 1, 1G), никелированная латунь, Ex e IIС Gb U / Ex ia IIC Ga U, IP66 / IP68</t>
  </si>
  <si>
    <t>ВЗ-ВЗе40</t>
  </si>
  <si>
    <t>ВЗ-ВЗе40 - взрывозащищенная защитная заглушка для кабельных вводов ВЗОР (40, 1.1/4, 1.1/4G), никелированная латунь, Ex e IIС Gb U / Ex ia IIC Ga U, IP66 / IP68</t>
  </si>
  <si>
    <t>ВЗ-ВЗе50</t>
  </si>
  <si>
    <t>ВЗ-ВЗе50 - взрывозащищенная защитная заглушка для кабельных вводов ВЗОР (50, 1.1/2, 1.1/2G), никелированная латунь, Ex e IIС Gb U / Ex ia IIC Ga U, IP66 / IP68</t>
  </si>
  <si>
    <t>ВЗ-ВЗе63</t>
  </si>
  <si>
    <t>ВЗ-ВЗе63 - взрывозащищенная защитная заглушка для кабельных вводов ВЗОР (63, 2, 2G), никелированная латунь, Ex e IIС Gb U / Ex ia IIC Ga U, IP66 / IP68</t>
  </si>
  <si>
    <t>ВЗ-ВЗе75</t>
  </si>
  <si>
    <t>ВЗ-ВЗе75 - взрывозащищенная защитная заглушка для кабельных вводов ВЗОР (75, 2.1/2, 2.1/2G), никелированная латунь, Ex e IIС Gb U / Ex ia IIC Ga U, IP66 / IP68</t>
  </si>
  <si>
    <t>ВЗ-ВЗе75А</t>
  </si>
  <si>
    <t>ВЗ-ВЗе75A - взрывозащищенная защитная заглушка для кабельных вводов ВЗОР (75, 2.1/2, 2.1/2G), никелированная латунь, Ex e IIС Gb U / Ex ia IIC Ga U, IP66 / IP68</t>
  </si>
  <si>
    <t>ВЗ-ВЗе90</t>
  </si>
  <si>
    <t>ВЗ-ВЗе90 - взрывозащищенная защитная заглушка для кабельных вводов ВЗОР (90, 3, 3G), никелированная латунь, Ex e IIС Gb U / Ex ia IIC Ga U, IP66 / IP68</t>
  </si>
  <si>
    <t>ВЗ-ВЗе90А</t>
  </si>
  <si>
    <t>ВЗ-ВЗе90A - взрывозащищенная защитная заглушка для кабельных вводов ВЗОР (90, 3, 3G), никелированная латунь, Ex e IIС Gb U / Ex ia IIC Ga U, IP66 / IP68</t>
  </si>
  <si>
    <t>ВЗ-ВЗе100</t>
  </si>
  <si>
    <t>ВЗ-ВЗе100 - взрывозащищенная защитная заглушка для кабельных вводов ВЗОР (100, 3.1/2, 3.1/2G), никелированная латунь, Ex e IIС Gb U / Ex ia IIC Ga U, IP66 / IP68</t>
  </si>
  <si>
    <t>ВЗ-ВЗе100А</t>
  </si>
  <si>
    <t>ВЗ-ВЗе100A - взрывозащищенная защитная заглушка для кабельных вводов ВЗОР (100, 3.1/2, 3.1/2G), никелированная латунь, Ex e IIС Gb U / Ex ia IIC Ga U, IP66 / IP68</t>
  </si>
  <si>
    <t>ВЗ-ПР12-16</t>
  </si>
  <si>
    <t>ВЗ-ПР12-16 - Взрывозащищенный резьбовой переходник ВЗОР, наружная резьба М12х1,5-6g, внутренняя резьба М16х1,5-6H, никелированная латунь, Ex d IIC Gb U / Ex e IIС Gb U / Ex ia IIC Ga U, IP66 / IP68</t>
  </si>
  <si>
    <t>ВЗ-ПР12-20</t>
  </si>
  <si>
    <t>ВЗ-ПР12-20 - Взрывозащищенный резьбовой переходник ВЗОР, наружная резьба М12х1,5-6g, внутренняя резьба М20х1,5-6H, никелированная латунь, Ex d IIC Gb U / Ex e IIС Gb U / Ex ia IIC Ga U, IP66 / IP68</t>
  </si>
  <si>
    <t>ВЗ-ПР12-1/4</t>
  </si>
  <si>
    <t>ВЗ-ПР12-1/4 - Взрывозащищенный резьбовой переходник ВЗОР, наружная резьба М12х1,5-6g, внутренняя резьба 1/4" NPT, никелированная латунь, Ex d IIC Gb U / Ex e IIС Gb U / Ex ia IIC Ga U, IP66 / IP68</t>
  </si>
  <si>
    <t>ВЗ-ПР12-3/8</t>
  </si>
  <si>
    <t>ВЗ-ПР12-3/8 - Взрывозащищенный резьбовой переходник ВЗОР, наружная резьба М12х1,5-6g, внутренняя резьба 3/8" NPT, никелированная латунь, Ex d IIC Gb U / Ex e IIС Gb U / Ex ia IIC Ga U, IP66 / IP68</t>
  </si>
  <si>
    <t>ВЗ-ПР12-1/2</t>
  </si>
  <si>
    <t>ВЗ-ПР12-1/2 - Взрывозащищенный резьбовой переходник ВЗОР, наружная резьба М12х1,5-6g, внутренняя резьба 1/2" NPT, никелированная латунь, Ex d IIC Gb U / Ex e IIС Gb U / Ex ia IIC Ga U, IP66 / IP68</t>
  </si>
  <si>
    <t>ВЗ-ПР12-1/4G</t>
  </si>
  <si>
    <t>ВЗ-ПР12-1/4G - Взрывозащищенный резьбовой переходник ВЗОР, наружная резьба М12х1,5-6g, внутренняя резьба G 1/4", никелированная латунь, Ex d IIC Gb U / Ex e IIС Gb U / Ex ia IIC Ga U, IP66 / IP68</t>
  </si>
  <si>
    <t>ВЗ-ПР12-3/8G</t>
  </si>
  <si>
    <t>ВЗ-ПР12-3/8G - Взрывозащищенный резьбовой переходник ВЗОР, наружная резьба М12х1,5-6g, внутренняя резьба G 3/8", никелированная латунь, Ex d IIC Gb U / Ex e IIС Gb U / Ex ia IIC Ga U, IP66 / IP68</t>
  </si>
  <si>
    <t>ВЗ-ПР12-1/2G</t>
  </si>
  <si>
    <t>ВЗ-ПР12-1/2G - Взрывозащищенный резьбовой переходник ВЗОР, наружная резьба М12х1,5-6g, внутренняя резьба G 1/2", никелированная латунь, Ex d IIC Gb U / Ex e IIС Gb U / Ex ia IIC Ga U, IP66 / IP68</t>
  </si>
  <si>
    <t>ВЗ-ПР16-12</t>
  </si>
  <si>
    <t>ВЗ-ПР16-12 - Взрывозащищенный резьбовой переходник ВЗОР, наружная резьба М16х1,5-6g, внутренняя резьба М12х1,5-6H, никелированная латунь, Ex d IIC Gb U / Ex e IIС Gb U / Ex ia IIC Ga U, IP66 / IP68</t>
  </si>
  <si>
    <t>ВЗ-ПР16-20</t>
  </si>
  <si>
    <t>ВЗ-ПР16-20 - Взрывозащищенный резьбовой переходник ВЗОР, наружная резьба М16х1,5-6g, внутренняя резьба М20х1,5-6H, никелированная латунь, Ex d IIC Gb U / Ex e IIС Gb U / Ex ia IIC Ga U, IP66 / IP68</t>
  </si>
  <si>
    <t>ВЗ-ПР16-25</t>
  </si>
  <si>
    <t>ВЗ-ПР16-25 - Взрывозащищенный резьбовой переходник ВЗОР, наружная резьба М16х1,5-6g, внутренняя резьба М25х1,5-6H, никелированная латунь, Ex d IIC Gb U / Ex e IIС Gb U / Ex ia IIC Ga U, IP66 / IP68</t>
  </si>
  <si>
    <t>ВЗ-ПР16-1/4</t>
  </si>
  <si>
    <t>ВЗ-ПР16-1/4 - Взрывозащищенный резьбовой переходник ВЗОР, наружная резьба М16х1,5-6g, внутренняя резьба 1/4" NPT, никелированная латунь, Ex d IIC Gb U / Ex e IIС Gb U / Ex ia IIC Ga U, IP66 / IP68</t>
  </si>
  <si>
    <t>ВЗ-ПР16-3/8</t>
  </si>
  <si>
    <t>ВЗ-ПР16-3/8 - Взрывозащищенный резьбовой переходник ВЗОР, наружная резьба М16х1,5-6g, внутренняя резьба 3/8" NPT, никелированная латунь, Ex d IIC Gb U / Ex e IIС Gb U / Ex ia IIC Ga U, IP66 / IP68</t>
  </si>
  <si>
    <t>ВЗ-ПР16-1/2</t>
  </si>
  <si>
    <t>ВЗ-ПР16-1/2 - Взрывозащищенный резьбовой переходник ВЗОР, наружная резьба М16х1,5-6g, внутренняя резьба 1/2" NPT, никелированная латунь, Ex d IIC Gb U / Ex e IIС Gb U / Ex ia IIC Ga U, IP66 / IP68</t>
  </si>
  <si>
    <t>ВЗ-ПР16-3/4</t>
  </si>
  <si>
    <t>ВЗ-ПР16-3/4 - Взрывозащищенный резьбовой переходник ВЗОР, наружная резьба М16х1,5-6g, внутренняя резьба 3/4" NPT, никелированная латунь, Ex d IIC Gb U / Ex e IIС Gb U / Ex ia IIC Ga U, IP66 / IP68</t>
  </si>
  <si>
    <t>ВЗ-ПР16-1/4G</t>
  </si>
  <si>
    <t>ВЗ-ПР16-1/4G - Взрывозащищенный резьбовой переходник ВЗОР, наружная резьба М16х1,5-6g, внутренняя резьба G 1/4", никелированная латунь, Ex d IIC Gb U / Ex e IIС Gb U / Ex ia IIC Ga U, IP66 / IP68</t>
  </si>
  <si>
    <t>ВЗ-ПР16-3/8G</t>
  </si>
  <si>
    <t>ВЗ-ПР16-3/8G - Взрывозащищенный резьбовой переходник ВЗОР, наружная резьба М16х1,5-6g, внутренняя резьба G 3/8", никелированная латунь, Ex d IIC Gb U / Ex e IIС Gb U / Ex ia IIC Ga U, IP66 / IP68</t>
  </si>
  <si>
    <t>ВЗ-ПР16-1/2G</t>
  </si>
  <si>
    <t>ВЗ-ПР16-1/2G - Взрывозащищенный резьбовой переходник ВЗОР, наружная резьба М16х1,5-6g, внутренняя резьба G 1/2", никелированная латунь, Ex d IIC Gb U / Ex e IIС Gb U / Ex ia IIC Ga U, IP66 / IP68</t>
  </si>
  <si>
    <t>ВЗ-ПР16-3/4G</t>
  </si>
  <si>
    <t>ВЗ-ПР16-3/4G - Взрывозащищенный резьбовой переходник ВЗОР, наружная резьба М16х1,5-6g, внутренняя резьба G 3/4", никелированная латунь, Ex d IIC Gb U / Ex e IIС Gb U / Ex ia IIC Ga U, IP66 / IP68</t>
  </si>
  <si>
    <t>ВЗ-ПР20-12</t>
  </si>
  <si>
    <t>ВЗ-ПР20-12 - Взрывозащищенный резьбовой переходник ВЗОР, наружная резьба М20х1,5-6g, внутренняя резьба М12х1,5-6H, никелированная латунь, Ex d IIC Gb U / Ex e IIС Gb U / Ex ia IIC Ga U, IP66 / IP68</t>
  </si>
  <si>
    <t>ВЗ-ПР20-16</t>
  </si>
  <si>
    <t>ВЗ-ПР20-16 - Взрывозащищенный резьбовой переходник ВЗОР, наружная резьба М20х1,5-6g, внутренняя резьба М16х1,5-6H, никелированная латунь, Ex d IIC Gb U / Ex e IIС Gb U / Ex ia IIC Ga U, IP66 / IP68</t>
  </si>
  <si>
    <t>ВЗ-ПР20-25</t>
  </si>
  <si>
    <t>ВЗ-ПР20-25 - Взрывозащищенный резьбовой переходник ВЗОР, наружная резьба М20х1,5-6g, внутренняя резьба М25х1,5-6H, никелированная латунь, Ex d IIC Gb U / Ex e IIС Gb U / Ex ia IIC Ga U, IP66 / IP68</t>
  </si>
  <si>
    <t>ВЗ-ПР20-32</t>
  </si>
  <si>
    <t>ВЗ-ПР20-32 - Взрывозащищенный резьбовой переходник ВЗОР, наружная резьба М20х1,5-6g, внутренняя резьба М32х1,5-6H, никелированная латунь, Ex d IIC Gb U / Ex e IIС Gb U / Ex ia IIC Ga U, IP66 / IP68</t>
  </si>
  <si>
    <t xml:space="preserve">ВЗ-ПР20-1/4 </t>
  </si>
  <si>
    <t>ВЗ-ПР20-1/4 - Взрывозащищенный резьбовой переходник ВЗОР, наружная резьба М20х1,5-6g, внутренняя резьба 1/4" NPT, никелированная латунь, Ex d IIC Gb U / Ex e IIС Gb U / Ex ia IIC Ga U, IP66 / IP68</t>
  </si>
  <si>
    <t xml:space="preserve">ВЗ-ПР20-3/8 </t>
  </si>
  <si>
    <t>ВЗ-ПР20-3/8 - Взрывозащищенный резьбовой переходник ВЗОР, наружная резьба М20х1,5-6g, внутренняя резьба 3/8" NPT, никелированная латунь, Ex d IIC Gb U / Ex e IIС Gb U / Ex ia IIC Ga U, IP66 / IP68</t>
  </si>
  <si>
    <t xml:space="preserve">ВЗ-ПР20-1/2 </t>
  </si>
  <si>
    <t>ВЗ-ПР20-1/2 - Взрывозащищенный резьбовой переходник ВЗОР, наружная резьба М20х1,5-6g, внутренняя резьба 1/2" NPT, никелированная латунь, Ex d IIC Gb U / Ex e IIС Gb U / Ex ia IIC Ga U, IP66 / IP68</t>
  </si>
  <si>
    <t xml:space="preserve">ВЗ-ПР20-3/4 </t>
  </si>
  <si>
    <t>ВЗ-ПР20-3/4 - Взрывозащищенный резьбовой переходник ВЗОР, наружная резьба М20х1,5-6g, внутренняя резьба 3/4" NPT, никелированная латунь, Ex d IIC Gb U / Ex e IIС Gb U / Ex ia IIC Ga U, IP66 / IP68</t>
  </si>
  <si>
    <t xml:space="preserve">  ВЗ-ПР20-1 - Взрывозащищенный резьбовой переходник ВЗОР, наружная резьба М20х1,5-6g, внутренняя резьба 1" NPT, никелированная латунь, Ex d IIC Gb U / Ex e IIС Gb U / Ex ia IIC Ga U, IP66 / IP68</t>
  </si>
  <si>
    <t>ВЗ-ПР20-1/4G</t>
  </si>
  <si>
    <t>ВЗ-ПР20-1/4G - Взрывозащищенный резьбовой переходник ВЗОР, наружная резьба М20х1,5-6g, внутренняя резьба G 1/4", никелированная латунь, Ex d IIC Gb U / Ex e IIС Gb U / Ex ia IIC Ga U, IP66 / IP68</t>
  </si>
  <si>
    <t>ВЗ-ПР20-3/8G</t>
  </si>
  <si>
    <t>ВЗ-ПР20-3/8G - Взрывозащищенный резьбовой переходник ВЗОР, наружная резьба М20х1,5-6g, внутренняя резьба G 3/8", никелированная латунь, Ex d IIC Gb U / Ex e IIС Gb U / Ex ia IIC Ga U, IP66 / IP68</t>
  </si>
  <si>
    <t>ВЗ-ПР20-1/2G</t>
  </si>
  <si>
    <t>ВЗ-ПР20-1/2G - Взрывозащищенный резьбовой переходник ВЗОР, наружная резьба М20х1,5-6g, внутренняя резьба G 1/2", никелированная латунь, Ex d IIC Gb U / Ex e IIС Gb U / Ex ia IIC Ga U, IP66 / IP68</t>
  </si>
  <si>
    <t>ВЗ-ПР20-3/4G</t>
  </si>
  <si>
    <t>ВЗ-ПР20-3/4G - Взрывозащищенный резьбовой переходник ВЗОР, наружная резьба М20х1,5-6g, внутренняя резьба G 3/4", никелированная латунь, Ex d IIC Gb U / Ex e IIС Gb U / Ex ia IIC Ga U, IP66 / IP68</t>
  </si>
  <si>
    <t xml:space="preserve">ВЗ-ПР20-1G </t>
  </si>
  <si>
    <t>ВЗ-ПР20-1G - Взрывозащищенный резьбовой переходник ВЗОР, наружная резьба М20х1,5-6g, внутренняя резьба G 1", никелированная латунь, Ex d IIC Gb U / Ex e IIС Gb U / Ex ia IIC Ga U, IP66 / IP68</t>
  </si>
  <si>
    <t xml:space="preserve">ВЗ-ПР25-16 </t>
  </si>
  <si>
    <t>ВЗ-ПР25-16 - Взрывозащищенный резьбовой переходник ВЗОР, наружная резьба М25х1,5-6g, внутренняя резьба М16х1,5-6H, никелированная латунь, Ex d IIC Gb U / Ex e IIС Gb U / Ex ia IIC Ga U, IP66 / IP68</t>
  </si>
  <si>
    <t xml:space="preserve">ВЗ-ПР25-20 </t>
  </si>
  <si>
    <t>ВЗ-ПР25-20 - Взрывозащищенный резьбовой переходник ВЗОР, наружная резьба М25х1,5-6g, внутренняя резьба М20х1,5-6H, никелированная латунь, Ex d IIC Gb U / Ex e IIС Gb U / Ex ia IIC Ga U, IP66 / IP68</t>
  </si>
  <si>
    <t xml:space="preserve">ВЗ-ПР25-32 </t>
  </si>
  <si>
    <t>ВЗ-ПР25-32 - Взрывозащищенный резьбовой переходник ВЗОР, наружная резьба М25х1,5-6g, внутренняя резьба М32х1,5-6H, никелированная латунь, Ex d IIC Gb U / Ex e IIС Gb U / Ex ia IIC Ga U, IP66 / IP68</t>
  </si>
  <si>
    <t xml:space="preserve">ВЗ-ПР25-40 </t>
  </si>
  <si>
    <t>ВЗ-ПР25-40 - Взрывозащищенный резьбовой переходник ВЗОР, наружная резьба М25х1,5-6g, внутренняя резьба М40х1,5-6H, никелированная латунь, Ex d IIC Gb U / Ex e IIС Gb U / Ex ia IIC Ga U, IP66 / IP68</t>
  </si>
  <si>
    <t xml:space="preserve">ВЗ-ПР25-3/8 </t>
  </si>
  <si>
    <t>ВЗ-ПР25-3/8 - Взрывозащищенный резьбовой переходник ВЗОР, наружная резьба М25х1,5-6g, внутренняя резьба 3/8" NPT, никелированная латунь, Ex d IIC Gb U / Ex e IIС Gb U / Ex ia IIC Ga U, IP66 / IP68</t>
  </si>
  <si>
    <t xml:space="preserve">ВЗ-ПР25-1/2 </t>
  </si>
  <si>
    <t>ВЗ-ПР25-1/2 - Взрывозащищенный резьбовой переходник ВЗОР, наружная резьба М25х1,5-6g, внутренняя резьба 1/2" NPT, никелированная латунь, Ex d IIC Gb U / Ex e IIС Gb U / Ex ia IIC Ga U, IP66 / IP68</t>
  </si>
  <si>
    <t xml:space="preserve">ВЗ-ПР25-3/4 </t>
  </si>
  <si>
    <t>ВЗ-ПР25-3/4 - Взрывозащищенный резьбовой переходник ВЗОР, наружная резьба М25х1,5-6g, внутренняя резьба 3/4" NPT, никелированная латунь, Ex d IIC Gb U / Ex e IIС Gb U / Ex ia IIC Ga U, IP66 / IP68</t>
  </si>
  <si>
    <t xml:space="preserve">  ВЗ-ПР25-1 - Взрывозащищенный резьбовой переходник ВЗОР, наружная резьба М25х1,5-6g, внутренняя резьба 1" NPT, никелированная латунь, Ex d IIC Gb U / Ex e IIС Gb U / Ex ia IIC Ga U, IP66 / IP68</t>
  </si>
  <si>
    <t xml:space="preserve">  ВЗ-ПР25-1.1/4 - Взрывозащищенный резьбовой переходник ВЗОР, наружная резьба М25х1,5-6g, внутренняя резьба 1.1/4" NPT, никелированная латунь, Ex d IIC Gb U / Ex e IIС Gb U / Ex ia IIC Ga U, IP66 / IP68</t>
  </si>
  <si>
    <t>ВЗ-ПР25-3/8G</t>
  </si>
  <si>
    <t>ВЗ-ПР25-3/8G - Взрывозащищенный резьбовой переходник ВЗОР, наружная резьба М25х1,5-6g, внутренняя резьба G 3/8", никелированная латунь, Ex d IIC Gb U / Ex e IIС Gb U / Ex ia IIC Ga U, IP66 / IP68</t>
  </si>
  <si>
    <t>ВЗ-ПР25-1/2G</t>
  </si>
  <si>
    <t>ВЗ-ПР25-1/2G - Взрывозащищенный резьбовой переходник ВЗОР, наружная резьба М25х1,5-6g, внутренняя резьба G 1/2", никелированная латунь, Ex d IIC Gb U / Ex e IIС Gb U / Ex ia IIC Ga U, IP66 / IP68</t>
  </si>
  <si>
    <t>ВЗ-ПР25-3/4G</t>
  </si>
  <si>
    <t>ВЗ-ПР25-3/4G - Взрывозащищенный резьбовой переходник ВЗОР, наружная резьба М25х1,5-6g, внутренняя резьба G 3/4", никелированная латунь, Ex d IIC Gb U / Ex e IIС Gb U / Ex ia IIC Ga U, IP66 / IP68</t>
  </si>
  <si>
    <t>ВЗ-ПР25-1G</t>
  </si>
  <si>
    <t>ВЗ-ПР25-1G - Взрывозащищенный резьбовой переходник ВЗОР, наружная резьба М25х1,5-6g, внутренняя резьба G 1", никелированная латунь, Ex d IIC Gb U / Ex e IIС Gb U / Ex ia IIC Ga U, IP66 / IP68</t>
  </si>
  <si>
    <t>ВЗ-ПР25-1.1/4G</t>
  </si>
  <si>
    <t>ВЗ-ПР25-1.1/4G - Взрывозащищенный резьбовой переходник ВЗОР, наружная резьба М25х1,5-6g, внутренняя резьба G 1.1/4", никелированная латунь, Ex d IIC Gb U / Ex e IIС Gb U / Ex ia IIC Ga U, IP66 / IP68</t>
  </si>
  <si>
    <t>ВЗ-ПР32-20</t>
  </si>
  <si>
    <t>ВЗ-ПР32-20 - Взрывозащищенный резьбовой переходник ВЗОР, наружная резьба М32х1,5-6g, внутренняя резьба М20х1,5-6H, никелированная латунь, Ex d IIC Gb U / Ex e IIС Gb U / Ex ia IIC Ga U, IP66 / IP68</t>
  </si>
  <si>
    <t>ВЗ-ПР32-25</t>
  </si>
  <si>
    <t>ВЗ-ПР32-25 - Взрывозащищенный резьбовой переходник ВЗОР, наружная резьба М32х1,5-6g, внутренняя резьба М25х1,5-6H, никелированная латунь, Ex d IIC Gb U / Ex e IIС Gb U / Ex ia IIC Ga U, IP66 / IP68</t>
  </si>
  <si>
    <t>ВЗ-ПР32-40</t>
  </si>
  <si>
    <t>ВЗ-ПР32-40 - Взрывозащищенный резьбовой переходник ВЗОР, наружная резьба М32х1,5-6g, внутренняя резьба М40х1,5-6H, никелированная латунь, Ex d IIC Gb U / Ex e IIС Gb U / Ex ia IIC Ga U, IP66 / IP68</t>
  </si>
  <si>
    <t>ВЗ-ПР32-50</t>
  </si>
  <si>
    <t>ВЗ-ПР32-50 - Взрывозащищенный резьбовой переходник ВЗОР, наружная резьба М32х1,5-6g, внутренняя резьба М50х1,5-6H, никелированная латунь, Ex d IIC Gb U / Ex e IIС Gb U / Ex ia IIC Ga U, IP66 / IP68</t>
  </si>
  <si>
    <t xml:space="preserve">ВЗ-ПР32-1/2 </t>
  </si>
  <si>
    <t>ВЗ-ПР32-1/2 - Взрывозащищенный резьбовой переходник ВЗОР, наружная резьба М32х1,5-6g, внутренняя резьба 1/2" NPT, никелированная латунь, Ex d IIC Gb U / Ex e IIС Gb U / Ex ia IIC Ga U, IP66 / IP68</t>
  </si>
  <si>
    <t xml:space="preserve">ВЗ-ПР32-3/4 </t>
  </si>
  <si>
    <t>ВЗ-ПР32-3/4 - Взрывозащищенный резьбовой переходник ВЗОР, наружная резьба М32х1,5-6g, внутренняя резьба 3/4" NPT, никелированная латунь, Ex d IIC Gb U / Ex e IIС Gb U / Ex ia IIC Ga U, IP66 / IP68</t>
  </si>
  <si>
    <t xml:space="preserve">  ВЗ-ПР32-1 - Взрывозащищенный резьбовой переходник ВЗОР, наружная резьба М32х1,5-6g, внутренняя резьба 1" NPT, никелированная латунь, Ex d IIC Gb U / Ex e IIС Gb U / Ex ia IIC Ga U, IP66 / IP68</t>
  </si>
  <si>
    <t xml:space="preserve">  ВЗ-ПР32-1.1/4 - Взрывозащищенный резьбовой переходник ВЗОР, наружная резьба М32х1,5-6g, внутренняя резьба 1.1/4" NPT, никелированная латунь, Ex d IIC Gb U / Ex e IIС Gb U / Ex ia IIC Ga U, IP66 / IP68</t>
  </si>
  <si>
    <t xml:space="preserve">  ВЗ-ПР32-1.1/2 - Взрывозащищенный резьбовой переходник ВЗОР, наружная резьба М32х1,5-6g, внутренняя резьба 1.1/2" NPT, никелированная латунь, Ex d IIC Gb U / Ex e IIС Gb U / Ex ia IIC Ga U, IP66 / IP68</t>
  </si>
  <si>
    <t>ВЗ-ПР32-1/2G</t>
  </si>
  <si>
    <t>ВЗ-ПР32-1/2G - Взрывозащищенный резьбовой переходник ВЗОР, наружная резьба М32х1,5-6g, внутренняя резьба G 1/2", никелированная латунь, Ex d IIC Gb U / Ex e IIС Gb U / Ex ia IIC Ga U, IP66 / IP68</t>
  </si>
  <si>
    <t>ВЗ-ПР32-3/4G</t>
  </si>
  <si>
    <t>ВЗ-ПР32-3/4G - Взрывозащищенный резьбовой переходник ВЗОР, наружная резьба М32х1,5-6g, внутренняя резьба G 3/4", никелированная латунь, Ex d IIC Gb U / Ex e IIС Gb U / Ex ia IIC Ga U, IP66 / IP68</t>
  </si>
  <si>
    <t>ВЗ-ПР32-1G</t>
  </si>
  <si>
    <t>ВЗ-ПР32-1G - Взрывозащищенный резьбовой переходник ВЗОР, наружная резьба М32х1,5-6g, внутренняя резьба G 1", никелированная латунь, Ex d IIC Gb U / Ex e IIС Gb U / Ex ia IIC Ga U, IP66 / IP68</t>
  </si>
  <si>
    <t>ВЗ-ПР32-1.1/4G</t>
  </si>
  <si>
    <t>ВЗ-ПР32-1.1/4G - Взрывозащищенный резьбовой переходник ВЗОР, наружная резьба М32х1,5-6g, внутренняя резьба G 1.1/4", никелированная латунь, Ex d IIC Gb U / Ex e IIС Gb U / Ex ia IIC Ga U, IP66 / IP68</t>
  </si>
  <si>
    <t>ВЗ-ПР32-1.1/2G</t>
  </si>
  <si>
    <t>ВЗ-ПР32-1.1/2G - Взрывозащищенный резьбовой переходник ВЗОР, наружная резьба М32х1,5-6g, внутренняя резьба G 1.1/2", никелированная латунь, Ex d IIC Gb U / Ex e IIС Gb U / Ex ia IIC Ga U, IP66 / IP68</t>
  </si>
  <si>
    <t>ВЗ-ПР40-25</t>
  </si>
  <si>
    <t>ВЗ-ПР40-25 - Взрывозащищенный резьбовой переходник ВЗОР, наружная резьба М40х1,5-6g, внутренняя резьба М25х1,5-6H, никелированная латунь, Ex d IIC Gb U / Ex e IIС Gb U / Ex ia IIC Ga U, IP66 / IP68</t>
  </si>
  <si>
    <t>ВЗ-ПР40-32</t>
  </si>
  <si>
    <t>ВЗ-ПР40-32 - Взрывозащищенный резьбовой переходник ВЗОР, наружная резьба М40х1,5-6g, внутренняя резьба М32х1,5-6H, никелированная латунь, Ex d IIC Gb U / Ex e IIС Gb U / Ex ia IIC Ga U, IP66 / IP68</t>
  </si>
  <si>
    <t>ВЗ-ПР40-50</t>
  </si>
  <si>
    <t>ВЗ-ПР40-50 - Взрывозащищенный резьбовой переходник ВЗОР, наружная резьба М40х1,5-6g, внутренняя резьба М50х1,5-6H, никелированная латунь, Ex d IIC Gb U / Ex e IIС Gb U / Ex ia IIC Ga U, IP66 / IP68</t>
  </si>
  <si>
    <t>ВЗ-ПР40-63</t>
  </si>
  <si>
    <t>ВЗ-ПР40-63 - Взрывозащищенный резьбовой переходник ВЗОР, наружная резьба М40х1,5-6g, внутренняя резьба М63х1,5-6H, никелированная латунь, Ex d IIC Gb U / Ex e IIС Gb U / Ex ia IIC Ga U, IP66 / IP68</t>
  </si>
  <si>
    <t xml:space="preserve">ВЗ-ПР40-3/4 </t>
  </si>
  <si>
    <t>ВЗ-ПР40-3/4 - Взрывозащищенный резьбовой переходник ВЗОР, наружная резьба М40х1,5-6g, внутренняя резьба 3/4" NPT, никелированная латунь, Ex d IIC Gb U / Ex e IIС Gb U / Ex ia IIC Ga U, IP66 / IP68</t>
  </si>
  <si>
    <t xml:space="preserve">  ВЗ-ПР40-1 - Взрывозащищенный резьбовой переходник ВЗОР, наружная резьба М40х1,5-6g, внутренняя резьба 1" NPT, никелированная латунь, Ex d IIC Gb U / Ex e IIС Gb U / Ex ia IIC Ga U, IP66 / IP68</t>
  </si>
  <si>
    <t xml:space="preserve">  ВЗ-ПР40-1.1/4 - Взрывозащищенный резьбовой переходник ВЗОР, наружная резьба М40х1,5-6g, внутренняя резьба 1.1/4" NPT, никелированная латунь, Ex d IIC Gb U / Ex e IIС Gb U / Ex ia IIC Ga U, IP66 / IP68</t>
  </si>
  <si>
    <t xml:space="preserve">  ВЗ-ПР40-1.1/2 - Взрывозащищенный резьбовой переходник ВЗОР, наружная резьба М40х1,5-6g, внутренняя резьба 1.1/2" NPT, никелированная латунь, Ex d IIC Gb U / Ex e IIС Gb U / Ex ia IIC Ga U, IP66 / IP68</t>
  </si>
  <si>
    <t xml:space="preserve">  ВЗ-ПР40-2 - Взрывозащищенный резьбовой переходник ВЗОР, наружная резьба М40х1,5-6g, внутренняя резьба 2" NPT, никелированная латунь, Ex d IIC Gb U / Ex e IIС Gb U / Ex ia IIC Ga U, IP66 / IP68</t>
  </si>
  <si>
    <t>ВЗ-ПР40-3/4G</t>
  </si>
  <si>
    <t>ВЗ-ПР40-3/4G - Взрывозащищенный резьбовой переходник ВЗОР, наружная резьба М40х1,5-6g, внутренняя резьба G 3/4", никелированная латунь, Ex d IIC Gb U / Ex e IIС Gb U / Ex ia IIC Ga U, IP66 / IP68</t>
  </si>
  <si>
    <t>ВЗ-ПР40-1G</t>
  </si>
  <si>
    <t>ВЗ-ПР40-1G - Взрывозащищенный резьбовой переходник ВЗОР, наружная резьба М40х1,5-6g, внутренняя резьба G 1", никелированная латунь, Ex d IIC Gb U / Ex e IIС Gb U / Ex ia IIC Ga U, IP66 / IP68</t>
  </si>
  <si>
    <t>ВЗ-ПР40-1.1/4G</t>
  </si>
  <si>
    <t>ВЗ-ПР40-1.1/4G - Взрывозащищенный резьбовой переходник ВЗОР, наружная резьба М40х1,5-6g, внутренняя резьба G 1.1/4", никелированная латунь, Ex d IIC Gb U / Ex e IIС Gb U / Ex ia IIC Ga U, IP66 / IP68</t>
  </si>
  <si>
    <t>ВЗ-ПР40-1.1/2G</t>
  </si>
  <si>
    <t>ВЗ-ПР40-1.1/2G - Взрывозащищенный резьбовой переходник ВЗОР, наружная резьба М40х1,5-6g, внутренняя резьба G 1.1/2", никелированная латунь, Ex d IIC Gb U / Ex e IIС Gb U / Ex ia IIC Ga U, IP66 / IP68</t>
  </si>
  <si>
    <t>ВЗ-ПР40-2G</t>
  </si>
  <si>
    <t>ВЗ-ПР40-2G - Взрывозащищенный резьбовой переходник ВЗОР, наружная резьба М40х1,5-6g, внутренняя резьба G 2", никелированная латунь, Ex d IIC Gb U / Ex e IIС Gb U / Ex ia IIC Ga U, IP66 / IP68</t>
  </si>
  <si>
    <t>ВЗ-ПР50-32</t>
  </si>
  <si>
    <t>ВЗ-ПР50-32 - Взрывозащищенный резьбовой переходник ВЗОР, наружная резьба М50х1,5-6g, внутренняя резьба М32х1,5-6H, никелированная латунь, Ex d IIC Gb U / Ex e IIС Gb U / Ex ia IIC Ga U, IP66 / IP68</t>
  </si>
  <si>
    <t>ВЗ-ПР50-40</t>
  </si>
  <si>
    <t>ВЗ-ПР50-40 - Взрывозащищенный резьбовой переходник ВЗОР, наружная резьба М50х1,5-6g, внутренняя резьба М50х1,5-6H, никелированная латунь, Ex d IIC Gb U / Ex e IIС Gb U / Ex ia IIC Ga U, IP66 / IP68</t>
  </si>
  <si>
    <t>ВЗ-ПР50-63</t>
  </si>
  <si>
    <t>ВЗ-ПР50-63 - Взрывозащищенный резьбовой переходник ВЗОР, наружная резьба М50х1,5-6g, внутренняя резьба М63х1,5-6H, никелированная латунь, Ex d IIC Gb U / Ex e IIС Gb U / Ex ia IIC Ga U, IP66 / IP68</t>
  </si>
  <si>
    <t xml:space="preserve">  ВЗ-ПР50-1 - Взрывозащищенный резьбовой переходник ВЗОР, наружная резьба М50х1,5-6g, внутренняя резьба 1" NPT, никелированная латунь, Ex d IIC Gb U / Ex e IIС Gb U / Ex ia IIC Ga U, IP66 / IP68</t>
  </si>
  <si>
    <t xml:space="preserve">  ВЗ-ПР50-1.1/4 - Взрывозащищенный резьбовой переходник ВЗОР, наружная резьба М50х1,5-6g, внутренняя резьба 1.1/4" NPT, никелированная латунь, Ex d IIC Gb U / Ex e IIС Gb U / Ex ia IIC Ga U, IP66 / IP68</t>
  </si>
  <si>
    <t xml:space="preserve">  ВЗ-ПР50-1.1/2 - Взрывозащищенный резьбовой переходник ВЗОР, наружная резьба М50х1,5-6g, внутренняя резьба 1.1/2" NPT, никелированная латунь, Ex d IIC Gb U / Ex e IIС Gb U / Ex ia IIC Ga U, IP66 / IP68</t>
  </si>
  <si>
    <t xml:space="preserve">  ВЗ-ПР50-2 - Взрывозащищенный резьбовой переходник ВЗОР, наружная резьба М50х1,5-6g, внутренняя резьба 2" NPT, никелированная латунь, Ex d IIC Gb U / Ex e IIС Gb U / Ex ia IIC Ga U, IP66 / IP68</t>
  </si>
  <si>
    <t>ВЗ-ПР50-1G</t>
  </si>
  <si>
    <t>ВЗ-ПР50-1G - Взрывозащищенный резьбовой переходник ВЗОР, наружная резьба М50х1,5-6g, внутренняя резьба G 1", никелированная латунь, Ex d IIC Gb U / Ex e IIС Gb U / Ex ia IIC Ga U, IP66 / IP68</t>
  </si>
  <si>
    <t>ВЗ-ПР50-1.1/4G</t>
  </si>
  <si>
    <t>ВЗ-ПР50-1.1/4G - Взрывозащищенный резьбовой переходник ВЗОР, наружная резьба М50х1,5-6g, внутренняя резьба G 1.1/4", никелированная латунь, Ex d IIC Gb U / Ex e IIС Gb U / Ex ia IIC Ga U, IP66 / IP68</t>
  </si>
  <si>
    <t>ВЗ-ПР50-1.1/2G</t>
  </si>
  <si>
    <t>ВЗ-ПР50-1.1/2G - Взрывозащищенный резьбовой переходник ВЗОР, наружная резьба М50х1,5-6g, внутренняя резьба G 1.1/2", никелированная латунь, Ex d IIC Gb U / Ex e IIС Gb U / Ex ia IIC Ga U, IP66 / IP68</t>
  </si>
  <si>
    <t>ВЗ-ПР50-2G</t>
  </si>
  <si>
    <t>ВЗ-ПР50-2G - Взрывозащищенный резьбовой переходник ВЗОР, наружная резьба М50х1,5-6g, внутренняя резьба G 2", никелированная латунь, Ex d IIC Gb U / Ex e IIС Gb U / Ex ia IIC Ga U, IP66 / IP68</t>
  </si>
  <si>
    <t>ВЗ-ПР1/4-3/8</t>
  </si>
  <si>
    <t>ВЗ-ПР1/4-3/8 - Взрывозащищенный резьбовой переходник ВЗОР, наружная резьба 1/4" NPT, внутренняя резьба 3/8" NPT, никелированная латунь, Ex d IIC Gb U / Ex e IIС Gb U / Ex ia IIC Ga U, IP66 / IP68</t>
  </si>
  <si>
    <t>ВЗ-ПР1/4-1/2</t>
  </si>
  <si>
    <t>ВЗ-ПР1/4-1/2 - Взрывозащищенный резьбовой переходник ВЗОР, наружная резьба 1/4" NPT, внутренняя резьба 1/2" NPT, никелированная латунь, Ex d IIC Gb U / Ex e IIС Gb U / Ex ia IIC Ga U, IP66 / IP68</t>
  </si>
  <si>
    <t>ВЗ-ПР1/4-1/4G</t>
  </si>
  <si>
    <t>ВЗ-ПР1/4-1/4G - Взрывозащищенный резьбовой переходник ВЗОР, наружная резьба 1/4" NPT, внутренняя резьба G 1/4", никелированная латунь, Ex d IIC Gb U / Ex e IIС Gb U / Ex ia IIC Ga U, IP66 / IP68</t>
  </si>
  <si>
    <t>ВЗ-ПР1/4-3/8G</t>
  </si>
  <si>
    <t>ВЗ-ПР1/4-3/8G - Взрывозащищенный резьбовой переходник ВЗОР, наружная резьба 1/4" NPT, внутренняя резьба G 3/8", никелированная латунь, Ex d IIC Gb U / Ex e IIС Gb U / Ex ia IIC Ga U, IP66 / IP68</t>
  </si>
  <si>
    <t>ВЗ-ПР1/4-1/2G</t>
  </si>
  <si>
    <t>ВЗ-ПР1/4-1/2G - Взрывозащищенный резьбовой переходник ВЗОР, наружная резьба 1/4" NPT, внутренняя резьба G 1/2", никелированная латунь, Ex d IIC Gb U / Ex e IIС Gb U / Ex ia IIC Ga U, IP66 / IP68</t>
  </si>
  <si>
    <t xml:space="preserve">ВЗ-ПР1/4-12 </t>
  </si>
  <si>
    <t>ВЗ-ПР1/4-12 - Взрывозащищенный резьбовой переходник ВЗОР, наружная резьба 1/4" NPT, внутренняя резьба М12х1,5-6H", никелированная латунь, Ex d IIC Gb U / Ex e IIС Gb U / Ex ia IIC Ga U, IP66 / IP68</t>
  </si>
  <si>
    <t xml:space="preserve">ВЗ-ПР1/4-16 </t>
  </si>
  <si>
    <t>ВЗ-ПР1/4-16 - Взрывозащищенный резьбовой переходник ВЗОР, наружная резьба 1/4" NPT, внутренняя резьба М16х1,5-6H", никелированная латунь, Ex d IIC Gb U / Ex e IIС Gb U / Ex ia IIC Ga U, IP66 / IP68</t>
  </si>
  <si>
    <t xml:space="preserve">ВЗ-ПР1/4-20 </t>
  </si>
  <si>
    <t>ВЗ-ПР1/4-20 - Взрывозащищенный резьбовой переходник ВЗОР, наружная резьба 1/4" NPT, внутренняя резьба М20х1,5-6H", никелированная латунь, Ex d IIC Gb U / Ex e IIС Gb U / Ex ia IIC Ga U, IP66 / IP68</t>
  </si>
  <si>
    <t>ВЗ-ПР3/8-1/4</t>
  </si>
  <si>
    <t>ВЗ-ПР3/8-1/4 - Взрывозащищенный резьбовой переходник ВЗОР, наружная резьба 1/4" NPT, внутренняя резьба 1/4" NPT, никелированная латунь, Ex d IIC Gb U / Ex e IIС Gb U / Ex ia IIC Ga U, IP66 / IP68</t>
  </si>
  <si>
    <t>ВЗ-ПР3/8-1/2</t>
  </si>
  <si>
    <t>ВЗ-ПР3/8-1/2 - Взрывозащищенный резьбовой переходник ВЗОР, наружная резьба 3/8" NPT, внутренняя резьба 1/2" NPT, никелированная латунь, Ex d IIC Gb U / Ex e IIС Gb U / Ex ia IIC Ga U, IP66 / IP68</t>
  </si>
  <si>
    <t>ВЗ-ПР3/8-3/4</t>
  </si>
  <si>
    <t>ВЗ-ПР3/8-3/4 - Взрывозащищенный резьбовой переходник ВЗОР, наружная резьба 3/8" NPT, внутренняя резьба 3/4" NPT, никелированная латунь, Ex d IIC Gb U / Ex e IIС Gb U / Ex ia IIC Ga U, IP66 / IP68</t>
  </si>
  <si>
    <t>ВЗ-ПР3/8-1/4G</t>
  </si>
  <si>
    <t>ВЗ-ПР3/8-1/4G - Взрывозащищенный резьбовой переходник ВЗОР, наружная резьба 3/8" NPT, внутренняя резьба G 1/4", никелированная латунь, Ex d IIC Gb U / Ex e IIС Gb U / Ex ia IIC Ga U, IP66 / IP68</t>
  </si>
  <si>
    <t>ВЗ-ПР3/8-3/8G</t>
  </si>
  <si>
    <t>ВЗ-ПР3/8-3/8G - Взрывозащищенный резьбовой переходник ВЗОР, наружная резьба 3/8" NPT, внутренняя резьба G 3/8", никелированная латунь, Ex d IIC Gb U / Ex e IIС Gb U / Ex ia IIC Ga U, IP66 / IP68</t>
  </si>
  <si>
    <t>ВЗ-ПР3/8-1/2G</t>
  </si>
  <si>
    <t>ВЗ-ПР3/8-1/2G - Взрывозащищенный резьбовой переходник ВЗОР, наружная резьба 3/8" NPT, внутренняя резьба G 1/2", никелированная латунь, Ex d IIC Gb U / Ex e IIС Gb U / Ex ia IIC Ga U, IP66 / IP68</t>
  </si>
  <si>
    <t>ВЗ-ПР3/8-3/4G</t>
  </si>
  <si>
    <t>ВЗ-ПР3/8-3/4G - Взрывозащищенный резьбовой переходник ВЗОР, наружная резьба 3/8" NPT, внутренняя резьба G 3/4", никелированная латунь, Ex d IIC Gb U / Ex e IIС Gb U / Ex ia IIC Ga U, IP66 / IP68</t>
  </si>
  <si>
    <t xml:space="preserve">ВЗ-ПР3/8-12 </t>
  </si>
  <si>
    <t>ВЗ-ПР3/8-12 - Взрывозащищенный резьбовой переходник ВЗОР, наружная резьба 3/8" NPT, внутренняя резьба М12х1,5-6H", никелированная латунь, Ex d IIC Gb U / Ex e IIС Gb U / Ex ia IIC Ga U, IP66 / IP68</t>
  </si>
  <si>
    <t xml:space="preserve">ВЗ-ПР3/8-16 </t>
  </si>
  <si>
    <t>ВЗ-ПР3/8-16 - Взрывозащищенный резьбовой переходник ВЗОР, наружная резьба 3/8" NPT, внутренняя резьба М16х1,5-6H", никелированная латунь, Ex d IIC Gb U / Ex e IIС Gb U / Ex ia IIC Ga U, IP66 / IP68</t>
  </si>
  <si>
    <t xml:space="preserve">ВЗ-ПР3/8-20 </t>
  </si>
  <si>
    <t>ВЗ-ПР3/8-20 - Взрывозащищенный резьбовой переходник ВЗОР, наружная резьба 3/8" NPT, внутренняя резьба М20х1,5-6H", никелированная латунь, Ex d IIC Gb U / Ex e IIС Gb U / Ex ia IIC Ga U, IP66 / IP68</t>
  </si>
  <si>
    <t xml:space="preserve">ВЗ-ПР3/8-25 </t>
  </si>
  <si>
    <t>ВЗ-ПР3/8-25 - Взрывозащищенный резьбовой переходник ВЗОР, наружная резьба 3/8" NPT, внутренняя резьба М25х1,5-6H", никелированная латунь, Ex d IIC Gb U / Ex e IIС Gb U / Ex ia IIC Ga U, IP66 / IP68</t>
  </si>
  <si>
    <t>ВЗ-ПР1/2-1/4</t>
  </si>
  <si>
    <t>ВЗ-ПР1/2-1/4 - Взрывозащищенный резьбовой переходник ВЗОР, наружная резьба 1/2" NPT, внутренняя резьба 1/4" NPT, никелированная латунь, Ex d IIC Gb U / Ex e IIС Gb U / Ex ia IIC Ga U, IP66 / IP68</t>
  </si>
  <si>
    <t>ВЗ-ПР1/2-3/8</t>
  </si>
  <si>
    <t>ВЗ-ПР1/2-3/8 - Взрывозащищенный резьбовой переходник ВЗОР, наружная резьба 1/2" NPT, внутренняя резьба 3/8" NPT, никелированная латунь, Ex d IIC Gb U / Ex e IIС Gb U / Ex ia IIC Ga U, IP66 / IP68</t>
  </si>
  <si>
    <t>ВЗ-ПР1/2-3/4</t>
  </si>
  <si>
    <t>ВЗ-ПР1/2-3/4 - Взрывозащищенный резьбовой переходник ВЗОР, наружная резьба 1/2" NPT, внутренняя резьба 3/4" NPT, никелированная латунь, Ex d IIC Gb U / Ex e IIС Gb U / Ex ia IIC Ga U, IP66 / IP68</t>
  </si>
  <si>
    <t>ВЗ-ПР1/2-1</t>
  </si>
  <si>
    <t>ВЗ-ПР1/2-1 - Взрывозащищенный резьбовой переходник ВЗОР, наружная резьба 1/2" NPT, внутренняя резьба 3/4" NPT, никелированная латунь, Ex d IIC Gb U / Ex e IIС Gb U / Ex ia IIC Ga U, IP66 / IP68</t>
  </si>
  <si>
    <t>ВЗ-ПР1/2-1/4G</t>
  </si>
  <si>
    <t>ВЗ-ПР1/2-1/4G - Взрывозащищенный резьбовой переходник ВЗОР, наружная резьба 1/2" NPT, внутренняя резьба G 1/4", никелированная латунь, Ex d IIC Gb U / Ex e IIС Gb U / Ex ia IIC Ga U, IP66 / IP68</t>
  </si>
  <si>
    <t>ВЗ-ПР1/2-3/8G</t>
  </si>
  <si>
    <t>ВЗ-ПР1/2-3/8G - Взрывозащищенный резьбовой переходник ВЗОР, наружная резьба 1/2" NPT, внутренняя резьба G 3/8", никелированная латунь, Ex d IIC Gb U / Ex e IIС Gb U / Ex ia IIC Ga U, IP66 / IP68</t>
  </si>
  <si>
    <t>ВЗ-ПР1/2-1/2G</t>
  </si>
  <si>
    <t>ВЗ-ПР1/2-1/2G - Взрывозащищенный резьбовой переходник ВЗОР, наружная резьба 1/2" NPT, внутренняя резьба G 1/2", никелированная латунь, Ex d IIC Gb U / Ex e IIС Gb U / Ex ia IIC Ga U, IP66 / IP68</t>
  </si>
  <si>
    <t>ВЗ-ПР1/2-3/4G</t>
  </si>
  <si>
    <t>ВЗ-ПР1/2-3/4G - Взрывозащищенный резьбовой переходник ВЗОР, наружная резьба 1/2" NPT, внутренняя резьба G 3/4", никелированная латунь, Ex d IIC Gb U / Ex e IIС Gb U / Ex ia IIC Ga U, IP66 / IP68</t>
  </si>
  <si>
    <t xml:space="preserve">ВЗ-ПР1/2-1G </t>
  </si>
  <si>
    <t>ВЗ-ПР1/2-1G - Взрывозащищенный резьбовой переходник ВЗОР, наружная резьба 1/2" NPT, внутренняя резьба G 1", никелированная латунь, Ex d IIC Gb U / Ex e IIС Gb U / Ex ia IIC Ga U, IP66 / IP68</t>
  </si>
  <si>
    <t xml:space="preserve">ВЗ-ПР1/2-12 </t>
  </si>
  <si>
    <t>ВЗ-ПР1/2-12 - Взрывозащищенный резьбовой переходник ВЗОР, наружная резьба 1/2" NPT, внутренняя резьба М12х1,5-6H", никелированная латунь, Ex d IIC Gb U / Ex e IIС Gb U / Ex ia IIC Ga U, IP66 / IP68</t>
  </si>
  <si>
    <t xml:space="preserve">ВЗ-ПР1/2-16 </t>
  </si>
  <si>
    <t>ВЗ-ПР1/2-16 - Взрывозащищенный резьбовой переходник ВЗОР, наружная резьба 1/2" NPT, внутренняя резьба М16х1,5-6H", никелированная латунь, Ex d IIC Gb U / Ex e IIС Gb U / Ex ia IIC Ga U, IP66 / IP68</t>
  </si>
  <si>
    <t xml:space="preserve">ВЗ-ПР1/2-20 </t>
  </si>
  <si>
    <t>ВЗ-ПР1/2-20 - Взрывозащищенный резьбовой переходник ВЗОР, наружная резьба 1/2" NPT, внутренняя резьба М20х1,5-6H", никелированная латунь, Ex d IIC Gb U / Ex e IIС Gb U / Ex ia IIC Ga U, IP66 / IP68</t>
  </si>
  <si>
    <t xml:space="preserve">ВЗ-ПР1/2-25 </t>
  </si>
  <si>
    <t>ВЗ-ПР1/2-25 - Взрывозащищенный резьбовой переходник ВЗОР, наружная резьба 1/2" NPT, внутренняя резьба М25х1,5-6H", никелированная латунь, Ex d IIC Gb U / Ex e IIС Gb U / Ex ia IIC Ga U, IP66 / IP68</t>
  </si>
  <si>
    <t xml:space="preserve">ВЗ-ПР1/2-32 </t>
  </si>
  <si>
    <t>ВЗ-ПР1/2-32 - Взрывозащищенный резьбовой переходник ВЗОР, наружная резьба 1/2" NPT, внутренняя резьба М32х1,5-6H", никелированная латунь, Ex d IIC Gb U / Ex e IIС Gb U / Ex ia IIC Ga U, IP66 / IP68</t>
  </si>
  <si>
    <t>ВЗ-ПР3/4-3/8</t>
  </si>
  <si>
    <t>ВЗ-ПР3/4-3/8 - Взрывозащищенный резьбовой переходник ВЗОР, наружная резьба 3/4" NPT, внутренняя резьба 3/8" NPT, никелированная латунь, Ex d IIC Gb U / Ex e IIС Gb U / Ex ia IIC Ga U, IP66 / IP68</t>
  </si>
  <si>
    <t>ВЗ-ПР3/4-1/2</t>
  </si>
  <si>
    <t>ВЗ-ПР3/4-1/2 - Взрывозащищенный резьбовой переходник ВЗОР, наружная резьба 3/4" NPT, внутренняя резьба 1/2" NPT, никелированная латунь, Ex d IIC Gb U / Ex e IIС Gb U / Ex ia IIC Ga U, IP66 / IP68</t>
  </si>
  <si>
    <t>ВЗ-ПР3/4-1</t>
  </si>
  <si>
    <t>ВЗ-ПР3/4-1 - Взрывозащищенный резьбовой переходник ВЗОР, наружная резьба 3/4" NPT, внутренняя резьба 1" NPT, никелированная латунь, Ex d IIC Gb U / Ex e IIС Gb U / Ex ia IIC Ga U, IP66 / IP68</t>
  </si>
  <si>
    <t xml:space="preserve">ВЗ-ПР3/4-1.1/4 </t>
  </si>
  <si>
    <t>ВЗ-ПР3/4-1.1/4 - Взрывозащищенный резьбовой переходник ВЗОР, наружная резьба 3/4" NPT, внутренняя резьба 1.1/4" NPT, никелированная латунь, Ex d IIC Gb U / Ex e IIС Gb U / Ex ia IIC Ga U, IP66 / IP68</t>
  </si>
  <si>
    <t>ВЗ-ПР3/4-3/8G</t>
  </si>
  <si>
    <t>ВЗ-ПР3/4-3/8G - Взрывозащищенный резьбовой переходник ВЗОР, наружная резьба 3/4" NPT, внутренняя резьба G 3/8", никелированная латунь, Ex d IIC Gb U / Ex e IIС Gb U / Ex ia IIC Ga U, IP66 / IP68</t>
  </si>
  <si>
    <t>ВЗ-ПР3/4-1/2G</t>
  </si>
  <si>
    <t>ВЗ-ПР3/4-1/2G - Взрывозащищенный резьбовой переходник ВЗОР, наружная резьба 3/4" NPT, внутренняя резьба G 1/2", никелированная латунь, Ex d IIC Gb U / Ex e IIС Gb U / Ex ia IIC Ga U, IP66 / IP68</t>
  </si>
  <si>
    <t>ВЗ-ПР3/4-3/4G</t>
  </si>
  <si>
    <t>ВЗ-ПР3/4-3/4G - Взрывозащищенный резьбовой переходник ВЗОР, наружная резьба 3/4" NPT, внутренняя резьба G 3/4", никелированная латунь, Ex d IIC Gb U / Ex e IIС Gb U / Ex ia IIC Ga U, IP66 / IP68</t>
  </si>
  <si>
    <t xml:space="preserve">ВЗ-ПР3/4-1G </t>
  </si>
  <si>
    <t>ВЗ-ПР3/4-1G - Взрывозащищенный резьбовой переходник ВЗОР, наружная резьба 3/4" NPT, внутренняя резьба G 1", никелированная латунь, Ex d IIC Gb U / Ex e IIС Gb U / Ex ia IIC Ga U, IP66 / IP68</t>
  </si>
  <si>
    <t>ВЗ-ПР3/4-1.1/4G</t>
  </si>
  <si>
    <t>ВЗ-ПР3/4-1.1/4G - Взрывозащищенный резьбовой переходник ВЗОР, наружная резьба 3/4" NPT, внутренняя резьба G 1.1/4", никелированная латунь, Ex d IIC Gb U / Ex e IIС Gb U / Ex ia IIC Ga U, IP66 / IP68</t>
  </si>
  <si>
    <t xml:space="preserve">ВЗ-ПР3/4-16 </t>
  </si>
  <si>
    <t>ВЗ-ПР3/4-16 - Взрывозащищенный резьбовой переходник ВЗОР, наружная резьба 3/4" NPT, внутренняя резьба М16х1,5-6H", никелированная латунь, Ex d IIC Gb U / Ex e IIС Gb U / Ex ia IIC Ga U, IP66 / IP68</t>
  </si>
  <si>
    <t xml:space="preserve">ВЗ-ПР3/4-20 </t>
  </si>
  <si>
    <t>ВЗ-ПР3/4-20 - Взрывозащищенный резьбовой переходник ВЗОР, наружная резьба 3/4" NPT, внутренняя резьба М20х1,5-6H", никелированная латунь, Ex d IIC Gb U / Ex e IIС Gb U / Ex ia IIC Ga U, IP66 / IP68</t>
  </si>
  <si>
    <t xml:space="preserve">ВЗ-ПР3/4-25 </t>
  </si>
  <si>
    <t>ВЗ-ПР3/4-25 - Взрывозащищенный резьбовой переходник ВЗОР, наружная резьба 3/4" NPT, внутренняя резьба М25х1,5-6H", никелированная латунь, Ex d IIC Gb U / Ex e IIС Gb U / Ex ia IIC Ga U, IP66 / IP68</t>
  </si>
  <si>
    <t xml:space="preserve">ВЗ-ПР3/4-32 </t>
  </si>
  <si>
    <t>ВЗ-ПР3/4-32 - Взрывозащищенный резьбовой переходник ВЗОР, наружная резьба 3/4" NPT, внутренняя резьба М32х1,5-6H", никелированная латунь, Ex d IIC Gb U / Ex e IIС Gb U / Ex ia IIC Ga U, IP66 / IP68</t>
  </si>
  <si>
    <t xml:space="preserve">ВЗ-ПР3/4-40 </t>
  </si>
  <si>
    <t>ВЗ-ПР3/4-40 - Взрывозащищенный резьбовой переходник ВЗОР, наружная резьба 3/4" NPT, внутренняя резьба М40х1,5-6H", никелированная латунь, Ex d IIC Gb U / Ex e IIС Gb U / Ex ia IIC Ga U, IP66 / IP68</t>
  </si>
  <si>
    <t>ВЗ-ПР1-1/2</t>
  </si>
  <si>
    <t>ВЗ-ПР1-1/2 - Взрывозащищенный резьбовой переходник ВЗОР, наружная резьба 1" NPT, внутренняя резьба 1/2" NPT, никелированная латунь, Ex d IIC Gb U / Ex e IIС Gb U / Ex ia IIC Ga U, IP66 / IP68</t>
  </si>
  <si>
    <t>ВЗ-ПР1-3/4</t>
  </si>
  <si>
    <t>ВЗ-ПР1-3/4 - Взрывозащищенный резьбовой переходник ВЗОР, наружная резьба 1" NPT, внутренняя резьба 3/4" NPT, никелированная латунь, Ex d IIC Gb U / Ex e IIС Gb U / Ex ia IIC Ga U, IP66 / IP68</t>
  </si>
  <si>
    <t>ВЗ-ПР1-1.1/4</t>
  </si>
  <si>
    <t>ВЗ-ПР1-1.1/4 - Взрывозащищенный резьбовой переходник ВЗОР, наружная резьба 1" NPT, внутренняя резьба 1.1/4" NPT, никелированная латунь, Ex d IIC Gb U / Ex e IIС Gb U / Ex ia IIC Ga U, IP66 / IP68</t>
  </si>
  <si>
    <t>ВЗ-ПР1-1.1/2</t>
  </si>
  <si>
    <t>ВЗ-ПР1-1.1/2 - Взрывозащищенный резьбовой переходник ВЗОР, наружная резьба 1" NPT, внутренняя резьба 1.1/2" NPT, никелированная латунь, Ex d IIC Gb U / Ex e IIС Gb U / Ex ia IIC Ga U, IP66 / IP68</t>
  </si>
  <si>
    <t xml:space="preserve">ВЗ-ПР1-1/2G </t>
  </si>
  <si>
    <t>ВЗ-ПР1-1/2G - Взрывозащищенный резьбовой переходник ВЗОР, наружная резьба 1" NPT, внутренняя резьба G 1/2", никелированная латунь, Ex d IIC Gb U / Ex e IIС Gb U / Ex ia IIC Ga U, IP66 / IP68</t>
  </si>
  <si>
    <t xml:space="preserve">ВЗ-ПР1-3/4G </t>
  </si>
  <si>
    <t>ВЗ-ПР1-3/4G - Взрывозащищенный резьбовой переходник ВЗОР, наружная резьба 1" NPT, внутренняя резьба G 3/4", никелированная латунь, Ex d IIC Gb U / Ex e IIС Gb U / Ex ia IIC Ga U, IP66 / IP68</t>
  </si>
  <si>
    <t xml:space="preserve">ВЗ-ПР1-1G </t>
  </si>
  <si>
    <t>ВЗ-ПР1-1G - Взрывозащищенный резьбовой переходник ВЗОР, наружная резьба 1" NPT, внутренняя резьба G 1", никелированная латунь, Ex d IIC Gb U / Ex e IIС Gb U / Ex ia IIC Ga U, IP66 / IP68</t>
  </si>
  <si>
    <t>ВЗ-ПР1-1.1/4G</t>
  </si>
  <si>
    <t>ВЗ-ПР1-1.1/4G - Взрывозащищенный резьбовой переходник ВЗОР, наружная резьба 1" NPT, внутренняя резьба G 1.1/4", никелированная латунь, Ex d IIC Gb U / Ex e IIС Gb U / Ex ia IIC Ga U, IP66 / IP68</t>
  </si>
  <si>
    <t>ВЗ-ПР1-1.1/2G</t>
  </si>
  <si>
    <t>ВЗ-ПР1-1.1/2G - Взрывозащищенный резьбовой переходник ВЗОР, наружная резьба 1" NPT, внутренняя резьба G 1.1/2", никелированная латунь, Ex d IIC Gb U / Ex e IIС Gb U / Ex ia IIC Ga U, IP66 / IP68</t>
  </si>
  <si>
    <t xml:space="preserve">ВЗ-ПР1-20 </t>
  </si>
  <si>
    <t>ВЗ-ПР1-20 - Взрывозащищенный резьбовой переходник ВЗОР, наружная резьба 1" NPT, внутренняя резьба М20х1,5-6H", никелированная латунь, Ex d IIC Gb U / Ex e IIС Gb U / Ex ia IIC Ga U, IP66 / IP68</t>
  </si>
  <si>
    <t xml:space="preserve">ВЗ-ПР1-25 </t>
  </si>
  <si>
    <t>ВЗ-ПР1-25 - Взрывозащищенный резьбовой переходник ВЗОР, наружная резьба 1" NPT, внутренняя резьба М25х1,5-6H", никелированная латунь, Ex d IIC Gb U / Ex e IIС Gb U / Ex ia IIC Ga U, IP66 / IP68</t>
  </si>
  <si>
    <t xml:space="preserve">ВЗ-ПР1-32 </t>
  </si>
  <si>
    <t>ВЗ-ПР1-32 - Взрывозащищенный резьбовой переходник ВЗОР, наружная резьба 1" NPT, внутренняя резьба М32х1,5-6H", никелированная латунь, Ex d IIC Gb U / Ex e IIС Gb U / Ex ia IIC Ga U, IP66 / IP68</t>
  </si>
  <si>
    <t xml:space="preserve">ВЗ-ПР1-40 </t>
  </si>
  <si>
    <t>ВЗ-ПР1-40 - Взрывозащищенный резьбовой переходник ВЗОР, наружная резьба 1" NPT, внутренняя резьба М40х1,5-6H", никелированная латунь, Ex d IIC Gb U / Ex e IIС Gb U / Ex ia IIC Ga U, IP66 / IP68</t>
  </si>
  <si>
    <t xml:space="preserve">ВЗ-ПР1-50 </t>
  </si>
  <si>
    <t>ВЗ-ПР1-50 - Взрывозащищенный резьбовой переходник ВЗОР, наружная резьба 1" NPT, внутренняя резьба М50х1,5-6H", никелированная латунь, Ex d IIC Gb U / Ex e IIС Gb U / Ex ia IIC Ga U, IP66 / IP68</t>
  </si>
  <si>
    <t>ВЗ-ПР1.1/4-3/4</t>
  </si>
  <si>
    <t>ВЗ-ПР1.1/4-3/4 - Взрывозащищенный резьбовой переходник ВЗОР, наружная резьба 1.1/4" NPT, внутренняя резьба 3/4" NPT, никелированная латунь, Ex d IIC Gb U / Ex e IIС Gb U / Ex ia IIC Ga U, IP66 / IP68</t>
  </si>
  <si>
    <t>ВЗ-ПР1.1/4-1</t>
  </si>
  <si>
    <t>ВЗ-ПР1.1/4-1 - Взрывозащищенный резьбовой переходник ВЗОР, наружная резьба 1.1/4" NPT, внутренняя резьба 1" NPT, никелированная латунь, Ex d IIC Gb U / Ex e IIС Gb U / Ex ia IIC Ga U, IP66 / IP68</t>
  </si>
  <si>
    <t xml:space="preserve">ВЗ-ПР1.1/4-1.1/2 </t>
  </si>
  <si>
    <t>ВЗ-ПР1.1/4-1.1/2 - Взрывозащищенный резьбовой переходник ВЗОР, наружная резьба 1.1/4" NPT, внутренняя резьба 1.1/2" NPT, никелированная латунь, Ex d IIC Gb U / Ex e IIС Gb U / Ex ia IIC Ga U, IP66 / IP68</t>
  </si>
  <si>
    <t>ВЗ-ПР1.1/4-2</t>
  </si>
  <si>
    <t>ВЗ-ПР1.1/4-2 - Взрывозащищенный резьбовой переходник ВЗОР, наружная резьба 1.1/4" NPT, внутренняя резьба 2" NPT, никелированная латунь, Ex d IIC Gb U / Ex e IIС Gb U / Ex ia IIC Ga U, IP66 / IP68</t>
  </si>
  <si>
    <t>ВЗ-ПР1.1/4-3/4G</t>
  </si>
  <si>
    <t>ВЗ-ПР1.1/4-3/4G - Взрывозащищенный резьбовой переходник ВЗОР, наружная резьба 1.1/4" NPT, внутренняя резьба G 3/4", никелированная латунь, Ex d IIC Gb U / Ex e IIС Gb U / Ex ia IIC Ga U, IP66 / IP68</t>
  </si>
  <si>
    <t>ВЗ-ПР1.1/4-1G</t>
  </si>
  <si>
    <t>ВЗ-ПР1.1/4-1G - Взрывозащищенный резьбовой переходник ВЗОР, наружная резьба 1.1/4" NPT, внутренняя резьба G 1", никелированная латунь, Ex d IIC Gb U / Ex e IIС Gb U / Ex ia IIC Ga U, IP66 / IP68</t>
  </si>
  <si>
    <t>ВЗ-ПР1.1/4-1.1/4G</t>
  </si>
  <si>
    <t>ВЗ-ПР1.1/4-1.1/4G - Взрывозащищенный резьбовой переходник ВЗОР, наружная резьба 1.1/4" NPT, внутренняя резьба G 1.1/4", никелированная латунь, Ex d IIC Gb U / Ex e IIС Gb U / Ex ia IIC Ga U, IP66 / IP68</t>
  </si>
  <si>
    <t>ВЗ-ПР1.1/4-1.1/2G</t>
  </si>
  <si>
    <t>ВЗ-ПР1.1/4-1.1/2G - Взрывозащищенный резьбовой переходник ВЗОР, наружная резьба 1.1/4" NPT, внутренняя резьба G 1.1/2", никелированная латунь, Ex d IIC Gb U / Ex e IIС Gb U / Ex ia IIC Ga U, IP66 / IP68</t>
  </si>
  <si>
    <t>ВЗ-ПР1.1/4-2G</t>
  </si>
  <si>
    <t>ВЗ-ПР1.1/4-2G - Взрывозащищенный резьбовой переходник ВЗОР, наружная резьба 1.1/4" NPT, внутренняя резьба G 2", никелированная латунь, Ex d IIC Gb U / Ex e IIС Gb U / Ex ia IIC Ga U, IP66 / IP68</t>
  </si>
  <si>
    <t>ВЗ-ПР1.1/4-25</t>
  </si>
  <si>
    <t>ВЗ-ПР1.1/4-25 - Взрывозащищенный резьбовой переходник ВЗОР, наружная резьба 1.1/4" NPT, внутренняя резьба М25х1,5-6H", никелированная латунь, Ex d IIC Gb U / Ex e IIС Gb U / Ex ia IIC Ga U, IP66 / IP68</t>
  </si>
  <si>
    <t>ВЗ-ПР1.1/4-32</t>
  </si>
  <si>
    <t>ВЗ-ПР1.1/4-32 - Взрывозащищенный резьбовой переходник ВЗОР, наружная резьба 1.1/4" NPT, внутренняя резьба М32х1,5-6H", никелированная латунь, Ex d IIC Gb U / Ex e IIС Gb U / Ex ia IIC Ga U, IP66 / IP68</t>
  </si>
  <si>
    <t>ВЗ-ПР1.1/4-40</t>
  </si>
  <si>
    <t>ВЗ-ПР1.1/4-40 - Взрывозащищенный резьбовой переходник ВЗОР, наружная резьба 1.1/4" NPT, внутренняя резьба М40х1,5-6H", никелированная латунь, Ex d IIC Gb U / Ex e IIС Gb U / Ex ia IIC Ga U, IP66 / IP68</t>
  </si>
  <si>
    <t>ВЗ-ПР1.1/4-50</t>
  </si>
  <si>
    <t>ВЗ-ПР1.1/4-50 - Взрывозащищенный резьбовой переходник ВЗОР, наружная резьба 1.1/4" NPT, внутренняя резьба М50х1,5-6H", никелированная латунь, Ex d IIC Gb U / Ex e IIС Gb U / Ex ia IIC Ga U, IP66 / IP68</t>
  </si>
  <si>
    <t>ВЗ-ПР1.1/4-63</t>
  </si>
  <si>
    <t>ВЗ-ПР1.1/4-63 - Взрывозащищенный резьбовой переходник ВЗОР, наружная резьба 1.1/4" NPT, внутренняя резьба М63х1,5-6H", никелированная латунь, Ex d IIC Gb U / Ex e IIС Gb U / Ex ia IIC Ga U, IP66 / IP68</t>
  </si>
  <si>
    <t>ВЗ-ПР1.1/2-1</t>
  </si>
  <si>
    <t>ВЗ-ПР1.1/2-1 - Взрывозащищенный резьбовой переходник ВЗОР, наружная резьба 1.1/2" NPT, внутренняя резьба 1" NPT, никелированная латунь, Ex d IIC Gb U / Ex e IIС Gb U / Ex ia IIC Ga U, IP66 / IP68</t>
  </si>
  <si>
    <t xml:space="preserve">ВЗ-ПР1.1/2-1.1/4 </t>
  </si>
  <si>
    <t>ВЗ-ПР1.1/2-1.1/4 - Взрывозащищенный резьбовой переходник ВЗОР, наружная резьба 1.1/2" NPT, внутренняя резьба 1.1/4" NPT, никелированная латунь, Ex d IIC Gb U / Ex e IIС Gb U / Ex ia IIC Ga U, IP66 / IP68</t>
  </si>
  <si>
    <t>ВЗ-ПР1.1/2-2</t>
  </si>
  <si>
    <t>ВЗ-ПР1.1/2-2 - Взрывозащищенный резьбовой переходник ВЗОР, наружная резьба 1.1/2" NPT, внутренняя резьба 2" NPT, никелированная латунь, Ex d IIC Gb U / Ex e IIС Gb U / Ex ia IIC Ga U, IP66 / IP68</t>
  </si>
  <si>
    <t>ВЗ-ПР1.1/2-1G</t>
  </si>
  <si>
    <t>ВЗ-ПР1.1/2-1G - Взрывозащищенный резьбовой переходник ВЗОР, наружная резьба 1.1/2" NPT, внутренняя резьба G 1", никелированная латунь, Ex d IIC Gb U / Ex e IIС Gb U / Ex ia IIC Ga U, IP66 / IP68</t>
  </si>
  <si>
    <t>ВЗ-ПР1.1/2-1.1/4G</t>
  </si>
  <si>
    <t>ВЗ-ПР1.1/2-1.1/4G - Взрывозащищенный резьбовой переходник ВЗОР, наружная резьба 1.1/2" NPT, внутренняя резьба G 1.1/4", никелированная латунь, Ex d IIC Gb U / Ex e IIС Gb U / Ex ia IIC Ga U, IP66 / IP68</t>
  </si>
  <si>
    <t>ВЗ-ПР1.1/2-1.1/2G</t>
  </si>
  <si>
    <t>ВЗ-ПР1.1/2-1.1/2G - Взрывозащищенный резьбовой переходник ВЗОР, наружная резьба 1.1/2" NPT, внутренняя резьба G 1.1/2", никелированная латунь, Ex d IIC Gb U / Ex e IIС Gb U / Ex ia IIC Ga U, IP66 / IP68</t>
  </si>
  <si>
    <t>ВЗ-ПР1.1/2-2G</t>
  </si>
  <si>
    <t>ВЗ-ПР1.1/2-2G - Взрывозащищенный резьбовой переходник ВЗОР, наружная резьба 1.1/2" NPT, внутренняя резьба G 2", никелированная латунь, Ex d IIC Gb U / Ex e IIС Gb U / Ex ia IIC Ga U, IP66 / IP68</t>
  </si>
  <si>
    <t>ВЗ-ПР1.1/2-32</t>
  </si>
  <si>
    <t>ВЗ-ПР1.1/2-32 - Взрывозащищенный резьбовой переходник ВЗОР, наружная резьба 1.1/2" NPT, внутренняя резьба М32х1,5-6H", никелированная латунь, Ex d IIC Gb U / Ex e IIС Gb U / Ex ia IIC Ga U, IP66 / IP68</t>
  </si>
  <si>
    <t>ВЗ-ПР1.1/2-40</t>
  </si>
  <si>
    <t>ВЗ-ПР1.1/2-40 - Взрывозащищенный резьбовой переходник ВЗОР, наружная резьба 1.1/2" NPT, внутренняя резьба М40х1,5-6H", никелированная латунь, Ex d IIC Gb U / Ex e IIС Gb U / Ex ia IIC Ga U, IP66 / IP68</t>
  </si>
  <si>
    <t>ВЗ-ПР1.1/2-50</t>
  </si>
  <si>
    <t>ВЗ-ПР1.1/2-50 - Взрывозащищенный резьбовой переходник ВЗОР, наружная резьба 1.1/2" NPT, внутренняя резьба М50х1,5-6H", никелированная латунь, Ex d IIC Gb U / Ex e IIС Gb U / Ex ia IIC Ga U, IP66 / IP68</t>
  </si>
  <si>
    <t>ВЗ-ПР1.1/2-63</t>
  </si>
  <si>
    <t>ВЗ-ПР1.1/2-63 - Взрывозащищенный резьбовой переходник ВЗОР, наружная резьба 1.1/2" NPT, внутренняя резьба М63х1,5-6H", никелированная латунь, Ex d IIC Gb U / Ex e IIС Gb U / Ex ia IIC Ga U, IP66 / IP68</t>
  </si>
  <si>
    <t>ВЗ-ПР1/4G-3/8G</t>
  </si>
  <si>
    <t>ВЗ-ПР1/4G-3/8G - Взрывозащищенный резьбовой переходник ВЗОР, наружная резьба G 1/4", внутренняя резьба G 3/8", никелированная латунь, Ex d IIC Gb U / Ex e IIС Gb U / Ex ia IIC Ga U, IP66 / IP68</t>
  </si>
  <si>
    <t>ВЗ-ПР1/4G-1/2G</t>
  </si>
  <si>
    <t>ВЗ-ПР1/4G-1/2G - Взрывозащищенный резьбовой переходник ВЗОР, наружная резьба G 1/4", внутренняя резьба G 1/2", никелированная латунь, Ex d IIC Gb U / Ex e IIС Gb U / Ex ia IIC Ga U, IP66 / IP68</t>
  </si>
  <si>
    <t>ВЗ-ПР1/4G-1/4</t>
  </si>
  <si>
    <t>ВЗ-ПР1/4G-1/4 - Взрывозащищенный резьбовой переходник ВЗОР, наружная резьба G 1/4", внутренняя резьба 1/4 NPT", никелированная латунь, Ex d IIC Gb U / Ex e IIС Gb U / Ex ia IIC Ga U, IP66 / IP68</t>
  </si>
  <si>
    <t>ВЗ-ПР1/4G-3/8</t>
  </si>
  <si>
    <t>ВЗ-ПР1/4G-3/8 - Взрывозащищенный резьбовой переходник ВЗОР, наружная резьба G 1/4", внутренняя резьба 3/8 NPT", никелированная латунь, Ex d IIC Gb U / Ex e IIС Gb U / Ex ia IIC Ga U, IP66 / IP68</t>
  </si>
  <si>
    <t>ВЗ-ПР1/4G-1/2</t>
  </si>
  <si>
    <t>ВЗ-ПР1/4G-1/2 - Взрывозащищенный резьбовой переходник ВЗОР, наружная резьба G 1/4", внутренняя резьба 1/2 NPT", никелированная латунь, Ex d IIC Gb U / Ex e IIС Gb U / Ex ia IIC Ga U, IP66 / IP68</t>
  </si>
  <si>
    <t>ВЗ-ПР1/4G-12</t>
  </si>
  <si>
    <t>ВЗ-ПР1/4G-12 - Взрывозащищенный резьбовой переходник ВЗОР, наружная резьба G 1/4", внутренняя резьба М12х1,5-6H, никелированная латунь, Ex d IIC Gb U / Ex e IIС Gb U / Ex ia IIC Ga U, IP66 / IP68</t>
  </si>
  <si>
    <t>ВЗ-ПР1/4G-16</t>
  </si>
  <si>
    <t>ВЗ-ПР1/4G-16 - Взрывозащищенный резьбовой переходник ВЗОР, наружная резьба G 1/4", внутренняя резьба М16х1,5-6H, никелированная латунь, Ex d IIC Gb U / Ex e IIС Gb U / Ex ia IIC Ga U, IP66 / IP68</t>
  </si>
  <si>
    <t>ВЗ-ПР1/4G-20</t>
  </si>
  <si>
    <t>ВЗ-ПР1/4G-20 - Взрывозащищенный резьбовой переходник ВЗОР, наружная резьба G 1/4", внутренняя резьба М20х1,5-6H, никелированная латунь, Ex d IIC Gb U / Ex e IIС Gb U / Ex ia IIC Ga U, IP66 / IP68</t>
  </si>
  <si>
    <t>ВЗ-ПР3/8G-1/4G</t>
  </si>
  <si>
    <t>ВЗ-ПР3/8G-1/4G - Взрывозащищенный резьбовой переходник ВЗОР, наружная резьба G 3/8", внутренняя резьба G 1/4", никелированная латунь, Ex d IIC Gb U / Ex e IIС Gb U / Ex ia IIC Ga U, IP66 / IP68</t>
  </si>
  <si>
    <t>ВЗ-ПР3/8G-1/2G</t>
  </si>
  <si>
    <t>ВЗ-ПР3/8G-1/2G - Взрывозащищенный резьбовой переходник ВЗОР, наружная резьба G 3/8", внутренняя резьба G 1/2", никелированная латунь, Ex d IIC Gb U / Ex e IIС Gb U / Ex ia IIC Ga U, IP66 / IP68</t>
  </si>
  <si>
    <t>ВЗ-ПР3/8G-3/4G</t>
  </si>
  <si>
    <t>ВЗ-ПР3/8G-3/4G - Взрывозащищенный резьбовой переходник ВЗОР, наружная резьба G 3/8", внутренняя резьба G 3/4", никелированная латунь, Ex d IIC Gb U / Ex e IIС Gb U / Ex ia IIC Ga U, IP66 / IP68</t>
  </si>
  <si>
    <t>ВЗ-ПР3/8G-1/4</t>
  </si>
  <si>
    <t>ВЗ-ПР3/8G-1/4 - Взрывозащищенный резьбовой переходник ВЗОР, наружная резьба G 3/8", внутренняя резьба 1/4 NPT", никелированная латунь, Ex d IIC Gb U / Ex e IIС Gb U / Ex ia IIC Ga U, IP66 / IP68</t>
  </si>
  <si>
    <t>ВЗ-ПР3/8G-3/8</t>
  </si>
  <si>
    <t>ВЗ-ПР3/8G-3/8 - Взрывозащищенный резьбовой переходник ВЗОР, наружная резьба G 3/8", внутренняя резьба 3/8 NPT", никелированная латунь, Ex d IIC Gb U / Ex e IIС Gb U / Ex ia IIC Ga U, IP66 / IP68</t>
  </si>
  <si>
    <t>ВЗ-ПР3/8G-1/2</t>
  </si>
  <si>
    <t>ВЗ-ПР3/8G-1/2 - Взрывозащищенный резьбовой переходник ВЗОР, наружная резьба G 3/8", внутренняя резьба 1/2 NPT", никелированная латунь, Ex d IIC Gb U / Ex e IIС Gb U / Ex ia IIC Ga U, IP66 / IP68</t>
  </si>
  <si>
    <t>ВЗ-ПР3/8G-3/4</t>
  </si>
  <si>
    <t>ВЗ-ПР3/8G-3/4 - Взрывозащищенный резьбовой переходник ВЗОР, наружная резьба G 3/8", внутренняя резьба 3/4 NPT", никелированная латунь, Ex d IIC Gb U / Ex e IIС Gb U / Ex ia IIC Ga U, IP66 / IP68</t>
  </si>
  <si>
    <t>ВЗ-ПР3/8G-12</t>
  </si>
  <si>
    <t>ВЗ-ПР3/8G-12 - Взрывозащищенный резьбовой переходник ВЗОР, наружная резьба G 3/8", внутренняя резьба М12х1,5-6H, никелированная латунь, Ex d IIC Gb U / Ex e IIС Gb U / Ex ia IIC Ga U, IP66 / IP68</t>
  </si>
  <si>
    <t>ВЗ-ПР3/8G-16</t>
  </si>
  <si>
    <t>ВЗ-ПР3/8G-16 - Взрывозащищенный резьбовой переходник ВЗОР, наружная резьба G 3/8", внутренняя резьба М16х1,5-6H, никелированная латунь, Ex d IIC Gb U / Ex e IIС Gb U / Ex ia IIC Ga U, IP66 / IP68</t>
  </si>
  <si>
    <t>ВЗ-ПР3/8G-20</t>
  </si>
  <si>
    <t>ВЗ-ПР3/8G-20 - Взрывозащищенный резьбовой переходник ВЗОР, наружная резьба G 3/8", внутренняя резьба М20х1,5-6H, никелированная латунь, Ex d IIC Gb U / Ex e IIС Gb U / Ex ia IIC Ga U, IP66 / IP68</t>
  </si>
  <si>
    <t>ВЗ-ПР3/8G-25</t>
  </si>
  <si>
    <t>ВЗ-ПР3/8G-25 - Взрывозащищенный резьбовой переходник ВЗОР, наружная резьба G 3/8", внутренняя резьба М25х1,5-6H, никелированная латунь, Ex d IIC Gb U / Ex e IIС Gb U / Ex ia IIC Ga U, IP66 / IP68</t>
  </si>
  <si>
    <t>ВЗ-ПР1/2G-1/4G</t>
  </si>
  <si>
    <t>ВЗ-ПР1/2G-1/4G - Взрывозащищенный резьбовой переходник ВЗОР, наружная резьба G 1/2", внутренняя резьба G 1/4", никелированная латунь, Ex d IIC Gb U / Ex e IIС Gb U / Ex ia IIC Ga U, IP66 / IP68</t>
  </si>
  <si>
    <t>ВЗ-ПР1/2G-3/8G</t>
  </si>
  <si>
    <t>ВЗ-ПР1/2G-3/8G - Взрывозащищенный резьбовой переходник ВЗОР, наружная резьба G 1/2", внутренняя резьба G 3/8", никелированная латунь, Ex d IIC Gb U / Ex e IIС Gb U / Ex ia IIC Ga U, IP66 / IP68</t>
  </si>
  <si>
    <t>ВЗ-ПР1/2G-3/4G</t>
  </si>
  <si>
    <t>ВЗ-ПР1/2G-3/4G - Взрывозащищенный резьбовой переходник ВЗОР, наружная резьба G 1/2", внутренняя резьба G 3/4", никелированная латунь, Ex d IIC Gb U / Ex e IIС Gb U / Ex ia IIC Ga U, IP66 / IP68</t>
  </si>
  <si>
    <t>ВЗ-ПР1/2G-1G</t>
  </si>
  <si>
    <t>ВЗ-ПР1/2G-1G - Взрывозащищенный резьбовой переходник ВЗОР, наружная резьба G 1/2", внутренняя резьба G 1", никелированная латунь, Ex d IIC Gb U / Ex e IIС Gb U / Ex ia IIC Ga U, IP66 / IP68</t>
  </si>
  <si>
    <t>ВЗ-ПР1/2G-1/4</t>
  </si>
  <si>
    <t>ВЗ-ПР1/2G-1/4 - Взрывозащищенный резьбовой переходник ВЗОР, наружная резьба G 1/2", внутренняя резьба 1/4 NPT", никелированная латунь, Ex d IIC Gb U / Ex e IIС Gb U / Ex ia IIC Ga U, IP66 / IP68</t>
  </si>
  <si>
    <t>ВЗ-ПР1/2G-3/8</t>
  </si>
  <si>
    <t>ВЗ-ПР1/2G-3/8 - Взрывозащищенный резьбовой переходник ВЗОР, наружная резьба G 1/2", внутренняя резьба 3/8 NPT", никелированная латунь, Ex d IIC Gb U / Ex e IIС Gb U / Ex ia IIC Ga U, IP66 / IP68</t>
  </si>
  <si>
    <t>ВЗ-ПР1/2G-1/2</t>
  </si>
  <si>
    <t>ВЗ-ПР1/2G-1/2 - Взрывозащищенный резьбовой переходник ВЗОР, наружная резьба G 1/2", внутренняя резьба 1/2 NPT", никелированная латунь, Ex d IIC Gb U / Ex e IIС Gb U / Ex ia IIC Ga U, IP66 / IP68</t>
  </si>
  <si>
    <t>ВЗ-ПР1/2G-3/4</t>
  </si>
  <si>
    <t>ВЗ-ПР1/2G-3/4 - Взрывозащищенный резьбовой переходник ВЗОР, наружная резьба G 1/2", внутренняя резьба 3/4 NPT", никелированная латунь, Ex d IIC Gb U / Ex e IIС Gb U / Ex ia IIC Ga U, IP66 / IP68</t>
  </si>
  <si>
    <t xml:space="preserve">ВЗ-ПР1/2G-1 </t>
  </si>
  <si>
    <t>ВЗ-ПР1/2G-1 - Взрывозащищенный резьбовой переходник ВЗОР, наружная резьба G 1/2", внутренняя резьба 1 NPT", никелированная латунь, Ex d IIC Gb U / Ex e IIС Gb U / Ex ia IIC Ga U, IP66 / IP68</t>
  </si>
  <si>
    <t>ВЗ-ПР1/2G-12</t>
  </si>
  <si>
    <t>ВЗ-ПР1/2G-12 - Взрывозащищенный резьбовой переходник ВЗОР, наружная резьба G 1/2", внутренняя резьба М12х1,5-6H, никелированная латунь, Ex d IIC Gb U / Ex e IIС Gb U / Ex ia IIC Ga U, IP66 / IP68</t>
  </si>
  <si>
    <t>ВЗ-ПР1/2G-16</t>
  </si>
  <si>
    <t>ВЗ-ПР1/2G-16 - Взрывозащищенный резьбовой переходник ВЗОР, наружная резьба G 1/2", внутренняя резьба М16х1,5-6H, никелированная латунь, Ex d IIC Gb U / Ex e IIС Gb U / Ex ia IIC Ga U, IP66 / IP68</t>
  </si>
  <si>
    <t>ВЗ-ПР1/2G-20</t>
  </si>
  <si>
    <t>ВЗ-ПР1/2G-20 - Взрывозащищенный резьбовой переходник ВЗОР, наружная резьба G 1/2", внутренняя резьба М20х1,5-6H, никелированная латунь, Ex d IIC Gb U / Ex e IIС Gb U / Ex ia IIC Ga U, IP66 / IP68</t>
  </si>
  <si>
    <t>ВЗ-ПР1/2G-25</t>
  </si>
  <si>
    <t>ВЗ-ПР1/2G-25 - Взрывозащищенный резьбовой переходник ВЗОР, наружная резьба G 1/2", внутренняя резьба М25х1,5-6H, никелированная латунь, Ex d IIC Gb U / Ex e IIС Gb U / Ex ia IIC Ga U, IP66 / IP68</t>
  </si>
  <si>
    <t>ВЗ-ПР1/2G-32</t>
  </si>
  <si>
    <t>ВЗ-ПР1/2G-32 - Взрывозащищенный резьбовой переходник ВЗОР, наружная резьба G 1/2", внутренняя резьба М32х1,5-6H, никелированная латунь, Ex d IIC Gb U / Ex e IIС Gb U / Ex ia IIC Ga U, IP66 / IP68</t>
  </si>
  <si>
    <t>ВЗ-ПР3/4G-3/8G</t>
  </si>
  <si>
    <t>ВЗ-ПР3/4G-3/8G - Взрывозащищенный резьбовой переходник ВЗОР, наружная резьба G 3/4", внутренняя резьба G 3/8", никелированная латунь, Ex d IIC Gb U / Ex e IIС Gb U / Ex ia IIC Ga U, IP66 / IP68</t>
  </si>
  <si>
    <t>ВЗ-ПР3/4G-1/2G</t>
  </si>
  <si>
    <t>ВЗ-ПР3/4G-1/2G - Взрывозащищенный резьбовой переходник ВЗОР, наружная резьба G 3/4", внутренняя резьба G 1/2", никелированная латунь, Ex d IIC Gb U / Ex e IIС Gb U / Ex ia IIC Ga U, IP66 / IP68</t>
  </si>
  <si>
    <t>ВЗ-ПР3/4G-1G</t>
  </si>
  <si>
    <t>ВЗ-ПР3/4G-1G - Взрывозащищенный резьбовой переходник ВЗОР, наружная резьба G 3/4", внутренняя резьба G 1", никелированная латунь, Ex d IIC Gb U / Ex e IIС Gb U / Ex ia IIC Ga U, IP66 / IP68</t>
  </si>
  <si>
    <t>ВЗ-ПР3/4G-1.1/4G</t>
  </si>
  <si>
    <t>ВЗ-ПР3/4G-1.1/4G - Взрывозащищенный резьбовой переходник ВЗОР, наружная резьба G 3/4", внутренняя резьба G 1.1/4", никелированная латунь, Ex d IIC Gb U / Ex e IIС Gb U / Ex ia IIC Ga U, IP66 / IP68</t>
  </si>
  <si>
    <t>ВЗ-ПР3/4G-3/8</t>
  </si>
  <si>
    <t>ВЗ-ПР3/4G-3/8 - Взрывозащищенный резьбовой переходник ВЗОР, наружная резьба G 3/4", внутренняя резьба 3/8 NPT", никелированная латунь, Ex d IIC Gb U / Ex e IIС Gb U / Ex ia IIC Ga U, IP66 / IP68</t>
  </si>
  <si>
    <t>ВЗ-ПР3/4G-1/2</t>
  </si>
  <si>
    <t>ВЗ-ПР3/4G-1/2 - Взрывозащищенный резьбовой переходник ВЗОР, наружная резьба G 3/4", внутренняя резьба 1/2 NPT", никелированная латунь, Ex d IIC Gb U / Ex e IIС Gb U / Ex ia IIC Ga U, IP66 / IP68</t>
  </si>
  <si>
    <t>ВЗ-ПР3/4G-3/4</t>
  </si>
  <si>
    <t>ВЗ-ПР3/4G-3/4 - Взрывозащищенный резьбовой переходник ВЗОР, наружная резьба G 3/4", внутренняя резьба 3/4 NPT", никелированная латунь, Ex d IIC Gb U / Ex e IIС Gb U / Ex ia IIC Ga U, IP66 / IP68</t>
  </si>
  <si>
    <t xml:space="preserve">ВЗ-ПР3/4G-1 </t>
  </si>
  <si>
    <t>ВЗ-ПР3/4G-1 - Взрывозащищенный резьбовой переходник ВЗОР, наружная резьба G 1/2", внутренняя резьба 1 NPT", никелированная латунь, Ex d IIC Gb U / Ex e IIС Gb U / Ex ia IIC Ga U, IP66 / IP68</t>
  </si>
  <si>
    <t>ВЗ-ПР3/4G-1.1/4</t>
  </si>
  <si>
    <t>ВЗ-ПР3/4G-1.1/4 - Взрывозащищенный резьбовой переходник ВЗОР, наружная резьба G 3/4", внутренняя резьба 1.1/4 NPT", никелированная латунь, Ex d IIC Gb U / Ex e IIС Gb U / Ex ia IIC Ga U, IP66 / IP68</t>
  </si>
  <si>
    <t>ВЗ-ПР3/4G-16</t>
  </si>
  <si>
    <t>ВЗ-ПР3/4G-16 - Взрывозащищенный резьбовой переходник ВЗОР, наружная резьба G 3/4", внутренняя резьба М16х1,5-6H, никелированная латунь, Ex d IIC Gb U / Ex e IIС Gb U / Ex ia IIC Ga U, IP66 / IP68</t>
  </si>
  <si>
    <t>ВЗ-ПР3/4G-20</t>
  </si>
  <si>
    <t>ВЗ-ПР3/4G-20 - Взрывозащищенный резьбовой переходник ВЗОР, наружная резьба G 3/4", внутренняя резьба М20х1,5-6H, никелированная латунь, Ex d IIC Gb U / Ex e IIС Gb U / Ex ia IIC Ga U, IP66 / IP68</t>
  </si>
  <si>
    <t>ВЗ-ПР3/4G-25</t>
  </si>
  <si>
    <t>ВЗ-ПР3/4G-25 - Взрывозащищенный резьбовой переходник ВЗОР, наружная резьба G 3/4", внутренняя резьба М25х1,5-6H, никелированная латунь, Ex d IIC Gb U / Ex e IIС Gb U / Ex ia IIC Ga U, IP66 / IP68</t>
  </si>
  <si>
    <t>ВЗ-ПР3/4G-32</t>
  </si>
  <si>
    <t>ВЗ-ПР3/4G-32 - Взрывозащищенный резьбовой переходник ВЗОР, наружная резьба G 3/4", внутренняя резьба М32х1,5-6H, никелированная латунь, Ex d IIC Gb U / Ex e IIС Gb U / Ex ia IIC Ga U, IP66 / IP68</t>
  </si>
  <si>
    <t>ВЗ-ПР3/4G-40</t>
  </si>
  <si>
    <t>ВЗ-ПР3/4G-40 - Взрывозащищенный резьбовой переходник ВЗОР, наружная резьба G 3/4", внутренняя резьба М40х1,5-6H, никелированная латунь, Ex d IIC Gb U / Ex e IIС Gb U / Ex ia IIC Ga U, IP66 / IP68</t>
  </si>
  <si>
    <t>ВЗ-ПР1G-1/2G</t>
  </si>
  <si>
    <t>ВЗ-ПР1G-1/2G - Взрывозащищенный резьбовой переходник ВЗОР, наружная резьба G 1", внутренняя резьба G 1/2", никелированная латунь, Ex d IIC Gb U / Ex e IIС Gb U / Ex ia IIC Ga U, IP66 / IP68</t>
  </si>
  <si>
    <t>ВЗ-ПР1G-3/4G</t>
  </si>
  <si>
    <t>ВЗ-ПР1G-3/4G - Взрывозащищенный резьбовой переходник ВЗОР, наружная резьба G 1", внутренняя резьба G 3/4", никелированная латунь, Ex d IIC Gb U / Ex e IIС Gb U / Ex ia IIC Ga U, IP66 / IP68</t>
  </si>
  <si>
    <t>ВЗ-ПР1G-1.1/4G</t>
  </si>
  <si>
    <t>ВЗ-ПР1G-1.1/4G - Взрывозащищенный резьбовой переходник ВЗОР, наружная резьба G 1", внутренняя резьба G 1.1/4", никелированная латунь, Ex d IIC Gb U / Ex e IIС Gb U / Ex ia IIC Ga U, IP66 / IP68</t>
  </si>
  <si>
    <t>ВЗ-ПР1G-1.1/2G</t>
  </si>
  <si>
    <t>ВЗ-ПР1G-1.1/2G - Взрывозащищенный резьбовой переходник ВЗОР, наружная резьба G 1", внутренняя резьба G 1.1/2", никелированная латунь, Ex d IIC Gb U / Ex e IIС Gb U / Ex ia IIC Ga U, IP66 / IP68</t>
  </si>
  <si>
    <t xml:space="preserve">ВЗ-ПР1G-1/2 </t>
  </si>
  <si>
    <t>ВЗ-ПР1G-1/2 - Взрывозащищенный резьбовой переходник ВЗОР, наружная резьба G 1", внутренняя резьба 1/2 NPT", никелированная латунь, Ex d IIC Gb U / Ex e IIС Gb U / Ex ia IIC Ga U, IP66 / IP68</t>
  </si>
  <si>
    <t xml:space="preserve">ВЗ-ПР1G-3/4 </t>
  </si>
  <si>
    <t>ВЗ-ПР1G-3/4 - Взрывозащищенный резьбовой переходник ВЗОР, наружная резьба G 1", внутренняя резьба 3/4 NPT", никелированная латунь, Ex d IIC Gb U / Ex e IIС Gb U / Ex ia IIC Ga U, IP66 / IP68</t>
  </si>
  <si>
    <t xml:space="preserve">ВЗ-ПР1G-1 </t>
  </si>
  <si>
    <t>ВЗ-ПР1G-1 - Взрывозащищенный резьбовой переходник ВЗОР, наружная резьба G 1", внутренняя резьба 1 NPT", никелированная латунь, Ex d IIC Gb U / Ex e IIС Gb U / Ex ia IIC Ga U, IP66 / IP68</t>
  </si>
  <si>
    <t>ВЗ-ПР1G-1.1/4</t>
  </si>
  <si>
    <t>ВЗ-ПР1G-1.1/4 - Взрывозащищенный резьбовой переходник ВЗОР, наружная резьба G 1", внутренняя резьба 1.1/4 NPT", никелированная латунь, Ex d IIC Gb U / Ex e IIС Gb U / Ex ia IIC Ga U, IP66 / IP68</t>
  </si>
  <si>
    <t>ВЗ-ПР1G-1.1/2</t>
  </si>
  <si>
    <t>ВЗ-ПР1G-1.1/2 - Взрывозащищенный резьбовой переходник ВЗОР, наружная резьба G 1", внутренняя резьба 1.1/2 NPT", никелированная латунь, Ex d IIC Gb U / Ex e IIС Gb U / Ex ia IIC Ga U, IP66 / IP68</t>
  </si>
  <si>
    <t>ВЗ-ПР1G-20</t>
  </si>
  <si>
    <t>ВЗ-ПР1G-20 - Взрывозащищенный резьбовой переходник ВЗОР, наружная резьба G 1", внутренняя резьба М20х1,5-6H, никелированная латунь, Ex d IIC Gb U / Ex e IIС Gb U / Ex ia IIC Ga U, IP66 / IP68</t>
  </si>
  <si>
    <t>ВЗ-ПР1G-25</t>
  </si>
  <si>
    <t>ВЗ-ПР1G-25 - Взрывозащищенный резьбовой переходник ВЗОР, наружная резьба G 1", внутренняя резьба М25х1,5-6H, никелированная латунь, Ex d IIC Gb U / Ex e IIС Gb U / Ex ia IIC Ga U, IP66 / IP68</t>
  </si>
  <si>
    <t>ВЗ-ПР1G-32</t>
  </si>
  <si>
    <t>ВЗ-ПР1G-32 - Взрывозащищенный резьбовой переходник ВЗОР, наружная резьба G 1", внутренняя резьба М32х1,5-6H, никелированная латунь, Ex d IIC Gb U / Ex e IIС Gb U / Ex ia IIC Ga U, IP66 / IP68</t>
  </si>
  <si>
    <t>ВЗ-ПР1G-40</t>
  </si>
  <si>
    <t>ВЗ-ПР1G-40 - Взрывозащищенный резьбовой переходник ВЗОР, наружная резьба G 1", внутренняя резьба М40х1,5-6H, никелированная латунь, Ex d IIC Gb U / Ex e IIС Gb U / Ex ia IIC Ga U, IP66 / IP68</t>
  </si>
  <si>
    <t>ВЗ-ПР1G-50</t>
  </si>
  <si>
    <t>ВЗ-ПР1G-50 - Взрывозащищенный резьбовой переходник ВЗОР, наружная резьба G 1", внутренняя резьба М50х1,5-6H, никелированная латунь, Ex d IIC Gb U / Ex e IIС Gb U / Ex ia IIC Ga U, IP66 / IP68</t>
  </si>
  <si>
    <t>ВЗ-ПР1.1/4G-3/4G</t>
  </si>
  <si>
    <t>ВЗ-ПР1.1/4G-3/4G - Взрывозащищенный резьбовой переходник ВЗОР, наружная резьба G 1.1/4", внутренняя резьба G 3/4", никелированная латунь, Ex d IIC Gb U / Ex e IIС Gb U / Ex ia IIC Ga U, IP66 / IP68</t>
  </si>
  <si>
    <t>ВЗ-ПР1.1/4G-1G</t>
  </si>
  <si>
    <t>ВЗ-ПР1.1/4G-1G - Взрывозащищенный резьбовой переходник ВЗОР, наружная резьба G 1.1/4", внутренняя резьба G 1", никелированная латунь, Ex d IIC Gb U / Ex e IIС Gb U / Ex ia IIC Ga U, IP66 / IP68</t>
  </si>
  <si>
    <t>ВЗ-ПР1.1/4G-1.1/2G</t>
  </si>
  <si>
    <t>ВЗ-ПР1.1/4G-1.1/2G - Взрывозащищенный резьбовой переходник ВЗОР, наружная резьба G 1.1/4", внутренняя резьба G 1.1/2", никелированная латунь, Ex d IIC Gb U / Ex e IIС Gb U / Ex ia IIC Ga U, IP66 / IP68</t>
  </si>
  <si>
    <t>ВЗ-ПР1.1/4G-2G</t>
  </si>
  <si>
    <t>ВЗ-ПР1.1/4G-2G - Взрывозащищенный резьбовой переходник ВЗОР, наружная резьба G 1.1/4", внутренняя резьба G 2", никелированная латунь, Ex d IIC Gb U / Ex e IIС Gb U / Ex ia IIC Ga U, IP66 / IP68</t>
  </si>
  <si>
    <t>ВЗ-ПР1.1/4G-3/4</t>
  </si>
  <si>
    <t>ВЗ-ПР1.1/4G-3/4 - Взрывозащищенный резьбовой переходник ВЗОР, наружная резьба G 1.1/4", внутренняя резьба 3/4 NPT", никелированная латунь, Ex d IIC Gb U / Ex e IIС Gb U / Ex ia IIC Ga U, IP66 / IP68</t>
  </si>
  <si>
    <t>ВЗ-ПР1.1/4G-1</t>
  </si>
  <si>
    <t>ВЗ-ПР1.1/4G-1 - Взрывозащищенный резьбовой переходник ВЗОР, наружная резьба G 1.1/4", внутренняя резьба 1 NPT", никелированная латунь, Ex d IIC Gb U / Ex e IIС Gb U / Ex ia IIC Ga U, IP66 / IP68</t>
  </si>
  <si>
    <t>ВЗ-ПР1.1/4G-1.1/4</t>
  </si>
  <si>
    <t>ВЗ-ПР1.1/4G-1.1/4 - Взрывозащищенный резьбовой переходник ВЗОР, наружная резьба G 1.1/4", внутренняя резьба 1.1/4 NPT", никелированная латунь, Ex d IIC Gb U / Ex e IIС Gb U / Ex ia IIC Ga U, IP66 / IP68</t>
  </si>
  <si>
    <t>ВЗ-ПР1.1/4G-1.1/2</t>
  </si>
  <si>
    <t>ВЗ-ПР1.1/4G-1.1/2 - Взрывозащищенный резьбовой переходник ВЗОР, наружная резьба G 1.1/4", внутренняя резьба 1.1/2 NPT", никелированная латунь, Ex d IIC Gb U / Ex e IIС Gb U / Ex ia IIC Ga U, IP66 / IP68</t>
  </si>
  <si>
    <t>ВЗ-ПР1.1/4G-2</t>
  </si>
  <si>
    <t>ВЗ-ПР1.1/4G-2 - Взрывозащищенный резьбовой переходник ВЗОР, наружная резьба G 1.1/4", внутренняя резьба 2 NPT", никелированная латунь, Ex d IIC Gb U / Ex e IIС Gb U / Ex ia IIC Ga U, IP66 / IP68</t>
  </si>
  <si>
    <t>ВЗ-ПР1.1/4G-25</t>
  </si>
  <si>
    <t>ВЗ-ПР1.1/4G-25 - Взрывозащищенный резьбовой переходник ВЗОР, наружная резьба G 1.1/4", внутренняя резьба М25х1,5-6H, никелированная латунь, Ex d IIC Gb U / Ex e IIС Gb U / Ex ia IIC Ga U, IP66 / IP68</t>
  </si>
  <si>
    <t>ВЗ-ПР1.1/4G-32</t>
  </si>
  <si>
    <t>ВЗ-ПР1.1/4G-32 - Взрывозащищенный резьбовой переходник ВЗОР, наружная резьба G 1.1/4", внутренняя резьба М32х1,5-6H, никелированная латунь, Ex d IIC Gb U / Ex e IIС Gb U / Ex ia IIC Ga U, IP66 / IP68</t>
  </si>
  <si>
    <t>ВЗ-ПР1.1/4G-40</t>
  </si>
  <si>
    <t>ВЗ-ПР1.1/4G-40 - Взрывозащищенный резьбовой переходник ВЗОР, наружная резьба G 1.1/4", внутренняя резьба М40х1,5-6H, никелированная латунь, Ex d IIC Gb U / Ex e IIС Gb U / Ex ia IIC Ga U, IP66 / IP68</t>
  </si>
  <si>
    <t>ВЗ-ПР1.1/4G-50</t>
  </si>
  <si>
    <t>ВЗ-ПР1.1/4G-50 - Взрывозащищенный резьбовой переходник ВЗОР, наружная резьба G 1.1/4", внутренняя резьба М50х1,5-6H, никелированная латунь, Ex d IIC Gb U / Ex e IIС Gb U / Ex ia IIC Ga U, IP66 / IP68</t>
  </si>
  <si>
    <t>ВЗ-ПР1.1/4G-63</t>
  </si>
  <si>
    <t>ВЗ-ПР1.1/4G-63 - Взрывозащищенный резьбовой переходник ВЗОР, наружная резьба G 1.1/4", внутренняя резьба М63х1,5-6H, никелированная латунь, Ex d IIC Gb U / Ex e IIС Gb U / Ex ia IIC Ga U, IP66 / IP68</t>
  </si>
  <si>
    <t>ВЗ-ПР1.1/2G-1</t>
  </si>
  <si>
    <t>ВЗ-ПР1.1/2G-1 - Взрывозащищенный резьбовой переходник ВЗОР, наружная резьба G 1.1/2", внутренняя резьба 1 NPT", никелированная латунь, Ex d IIC Gb U / Ex e IIС Gb U / Ex ia IIC Ga U, IP66 / IP68</t>
  </si>
  <si>
    <t>ВЗ-ПР1.1/2G-1.1/4</t>
  </si>
  <si>
    <t>ВЗ-ПР1.1/2G-1.1/4 - Взрывозащищенный резьбовой переходник ВЗОР, наружная резьба G 1.1/2", внутренняя резьба 1.1/4 NPT", никелированная латунь, Ex d IIC Gb U / Ex e IIС Gb U / Ex ia IIC Ga U, IP66 / IP68</t>
  </si>
  <si>
    <t>ВЗ-ПР1.1/2G-2G</t>
  </si>
  <si>
    <t>ВЗ-ПР1.1/2G-2G - Взрывозащищенный резьбовой переходник ВЗОР, наружная резьба G 1.1/2", внутренняя резьба G 2", никелированная латунь, Ex d IIC Gb U / Ex e IIС Gb U / Ex ia IIC Ga U, IP66 / IP68</t>
  </si>
  <si>
    <t>ВЗ-ПР1.1/2G-1.1/2</t>
  </si>
  <si>
    <t>ВЗ-ПР1.1/2G-1.1/2 - Взрывозащищенный резьбовой переходник ВЗОР, наружная резьба G 1.1/2", внутренняя резьба 1.1/2 NPT", никелированная латунь, Ex d IIC Gb U / Ex e IIС Gb U / Ex ia IIC Ga U, IP66 / IP68</t>
  </si>
  <si>
    <t>ВЗ-ПР1.1/2G-2</t>
  </si>
  <si>
    <t>ВЗ-ПР1.1/2G-2 - Взрывозащищенный резьбовой переходник ВЗОР, наружная резьба G 1.1/2", внутренняя резьба 2 NPT", никелированная латунь, Ex d IIC Gb U / Ex e IIС Gb U / Ex ia IIC Ga U, IP66 / IP68</t>
  </si>
  <si>
    <t>ВЗ-ПР1.1/2G-32</t>
  </si>
  <si>
    <t>ВЗ-ПР1.1/2G-32 - Взрывозащищенный резьбовой переходник ВЗОР, наружная резьба G 1.1/2", внутренняя резьба М32х1,5-6H, никелированная латунь, Ex d IIC Gb U / Ex e IIС Gb U / Ex ia IIC Ga U, IP66 / IP68</t>
  </si>
  <si>
    <t>ВЗ-ПР1.1/2G-40</t>
  </si>
  <si>
    <t>ВЗ-ПР1.1/2G-40 - Взрывозащищенный резьбовой переходник ВЗОР, наружная резьба G 1.1/2", внутренняя резьба М40х1,5-6H, никелированная латунь, Ex d IIC Gb U / Ex e IIС Gb U / Ex ia IIC Ga U, IP66 / IP68</t>
  </si>
  <si>
    <t>ВЗ-ПР1.1/2G-50</t>
  </si>
  <si>
    <t>ВЗ-ПР1.1/2G-50 - Взрывозащищенный резьбовой переходник ВЗОР, наружная резьба G 1.1/2", внутренняя резьба М50х1,5-6H, никелированная латунь, Ex d IIC Gb U / Ex e IIС Gb U / Ex ia IIC Ga U, IP66 / IP68</t>
  </si>
  <si>
    <t>ВЗ-ПР1.1/2G-63</t>
  </si>
  <si>
    <t>ВЗ-ПР1.1/2G-63 - Взрывозащищенный резьбовой переходник ВЗОР, наружная резьба G 1.1/2", внутренняя резьба М63х1,5-6H, никелированная латунь, Ex d IIC Gb U / Ex e IIС Gb U / Ex ia IIC Ga U, IP66 / IP68</t>
  </si>
  <si>
    <t>НВЗ-Н16</t>
  </si>
  <si>
    <t>НВЗ-Н16 - Взрывозащищенный кабельный ввод ВЗОР для небронированного кабеля круглого сечения, 3-8 мм, М16х1,5-6g, нержавеющая сталь, 1Ex d IIC Gb / 1Ex e IIC Gb / 0Ex ia IIC Ga / 2Ex nR IIC Gc / Ex ta IIIC Da, IP66 / IP68</t>
  </si>
  <si>
    <t>НВЗ-Н20</t>
  </si>
  <si>
    <t>НВЗ-Н20 - Взрывозащищенный кабельный ввод ВЗОР для небронированного кабеля круглого сечения, 6-14 мм, М20х1,5-6g, нержавеющая сталь, 1Ex d IIC Gb / 1Ex e IIC Gb / 0Ex ia IIC Ga / 2Ex nR IIC Gc / Ex ta IIIC Da, IP66 / IP68</t>
  </si>
  <si>
    <t>НВЗ-Н25</t>
  </si>
  <si>
    <t>НВЗ-Н25 - Взрывозащищенный кабельный ввод ВЗОР для небронированного кабеля круглого сечения, 12-18 мм, М25х1,5-6g, нержавеющая сталь, 1Ex d IIC Gb / 1Ex e IIC Gb / 0Ex ia IIC Ga / 2Ex nR IIC Gc / Ex ta IIIC Da, IP66 / IP68</t>
  </si>
  <si>
    <t>НВЗ-Н32</t>
  </si>
  <si>
    <t>НВЗ-Н32 - Взрывозащищенный кабельный ввод ВЗОР для небронированного кабеля круглого сечения, 18-25 мм, М32х1,5-6g, нержавеющая сталь, 1Ex d IIC Gb / 1Ex e IIC Gb / 0Ex ia IIC Ga / 2Ex nR IIC Gc / Ex ta IIIC Da, IP66 / IP68</t>
  </si>
  <si>
    <t>НВЗ-Н40</t>
  </si>
  <si>
    <t>НВЗ-Н40 - Взрывозащищенный кабельный ввод ВЗОР для небронированного кабеля круглого сечения, 25-31 мм, М40х1,5-6g, нержавеющая сталь, 1Ex d IIC Gb / 1Ex e IIC Gb / 0Ex ia IIC Ga / 2Ex nR IIC Gc / Ex ta IIIC Da, IP66 / IP68</t>
  </si>
  <si>
    <t>НВЗ-Н16-МР12</t>
  </si>
  <si>
    <t>НВЗ-Н16-МР12 - Взрывозащищенный кабельный ввод ВЗОР для небронированного кабеля круглого сечения, 3-8 мм, М16х1,5-6g, с креплением металлорукава Ду 12, нержавеющая сталь, Ex d IIC Gb / 1Ex e IIC Gb / 0Ex ia IIC Ga / 2Ex nR IIC Gc / Ex ta IIIC Da, IP66 / IP68</t>
  </si>
  <si>
    <t>НВЗ-Н20-МР15</t>
  </si>
  <si>
    <t>НВЗ-Н20-МР15 - Взрывозащищенный кабельный ввод ВЗОР для небронированного кабеля круглого сечения, 6-14 мм, М20х1,5-6g, с креплением металлорукава Ду 15, нержавеющая сталь, Ex d IIC Gb / 1Ex e IIC Gb / 0Ex ia IIC Ga / 2Ex nR IIC Gc / Ex ta IIIC Da, IP66 / IP68</t>
  </si>
  <si>
    <t>НВЗ-Н20-МР20</t>
  </si>
  <si>
    <t>НВЗ-Н20-МР20 - Взрывозащищенный кабельный ввод ВЗОР для небронированного кабеля круглого сечения, 6-14 мм, М20х1,5-6g, с креплением металлорукава Ду 20, нержавеющая сталь, Ex d IIC Gb / 1Ex e IIC Gb / 0Ex ia IIC Ga / 2Ex nR IIC Gc / Ex ta IIIC Da, IP66 / IP68</t>
  </si>
  <si>
    <t>НВЗ-Н20-МР22</t>
  </si>
  <si>
    <t>НВЗ-Н20-МР22 - Взрывозащищенный кабельный ввод ВЗОР для небронированного кабеля круглого сечения, 6-14 мм, М20х1,5-6g, с креплением металлорукава Ду 22, нержавеющая сталь, Ex d IIC Gb / 1Ex e IIC Gb / 0Ex ia IIC Ga / 2Ex nR IIC Gc / Ex ta IIIC Da, IP66 / IP68</t>
  </si>
  <si>
    <t>НВЗ-Н20-МР25</t>
  </si>
  <si>
    <t>НВЗ-Н20-МР25 - Взрывозащищенный кабельный ввод ВЗОР для небронированного кабеля круглого сечения, 6-14 мм, М20х1,5-6g, с креплением металлорукава Ду 25, нержавеющая сталь, Ex d IIC Gb / 1Ex e IIC Gb / 0Ex ia IIC Ga / 2Ex nR IIC Gc / Ex ta IIIC Da, IP66 / IP68</t>
  </si>
  <si>
    <t>НВЗ-Н25-МР25</t>
  </si>
  <si>
    <t>НВЗ-Н25-МР25 - Взрывозащищенный кабельный ввод ВЗОР для небронированного кабеля круглого сечения, 12-18 мм, М25х1,5-6g, с креплением металлорукава Ду 25, нержавеющая сталь, Ex d IIC Gb / 1Ex e IIC Gb / 0Ex ia IIC Ga / 2Ex nR IIC Gc / Ex ta IIIC Da, IP66 / IP68</t>
  </si>
  <si>
    <t>НВЗ-Н25-МР32</t>
  </si>
  <si>
    <t>НВЗ-Н25-МР32 - Взрывозащищенный кабельный ввод ВЗОР для небронированного кабеля круглого сечения, 12-18 мм, М25х1,5-6g, с креплением металлорукава Ду 32, нержавеющая сталь, Ex d IIC Gb / 1Ex e IIC Gb / 0Ex ia IIC Ga / 2Ex nR IIC Gc / Ex ta IIIC Da, IP66 / IP68</t>
  </si>
  <si>
    <t>НВЗ-Н16-Т1/2G(В)</t>
  </si>
  <si>
    <t>НВЗ-Н16-Т1/2G(В) - Взрывозащищенный кабельный ввод ВЗОР для небронированного кабеля круглого сечения, 3-8 мм, М16х1,5-6g, с фитингом для присоединения трубы G 1/2" (внутренняя), нержавеющая сталь, 1Ex d IIC Gb / 1Ex e IIC Gb / 0Ex ia IIC Ga / 2Ex nR IIC Gc / Ex ta IIIC Da, IP66 / IP68</t>
  </si>
  <si>
    <t>НВЗ-Н20-Т1/2G(В)</t>
  </si>
  <si>
    <t>НВЗ-Н20-Т1/2G(В) - Взрывозащищенный кабельный ввод ВЗОР для небронированного кабеля круглого сечения, 6-14 мм, М20х1,5-6g, с фитингом для присоединения трубы G 1/2" (внутренняя), нержавеющая сталь, 1Ex d IIC Gb / 1Ex e IIC Gb / 0Ex ia IIC Ga / 2Ex nR IIC Gc / Ex ta IIIC Da, IP66 / IP68</t>
  </si>
  <si>
    <t>НВЗ-Н20-Т3/4G(В)</t>
  </si>
  <si>
    <t>НВЗ-Н20-Т3/4G(В) - Взрывозащищенный кабельный ввод ВЗОР для небронированного кабеля круглого сечения, 6-14 мм, М20х1,5-6g, с фитингом для присоединения трубы G 3/4" (внутренняя), нержавеющая сталь, 1Ex d IIC Gb / 1Ex e IIC Gb / 0Ex ia IIC Ga / 2Ex nR IIC Gc / Ex ta IIIC Da, IP66 / IP68</t>
  </si>
  <si>
    <t>НВЗ-Н25-Т3/4G(В)</t>
  </si>
  <si>
    <t>НВЗ-Н25-Т3/4G(B) - Взрывозащищенный кабельный ввод ВЗОР для небронированного кабеля круглого сечения, 12-18 мм, М25х1,5-6g, с фитингом для присоединения трубы G 3/4" (внутренняя), нержавеющая сталь, 1Ex d IIC Gb / 1Ex e IIC Gb / 0Ex ia IIC Ga / 2Ex nR IIC Gc / Ex ta IIIC Da, IP66 / IP68</t>
  </si>
  <si>
    <t>НВЗ-Н25-Т1G(В)</t>
  </si>
  <si>
    <t>НВЗ-Н25-Т1G(B) - Взрывозащищенный кабельный ввод ВЗОР для небронированного кабеля круглого сечения, 12-18 мм, М25х1,5-6g, с фитингом для присоединения трубы G 1" (внутренняя), нержавеющая сталь, 1Ex d IIC Gb / 1Ex e IIC Gb / 0Ex ia IIC Ga / 2Ex nR IIC Gc / Ex ta IIIC Da, IP66 / IP68</t>
  </si>
  <si>
    <t>НВЗ-Н32-Т1G(В)</t>
  </si>
  <si>
    <t>НВЗ-Н32-Т1G(B) - Взрывозащищенный кабельный ввод ВЗОР для небронированного кабеля круглого сечения, 18-25 мм, М32х1,5-6g, с фитингом для присоединения трубы G 1" (внутренняя), нержавеющая сталь, 1Ex d IIC Gb / 1Ex e IIC Gb / 0Ex ia IIC Ga / 2Ex nR IIC Gc / Ex ta IIIC Da, IP66 / IP68</t>
  </si>
  <si>
    <t>НВЗ-Н32-Т1.1/4G(В)</t>
  </si>
  <si>
    <t>НВЗ-Н32-Т1.1/4G(B) - Взрывозащищенный кабельный ввод ВЗОР для небронированного кабеля круглого сечения, 18-25 мм, М32х1,5-6g, с фитингом для присоединения трубы G 1.1/4" (внутренняя), нержавеющая сталь, 1Ex d IIC Gb / 1Ex e IIC Gb / 0Ex ia IIC Ga / 2Ex nR IIC Gc / Ex ta IIIC Da, IP66 / IP68</t>
  </si>
  <si>
    <t>НВЗ-Б16</t>
  </si>
  <si>
    <t xml:space="preserve">НВЗ-Б16 - Взрывозащищенный кабельный ввод ВЗОР для всех типов бронированного кабеля круглого сечения, диаметр обжимаемого кабеля по наружной оболочке 8-12 мм, по внутренней оболочке 3-8 мм, М16х1,5-6g, нержавеющая сталь, 1Ex d IIC Gb / 1Ex e IIC Gb / 0Ex ia IIC Ga / 2Ex nR IIC Gc / Ex ta IIIC Da, IP66 / IP68 </t>
  </si>
  <si>
    <t>НВЗ-Б20</t>
  </si>
  <si>
    <t xml:space="preserve">НВЗ-Б20 -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нержавеющая сталь, 1Ex d IIC Gb / 1Ex e IIC Gb / 0Ex ia IIC Ga / 2Ex nR IIC Gc / Ex ta IIIC Da, IP66 / IP68 </t>
  </si>
  <si>
    <t>НВЗ-Б25</t>
  </si>
  <si>
    <t xml:space="preserve">НВЗ-Б25 -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нержавеющая сталь, 1Ex d IIC Gb / 1Ex e IIC Gb / 0Ex ia IIC Ga / 2Ex nR IIC Gc / Ex ta IIIC Da, IP66 / IP68 </t>
  </si>
  <si>
    <t>НВЗ-Б32</t>
  </si>
  <si>
    <t xml:space="preserve">НВЗ-Б32 -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нержавеющая сталь, 1Ex d IIC Gb / 1Ex e IIC Gb / 0Ex ia IIC Ga / 2Ex nR IIC Gc / Ex ta IIIC Da, IP66 / IP68 </t>
  </si>
  <si>
    <t>НВЗ-Б40</t>
  </si>
  <si>
    <t xml:space="preserve">НВЗ-Б40 - Взрывозащищенный кабельный ввод ВЗОР для всех типов бронированного кабеля круглого сечения, диаметр обжимаемого кабеля по наружной оболочке 27-37 мм, по внутренней оболочке 25-31 мм, М40х1,5-6g, нержавеющая сталь, 1Ex d IIC Gb / 1Ex e IIC Gb / 0Ex ia IIC Ga / 2Ex nR IIC Gc / Ex ta IIIC Da, IP66 / IP68 </t>
  </si>
  <si>
    <t>НВЗ-МБ20</t>
  </si>
  <si>
    <t xml:space="preserve">НВЗ-МБ20 -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нержавеющая сталь , 1Ex d IIC Gb / 1Ex e IIC Gb / 0Ex ia IIC Ga / 2Ex nR IIC Gc / Ex ta IIIC Da, IP66 / IP68 </t>
  </si>
  <si>
    <t>НВЗ-МБ25</t>
  </si>
  <si>
    <t xml:space="preserve">НВЗ-МБ25 -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нержавеющая сталь , 1Ex d IIC Gb / 1Ex e IIC Gb / 0Ex ia IIC Ga / 2Ex nR IIC Gc / Ex ta IIIC Da, IP66 / IP68 </t>
  </si>
  <si>
    <t>НВЗ-Р16</t>
  </si>
  <si>
    <t>НВЗ-Р16 - НВЗрывозащищенная резьбовая заглушка ВЗОР, М16х1,5-6g, нержавеющая сталь, Ex d IIC Gb U / Ex e IIС Gb U / Ex ia IIC Ga U, IP66 / IP68</t>
  </si>
  <si>
    <t>НВЗ-Р20</t>
  </si>
  <si>
    <t>НВЗ-Р20 - НВЗрывозащищенная резьбовая заглушка ВЗОР, М20х1,5-6g, нержавеющая сталь, Ex d IIC Gb U / Ex e IIС Gb U / Ex ia IIC Ga U, IP66 / IP68</t>
  </si>
  <si>
    <t>НВЗ-Р25</t>
  </si>
  <si>
    <t>НВЗ-Р25 - НВЗрывозащищенная резьбовая заглушка ВЗОР, М25х1,5-6g, нержавеющая сталь, Ex d IIC Gb U / Ex e IIС Gb U / Ex ia IIC Ga U, IP66 / IP68</t>
  </si>
  <si>
    <t>НВЗ-Р32</t>
  </si>
  <si>
    <t>НВЗ-Р32 - НВЗрывозащищенная резьбовая заглушка ВЗОР, М32х1,5-6g, нержавеющая сталь, Ex d IIC Gb U / Ex e IIС Gb U / Ex ia IIC Ga U, IP66 / IP68</t>
  </si>
  <si>
    <t>НВЗ-Р40</t>
  </si>
  <si>
    <t>НВЗ-Р40 - НВЗрывозащищенная резьбовая заглушка ВЗОР, М40х1,5-6g, нержавеющая сталь, Ex d IIC Gb U / Ex e IIС Gb U / Ex ia IIC Ga U, IP66 / IP68</t>
  </si>
  <si>
    <t>ВЗ-ЭП12</t>
  </si>
  <si>
    <t>ВЗ-ЭП12 - Взрывозащищенный проходной изолятор ВЗОР под заливку компаундом, наружная резьба М12х1,5-6g, никелированная латунь, Ex d IIC Gb U / Ex e IIС Gb U / Ex ia IIC Ga U, IP66 / IP68</t>
  </si>
  <si>
    <t>ВЗ-ЭП16</t>
  </si>
  <si>
    <t>ВЗ-ЭП16 - Взрывозащищенный проходной изолятор ВЗОР под заливку компаундом, наружная резьба М16х1,5-6g, никелированная латунь, Ex d IIC Gb U / Ex e IIС Gb U / Ex ia IIC Ga U, IP66 / IP68</t>
  </si>
  <si>
    <t>ВЗ-ЭП20</t>
  </si>
  <si>
    <t>ВЗ-ЭП20 - Взрывозащищенный проходной изолятор ВЗОР под заливку компаундом, наружная резьба М20х1,5-6g, никелированная латунь, Ex d IIC Gb U / Ex e IIС Gb U / Ex ia IIC Ga U, IP66 / IP68</t>
  </si>
  <si>
    <t>ВЗ-ЭП25</t>
  </si>
  <si>
    <t>ВЗ-ЭП25 - Взрывозащищенный проходной изолятор ВЗОР под заливку компаундом, наружная резьба М25х1,5-6g, никелированная латунь, Ex d IIC Gb U / Ex e IIС Gb U / Ex ia IIC Ga U, IP66 / IP68</t>
  </si>
  <si>
    <t>ВЗ-ЭП32</t>
  </si>
  <si>
    <t>ВЗ-ЭП32 - Взрывозащищенный проходной изолятор ВЗОР под заливку компаундом, наружная резьба М32х1,5-6g, никелированная латунь, Ex d IIC Gb U / Ex e IIС Gb U / Ex ia IIC Ga U, IP66 / IP68</t>
  </si>
  <si>
    <t>ВЗ-ЭП40</t>
  </si>
  <si>
    <t>ВЗ-ЭП40 - Взрывозащищенный проходной изолятор ВЗОР под заливку компаундом, наружная резьба М40х1,5-6g, никелированная латунь, Ex d IIC Gb U / Ex e IIС Gb U / Ex ia IIC Ga U, IP66 / IP68</t>
  </si>
  <si>
    <t>ВЗ-ЭП1/4</t>
  </si>
  <si>
    <t>ВЗ-ЭП1/4 - Взрывозащищенный проходной изолятор ВЗОР под заливку компаундом, наружная резьба 1/4" NPT, никелированная латунь, Ex d IIC Gb U / Ex e IIС Gb U / Ex ia IIC Ga U, IP66 / IP68</t>
  </si>
  <si>
    <t>ВЗ-ЭП3/8</t>
  </si>
  <si>
    <t>ВЗ-ЭП3/8 - Взрывозащищенный проходной изолятор ВЗОР под заливку компаундом, наружная резьба 3/8" NPT, никелированная латунь, Ex d IIC Gb U / Ex e IIС Gb U / Ex ia IIC Ga U, IP66 / IP68</t>
  </si>
  <si>
    <t>ВЗ-ЭП1/2</t>
  </si>
  <si>
    <t>ВЗ-ЭП1/2 - Взрывозащищенный проходной изолятор ВЗОР под заливку компаундом, наружная резьба 1/2" NPT, никелированная латунь, Ex d IIC Gb U / Ex e IIС Gb U / Ex ia IIC Ga U, IP66 / IP68</t>
  </si>
  <si>
    <t>ВЗ-ЭП3/4</t>
  </si>
  <si>
    <t>ВЗ-ЭП3/4 - Взрывозащищенный проходной изолятор ВЗОР под заливку компаундом, наружная резьба 3/4" NPT, никелированная латунь, Ex d IIC Gb U / Ex e IIС Gb U / Ex ia IIC Ga U, IP66 / IP68</t>
  </si>
  <si>
    <t>ВЗ-ЭП1</t>
  </si>
  <si>
    <t>ВЗ-ЭП1 - Взрывозащищенный проходной изолятор ВЗОР под заливку компаундом, наружная резьба 1" NPT, никелированная латунь, Ex d IIC Gb U / Ex e IIС Gb U / Ex ia IIC Ga U, IP66 / IP68</t>
  </si>
  <si>
    <t>ВЗ-К20</t>
  </si>
  <si>
    <t>ВЗ-К20 - Взрывозащищенный кабельный ввод ВЗОР с герметизацией компаундом для всех видов кабелей, диаметр наружной оболочки кабеля 9-17 мм, М20х1,5-6g, никелированная латунь, Ex d IIC Gb / 1Ex e IIC Gb / 0Ex ia IIC Ga / 2Ex nR IIC Gc / Ex ta IIIC Da, IP66 / IP68</t>
  </si>
  <si>
    <t>ВЗ-К25</t>
  </si>
  <si>
    <t>ВЗ-К25 - Взрывозащищенный кабельный ввод ВЗОР с герметизацией компаундом для всех видов кабелей, диаметр наружной оболочки кабеля 15-25 мм, М25х1,5-6g, никелированная латунь, Ex d IIC Gb / 1Ex e IIC Gb / 0Ex ia IIC Ga / 2Ex nR IIC Gc / Ex ta IIIC Da, IP66 / IP68</t>
  </si>
  <si>
    <t>ВЗ-К32</t>
  </si>
  <si>
    <t>ВЗ-К32 - Взрывозащищенный кабельный ввод ВЗОР с герметизацией компаундом для всех видов кабелей, диаметр наружной оболочки кабеля 21-31 мм, М32х1,5-6g, никелированная латунь, Ex d IIC Gb / 1Ex e IIC Gb / 0Ex ia IIC Ga / 2Ex nR IIC Gc / Ex ta IIIC Da, IP66 / IP68</t>
  </si>
  <si>
    <t>ВЗ-К40</t>
  </si>
  <si>
    <t>ВЗ-К40 - Взрывозащищенный кабельный ввод ВЗОР с герметизацией компаундом для всех видов кабелей, диаметр наружной оболочки кабеля 27-37 мм, М40х1,5-6g, никелированная латунь, Ex d IIC Gb / 1Ex e IIC Gb / 0Ex ia IIC Ga / 2Ex nR IIC Gc / Ex ta IIIC Da, IP66 / IP68</t>
  </si>
  <si>
    <t>КЗ12</t>
  </si>
  <si>
    <t>КЗ12 - кольцо заземления Ду 12-6, никелированная латунь</t>
  </si>
  <si>
    <t>КЗ16</t>
  </si>
  <si>
    <t>КЗ16 - кольцо заземления Ду 16-6, никелированная латунь</t>
  </si>
  <si>
    <t>КЗ20</t>
  </si>
  <si>
    <t>КЗ20 - кольцо заземления Ду 20-6, никелированная латунь</t>
  </si>
  <si>
    <t>КЗ25</t>
  </si>
  <si>
    <t>КЗ25 - кольцо заземления Ду 25-6, никелированная латунь</t>
  </si>
  <si>
    <t>КЗ32</t>
  </si>
  <si>
    <t>КЗ32 - кольцо заземления Ду 32-6, никелированная латунь</t>
  </si>
  <si>
    <t>КЗ40</t>
  </si>
  <si>
    <t>КЗ40 - кольцо заземления Ду 40-6, никелированная латунь</t>
  </si>
  <si>
    <t>КЗ50</t>
  </si>
  <si>
    <t>КЗ50 - кольцо заземления Ду 50-6, никелированная латунь</t>
  </si>
  <si>
    <t>КЗ63</t>
  </si>
  <si>
    <t>КЗ63 - кольцо заземления Ду 63-6, никелированная латунь</t>
  </si>
  <si>
    <t>КЗ75</t>
  </si>
  <si>
    <t>КЗ75 - кольцо заземления Ду 75-6, никелированная латунь</t>
  </si>
  <si>
    <t>КЗ90</t>
  </si>
  <si>
    <t>КЗ90 - кольцо заземления Ду 90-6, никелированная латунь</t>
  </si>
  <si>
    <t>КЗ100</t>
  </si>
  <si>
    <t>КЗ100 - кольцо заземления Ду 100-6, никелированная латунь</t>
  </si>
  <si>
    <t>ГШ12</t>
  </si>
  <si>
    <t>ГШ12 - гроверная шайба Ду 12, нержавеющая сталь AISI 304</t>
  </si>
  <si>
    <t>ГШ16</t>
  </si>
  <si>
    <t>ГШ16 - гроверная шайба Ду 16, нержавеющая сталь AISI 304</t>
  </si>
  <si>
    <t>ГШ20</t>
  </si>
  <si>
    <t>ГШ20 - гроверная шайба Ду 20, нержавеющая сталь AISI 304</t>
  </si>
  <si>
    <t>ГШ25</t>
  </si>
  <si>
    <t>ГШ25 - гроверная шайба Ду 25, нержавеющая сталь AISI 304</t>
  </si>
  <si>
    <t>ГШ32</t>
  </si>
  <si>
    <t>ГШ32 - гроверная шайба Ду 32, нержавеющая сталь AISI 304</t>
  </si>
  <si>
    <t>ГШ40</t>
  </si>
  <si>
    <t>ГШ40 - гроверная шайба Ду 40, нержавеющая сталь AISI 304</t>
  </si>
  <si>
    <t>ГШ50</t>
  </si>
  <si>
    <t>ГШ50 - гроверная шайба Ду 50, нержавеющая сталь AISI 304</t>
  </si>
  <si>
    <t>ГШ63</t>
  </si>
  <si>
    <t>ГШ63 - гроверная шайба Ду 63, нержавеющая сталь AISI 304</t>
  </si>
  <si>
    <t>ГШ75</t>
  </si>
  <si>
    <t>ГШ75 - гроверная шайба Ду 75, нержавеющая сталь AISI 304</t>
  </si>
  <si>
    <t>ГШ90</t>
  </si>
  <si>
    <t>ГШ90 - гроверная шайба Ду 90, нержавеющая сталь AISI 304</t>
  </si>
  <si>
    <t>ГШ100</t>
  </si>
  <si>
    <t>ГШ100 - гроверная шайба Ду 100, нержавеющая сталь AISI 304</t>
  </si>
  <si>
    <t>КГ12</t>
  </si>
  <si>
    <t>КГ12 - контргайка М12х1,5, никелированная латунь</t>
  </si>
  <si>
    <t>КГ16</t>
  </si>
  <si>
    <t>КГ16 - контргайка М16х1,5, никелированная латунь</t>
  </si>
  <si>
    <t>КГ20</t>
  </si>
  <si>
    <t>КГ20 - контргайка М20х1,5, никелированная латунь</t>
  </si>
  <si>
    <t>КГ25</t>
  </si>
  <si>
    <t>КГ25 - контргайка М25х1,5, никелированная латунь</t>
  </si>
  <si>
    <t>КГ32</t>
  </si>
  <si>
    <t>КГ32 - контргайка М32х1,5, никелированная латунь</t>
  </si>
  <si>
    <t>КГ40</t>
  </si>
  <si>
    <t>КГ40 - контргайка М40х1,5, никелированная латунь</t>
  </si>
  <si>
    <t>КГ50</t>
  </si>
  <si>
    <t>КГ50 - контргайка М50х1,5, никелированная латунь</t>
  </si>
  <si>
    <t>КГ63</t>
  </si>
  <si>
    <t>КГ63 - контргайка М63х1,5, никелированная латунь</t>
  </si>
  <si>
    <t>КГ75</t>
  </si>
  <si>
    <t>КГ75 - контргайка М75х1,5, никелированная латунь</t>
  </si>
  <si>
    <t>КГ90</t>
  </si>
  <si>
    <t>КГ90 - контргайка М90х1,5, никелированная латунь</t>
  </si>
  <si>
    <t>КГ90А</t>
  </si>
  <si>
    <t>КГ90А - контргайка М90х2, никелированная латунь</t>
  </si>
  <si>
    <t>КГ100</t>
  </si>
  <si>
    <t>КГ100 - контргайка М100х1,5, никелированная латунь</t>
  </si>
  <si>
    <t>КГ100А</t>
  </si>
  <si>
    <t>КГ100А - контргайка М100х2, никелированная латунь</t>
  </si>
  <si>
    <t>УК12</t>
  </si>
  <si>
    <t>УК12 - уплотнительное кольцо Ду 12, полимер</t>
  </si>
  <si>
    <t>УК16</t>
  </si>
  <si>
    <t>УК16 - уплотнительное кольцо Ду 16, полимер</t>
  </si>
  <si>
    <t>УК20</t>
  </si>
  <si>
    <t>УК20 - уплотнительное кольцо Ду 20, полимер</t>
  </si>
  <si>
    <t>УК25</t>
  </si>
  <si>
    <t>УК25 - уплотнительное кольцо Ду 25, полимер</t>
  </si>
  <si>
    <t>УК32</t>
  </si>
  <si>
    <t>УК32 - уплотнительное кольцо Ду 32, полимер</t>
  </si>
  <si>
    <t>УК40</t>
  </si>
  <si>
    <t>УК40 - уплотнительное кольцо Ду 40, полимер</t>
  </si>
  <si>
    <t>УК50</t>
  </si>
  <si>
    <t>УК50 - уплотнительное кольцо Ду 50, полимер</t>
  </si>
  <si>
    <t>УК63</t>
  </si>
  <si>
    <t>УК63 - уплотнительное кольцо Ду 63, полимер</t>
  </si>
  <si>
    <t>УК75</t>
  </si>
  <si>
    <t>УК75 - уплотнительное кольцо Ду 75, полимер</t>
  </si>
  <si>
    <t>УК90</t>
  </si>
  <si>
    <t>УК90 - уплотнительное кольцо Ду 90, полимер</t>
  </si>
  <si>
    <t>УК100</t>
  </si>
  <si>
    <t>УК100 - уплотнительное кольцо Ду 100, полимер</t>
  </si>
  <si>
    <t>НВЗ-С16</t>
  </si>
  <si>
    <t xml:space="preserve">НВЗ-С16 - Взрывозащищенное дренажное устройство ВЗОР, М16х1,5-6g, нержавеющая сталь AISI 304, Ex d IIC Gb U, IP 66 </t>
  </si>
  <si>
    <t>ВЗ-Се20</t>
  </si>
  <si>
    <t>ВЗ-Се20 - Взрывозащищенное дренажное устройство ВЗОР, М20х1,5-6g, никелированная латунь, Ex e IIС Gb U / Ex ia IIC Ga U, IP 66</t>
  </si>
  <si>
    <t>НКГ16</t>
  </si>
  <si>
    <t>НКГ16 - контргайка М16х1,5, нержавеющая сталь</t>
  </si>
  <si>
    <t>НКГ20</t>
  </si>
  <si>
    <t>НКГ20 - контргайка М20х1,5, нержавеющая сталь</t>
  </si>
  <si>
    <t>НКГ25</t>
  </si>
  <si>
    <t>НКГ25 - контргайка М25х1,5, нержавеющая сталь</t>
  </si>
  <si>
    <t>НКГ32</t>
  </si>
  <si>
    <t>НКГ32 - контргайка М32х1,5, нержавеющая сталь</t>
  </si>
  <si>
    <t>НКГ40</t>
  </si>
  <si>
    <t>НКГ40 - контргайка М40х1,5, нержавеющая сталь</t>
  </si>
  <si>
    <t>М12х1,5</t>
  </si>
  <si>
    <t xml:space="preserve">РАБОТЫ - Сверловка отверстия и нарезка резьбы М12х1,5 </t>
  </si>
  <si>
    <t>М16х1,5</t>
  </si>
  <si>
    <t>РАБОТЫ - Сверловка отверстия и нарезка резьбы М16х1,5</t>
  </si>
  <si>
    <t>М20х1,5</t>
  </si>
  <si>
    <t>РАБОТЫ - Сверловка отверстия и нарезка резьбы М20х1,5</t>
  </si>
  <si>
    <t>М25х1,5</t>
  </si>
  <si>
    <t>РАБОТЫ - Сверловка отверстия и нарезка резьбы М25х1,5</t>
  </si>
  <si>
    <t>М32х1,5</t>
  </si>
  <si>
    <t>РАБОТЫ - Сверловка отверстия и нарезка резьбы М32х1,5</t>
  </si>
  <si>
    <t>М40х1,5</t>
  </si>
  <si>
    <t>РАБОТЫ - Сверловка отверстия и нарезка резьбы М40х1,5</t>
  </si>
  <si>
    <t>М50х1,5</t>
  </si>
  <si>
    <t>РАБОТЫ - Сверловка отверстия и нарезка резьбы М50х1,5</t>
  </si>
  <si>
    <t>М63х1,5</t>
  </si>
  <si>
    <t>РАБОТЫ - Сверловка отверстия и нарезка резьбы М63х1,5</t>
  </si>
  <si>
    <t>М75х1,5</t>
  </si>
  <si>
    <t>РАБОТЫ - Сверловка отверстия и нарезка резьбы М75х1,5</t>
  </si>
  <si>
    <t>М90х1,5</t>
  </si>
  <si>
    <t>РАБОТЫ - Сверловка отверстия и нарезка резьбы М90х1,5</t>
  </si>
  <si>
    <t>М90х2</t>
  </si>
  <si>
    <t>РАБОТЫ - Сверловка отверстия и нарезка резьбы М90х2</t>
  </si>
  <si>
    <t>М100х1,5</t>
  </si>
  <si>
    <t>РАБОТЫ - Сверловка отверстия и нарезка резьбы М100х1,5</t>
  </si>
  <si>
    <t>М100х2</t>
  </si>
  <si>
    <t>РАБОТЫ - Сверловка отверстия и нарезка резьбы М100х2</t>
  </si>
  <si>
    <t>1/2NPT</t>
  </si>
  <si>
    <t>РАБОТЫ - Сверловка отверстия и нарезка резьбы 1/2NPT</t>
  </si>
  <si>
    <t>3/4NPT</t>
  </si>
  <si>
    <t>РАБОТЫ - Сверловка отверстия и нарезка резьбы 3/4NPT</t>
  </si>
  <si>
    <t>1NPT</t>
  </si>
  <si>
    <t>РАБОТЫ - Сверловка отверстия и нарезка резьбы 1NPT</t>
  </si>
  <si>
    <t>1 1/4NPT</t>
  </si>
  <si>
    <t>РАБОТЫ - Сверловка отверстия и нарезка резьбы 1 1/4NPT</t>
  </si>
  <si>
    <t>1 1/2NPT</t>
  </si>
  <si>
    <t>РАБОТЫ - Сверловка отверстия и нарезка резьбы 1 1/2NPT</t>
  </si>
  <si>
    <t>2NPT</t>
  </si>
  <si>
    <t>РАБОТЫ - Сверловка отверстия и нарезка резьбы 2NPT</t>
  </si>
  <si>
    <t>1/2G</t>
  </si>
  <si>
    <t>РАБОТЫ - Сверловка отверстия и нарезка резьбы 1/2G</t>
  </si>
  <si>
    <t>3/4G</t>
  </si>
  <si>
    <t>РАБОТЫ - Сверловка отверстия и нарезка резьбы 3/4G</t>
  </si>
  <si>
    <t>1G</t>
  </si>
  <si>
    <t>РАБОТЫ - Сверловка отверстия и нарезка резьбы 1G</t>
  </si>
  <si>
    <t>1 1/4G</t>
  </si>
  <si>
    <t>РАБОТЫ - Сверловка отверстия и нарезка резьбы 1 1/4G</t>
  </si>
  <si>
    <t>1 1/2G</t>
  </si>
  <si>
    <t>РАБОТЫ - Сверловка отверстия и нарезка резьбы 1 1/2G</t>
  </si>
  <si>
    <t>2G</t>
  </si>
  <si>
    <t>РАБОТЫ - Сверловка отверстия и нарезка резьбы 2G</t>
  </si>
  <si>
    <t>ВД-ЛМ(Б)-12</t>
  </si>
  <si>
    <t>Взрывонепроницаемая лампа ВД-ЛМ, белая, М32х1.5, = 12 B, Ex db IIС Gb U, IP66 / IP67</t>
  </si>
  <si>
    <t>ВД-ЛМ(Б)-48</t>
  </si>
  <si>
    <t>Взрывонепроницаемая лампа ВД-ЛМ, белая, М32х1.5, = 48 B, Ex db IIС Gb U, IP66 / IP67</t>
  </si>
  <si>
    <t>ВД-ЛМ(Б)-110</t>
  </si>
  <si>
    <t>Взрывонепроницаемая лампа ВД-ЛМ, белая, М32х1.5, 1~110 B, Ex db IIС Gb U, IP66 / IP67</t>
  </si>
  <si>
    <t>ВД-ЛМ(К)-12</t>
  </si>
  <si>
    <t>Взрывонепроницаемая лампа ВД-ЛМ, красная, М32х1.5, = 12 B, Ex db IIС Gb U, IP66 / IP67</t>
  </si>
  <si>
    <t>ВД-ЛМ(К)-48</t>
  </si>
  <si>
    <t>Взрывонепроницаемая лампа ВД-ЛМ, красная, М32х1.5, = 48 B, Ex db IIС Gb U, IP66 / IP67</t>
  </si>
  <si>
    <t>ВД-ЛМ(К)-110</t>
  </si>
  <si>
    <t>Взрывонепроницаемая лампа ВД-ЛМ, красная, М32х1.5, 1~110 B, Ex db IIС Gb U, IP66 / IP67</t>
  </si>
  <si>
    <t>ВД-ЛМ(Ж)-12</t>
  </si>
  <si>
    <t>Взрывонепроницаемая лампа ВД-ЛМ, желтая, М32х1.5, = 12 B, Ex db IIС Gb U, IP66 / IP67</t>
  </si>
  <si>
    <t>ВД-ЛМ(Ж)-48</t>
  </si>
  <si>
    <t>Взрывонепроницаемая лампа ВД-ЛМ, желтая, М32х1.5, = 48 B, Ex db IIС Gb U, IP66 / IP67</t>
  </si>
  <si>
    <t>ВД-ЛМ(Ж)-110</t>
  </si>
  <si>
    <t>Взрывонепроницаемая лампа ВД-ЛМ, желтая, М32х1.5, 1~110 B, Ex db IIС Gb U, IP66 / IP67</t>
  </si>
  <si>
    <t>ВД-ЛМ(З)-12</t>
  </si>
  <si>
    <t>Взрывонепроницаемая лампа ВД-ЛМ, зеленая, М32х1.5, = 12 B, Ex db IIС Gb U, IP66 / IP67</t>
  </si>
  <si>
    <t>ВД-ЛМ(З)-48</t>
  </si>
  <si>
    <t>Взрывонепроницаемая лампа ВД-ЛМ, зеленая, М32х1.5, = 48 B, Ex db IIС Gb U, IP66 / IP67</t>
  </si>
  <si>
    <t>ВД-ЛМ(З)-110</t>
  </si>
  <si>
    <t>Взрывонепроницаемая лампа ВД-ЛМ, зеленая, М32х1.5, 1~110 B, Ex db IIС Gb U, IP66 / IP67</t>
  </si>
  <si>
    <t>ВД-ЛМ(С)-12</t>
  </si>
  <si>
    <t>Взрывонепроницаемая лампа ВД-ЛМ, синяя, М32х1.5, = 12 B, Ex db IIС Gb U, IP66 / IP67</t>
  </si>
  <si>
    <t>ВД-ЛМ(С)-48</t>
  </si>
  <si>
    <t>Взрывонепроницаемая лампа ВД-ЛМ, синяя, М32х1.5, = 48 B, Ex db IIС Gb U, IP66 / IP67</t>
  </si>
  <si>
    <t>ВД-ЛМ(С)-110</t>
  </si>
  <si>
    <t>Взрывонепроницаемая лампа ВД-ЛМ, синяя, М32х1.5, 1~110 B, Ex db IIС Gb U, IP66 / IP67</t>
  </si>
  <si>
    <t>ВД-РА/обратный</t>
  </si>
  <si>
    <t>Взрывонепроницаемый переключатель ВД-Р, для автоматического выключателя, обратный, Ex db IIC Gb U, IP66 / IP67</t>
  </si>
  <si>
    <t>ВД-РА/короткий</t>
  </si>
  <si>
    <t>Взрывонепроницаемый переключатель ВД-Р, для автоматического выключателя, короткий, Ex db IIC Gb U, IP66 / IP67</t>
  </si>
  <si>
    <t>ВЕ-НК(Ч)-11</t>
  </si>
  <si>
    <t>Взрывозащищенная кнопка без фиксации ВЕ-НК, черного цвета, контактная группа 1НР+1НЗ, для установки на панель, Ex d e IIC Gb U / Ex tb IIIC Db U / Ex ia IIC Ga U, IP66</t>
  </si>
  <si>
    <t>ВЕ-НК(Ч)-20</t>
  </si>
  <si>
    <t>Взрывозащищенная кнопка без фиксации ВЕ-НК, черного цвета, контактная группа 2НР, для установки на панель, Ex d e IIC Gb U / Ex tb IIIC Db U / Ex ia IIC Ga U, IP66</t>
  </si>
  <si>
    <t>ВЕ-НК(Ч)-02</t>
  </si>
  <si>
    <t>Взрывозащищенная кнопка без фиксации ВЕ-НК, черного цвета, контактная группа 2НЗ, для установки на панель, Ex d e IIC Gb U / Ex tb IIIC Db U / Ex ia IIC Ga U, IP66</t>
  </si>
  <si>
    <t>ВЕ-НК(К)-11</t>
  </si>
  <si>
    <t>Взрывозащищенная кнопка без фиксации ВЕ-НК, красного цвета, контактная группа 1НР+1НЗ, для установки на панель, Ex d e IIC Gb U / Ex tb IIIC Db U / Ex ia IIC Ga U, IP66</t>
  </si>
  <si>
    <t>ВЕ-НК(К)-20</t>
  </si>
  <si>
    <t>Взрывозащищенная кнопка без фиксации ВЕ-НК, красного цвета, контактная группа 2НР, для установки на панель, Ex d e IIC Gb U / Ex tb IIIC Db U / Ex ia IIC Ga U, IP66</t>
  </si>
  <si>
    <t>ВЕ-НК(К)-02</t>
  </si>
  <si>
    <t>Взрывозащищенная кнопка без фиксации ВЕ-НК, красного цвета, контактная группа 2НЗ, для установки на панель, Ex d e IIC Gb U / Ex tb IIIC Db U / Ex ia IIC Ga U, IP66</t>
  </si>
  <si>
    <t>ВЕ-НК(З)-11</t>
  </si>
  <si>
    <t>Взрывозащищенная кнопка без фиксации ВЕ-НК, зеленого цвета, контактная группа 1НР+1НЗ, для установки на панель, Ex d e IIC Gb U / Ex tb IIIC Db U / Ex ia IIC Ga U, IP66</t>
  </si>
  <si>
    <t>ВЕ-НК(З)-20</t>
  </si>
  <si>
    <t>Взрывозащищенная кнопка без фиксации ВЕ-НК, зеленого цвета, контактная группа 2НР, для установки на панель, Ex d e IIC Gb U / Ex tb IIIC Db U / Ex ia IIC Ga U, IP66</t>
  </si>
  <si>
    <t>ВЕ-НК(З)-02</t>
  </si>
  <si>
    <t>Взрывозащищенная кнопка без фиксации ВЕ-НК, зеленого цвета, контактная группа 2НЗ, для установки на панель, Ex d e IIC Gb U / Ex tb IIIC Db U / Ex ia IIC Ga U, IP66</t>
  </si>
  <si>
    <t>ВЕ-НК(Ж)-11</t>
  </si>
  <si>
    <t>Взрывозащищенная кнопка без фиксации ВЕ-НК, желтого цвета, контактная группа 1НР+1НЗ, для установки на панель, Ex d e IIC Gb U / Ex tb IIIC Db U / Ex ia IIC Ga U, IP66</t>
  </si>
  <si>
    <t>ВЕ-НК(Ч)-10</t>
  </si>
  <si>
    <t>Взрывозащищенная кнопка без фиксации ВЕ-НК, черного цвета, контактная группа 1НР, для установки на панель, Ex d e IIC Gb U / Ex tb IIIC Db U / Ex ia IIC Ga U, IP66</t>
  </si>
  <si>
    <t>ВЕ-НК(Ч)-01</t>
  </si>
  <si>
    <t>Взрывозащищенная кнопка без фиксации ВЕ-НК, черного цвета, контактная группа 1НЗ, для установки на панель, Ex d e IIC Gb U / Ex tb IIIC Db U / Ex ia IIC Ga U, IP66</t>
  </si>
  <si>
    <t>ВЕ-НК(К)-10</t>
  </si>
  <si>
    <t>Взрывозащищенная кнопка без фиксации ВЕ-НК, красного цвета, контактная группа 1НР, для установки на панель, Ex d e IIC Gb U / Ex tb IIIC Db U / Ex ia IIC Ga U, IP66</t>
  </si>
  <si>
    <t>ВЕ-НК(К)-01</t>
  </si>
  <si>
    <t>Взрывозащищенная кнопка без фиксации ВЕ-НК, красного цвета, контактная группа 1НЗ, для установки на панель, Ex d e IIC Gb U / Ex tb IIIC Db U / Ex ia IIC Ga U, IP66</t>
  </si>
  <si>
    <t>ВЕ-НК(З)-10</t>
  </si>
  <si>
    <t>Взрывозащищенная кнопка без фиксации ВЕ-НК, зеленого цвета, контактная группа 1НР, для установки на панель, Ex d e IIC Gb U / Ex tb IIIC Db U / Ex ia IIC Ga U, IP66</t>
  </si>
  <si>
    <t>ВЕ-НК(З)-01</t>
  </si>
  <si>
    <t>Взрывозащищенная кнопка без фиксации ВЕ-НК, зеленого цвета, контактная группа 1НЗ, для установки на панель, Ex d e IIC Gb U / Ex tb IIIC Db U / Ex ia IIC Ga U, IP66</t>
  </si>
  <si>
    <t>ВЕ-НК(Ж)-10</t>
  </si>
  <si>
    <t>Взрывозащищенная кнопка без фиксации ВЕ-НК, желтого цвета, контактная группа 1НР, для установки на панель, Ex d e IIC Gb U / Ex tb IIIC Db U / Ex ia IIC Ga U, IP66</t>
  </si>
  <si>
    <t>ВЕ-НК(Ж)-01</t>
  </si>
  <si>
    <t>Взрывозащищенная кнопка без фиксации ВЕ-НК, желтого цвета, контактная группа 1НЗ, для установки на панель, Ex d e IIC Gb U / Ex tb IIIC Db U / Ex ia IIC Ga U, IP66</t>
  </si>
  <si>
    <t>ВЕ-НКЛ(К)-01</t>
  </si>
  <si>
    <t>Взрывозащищенная кнопка без фиксации с подсветкой ВЕ-НКЛ, красного цвета, контактная группа 1НЗ, для установки на панель, DC24, Ex d e IIC Gb U / Ex tb IIIC Db U / Ex ia IIC Ga U, IP66</t>
  </si>
  <si>
    <t>ВЕ-НКЛ(З)-01</t>
  </si>
  <si>
    <t>Взрывозащищенная кнопка без фиксации с подсветкой ВЕ-НКЛ, зеленого цвета, контактная группа 1НЗ, для установки на панель, DC24, Ex d e IIC Gb U / Ex tb IIIC Db U / Ex ia IIC Ga U, IP66</t>
  </si>
  <si>
    <t>ВЕ-НКЛ(Ж)-10</t>
  </si>
  <si>
    <t>Взрывозащищенная кнопка без фиксации с подсветкой ВЕ-НКЛ, желтого цвета, контактная группа 1НР, для установки на панель, DC24, Ex d e IIC Gb U / Ex tb IIIC Db U / Ex ia IIC Ga U, IP66</t>
  </si>
  <si>
    <t>ВЕ-НКК(К+З)-11</t>
  </si>
  <si>
    <t>Взрывозащищенная сдвоенная кнопка без фиксации ВЕ-НКК, толкатели красного и зеленого цветов, контактная группа 1НР+1НЗ, для установки на панель, Ex d e IIC Gb U / Ex tb IIIC Db U / Ex ia IIC Ga U, IP66</t>
  </si>
  <si>
    <t>ВЕ-ГР(Ч)-11</t>
  </si>
  <si>
    <t>Взрывозащищенная грибовидная без фиксации ВЕ-ГР, черного цвета, контактная группа 1НР+1НЗ, для установки на панель, Ex d e IIC Gb U / Ex tb IIIC Db U / Ex ia IIC Ga U, IP66</t>
  </si>
  <si>
    <t>ВЕ-ГРФ(К)-11</t>
  </si>
  <si>
    <t>Взрывозащищенная грибовидная кнопка с фиксацией ВЕ-ГРФ, красного цвета, контактная группа 1НР+1НЗ, для установки на панель, Ex d e IIC Gb U / Ex tb IIIC Db U / Ex ia IIC Ga U, IP66</t>
  </si>
  <si>
    <t>ВЕ-ГРФК(К)-11</t>
  </si>
  <si>
    <t>Взрывозащищенная грибовидная кнопка с ключом ВЕ-ГРФ, красного цвета, контактная группа 1НР+1НЗ, для установки на панель, Ex d e IIC Gb U / Ex tb IIIC Db U / Ex ia IIC Ga U, IP66</t>
  </si>
  <si>
    <t>ВЕ-ЛМ(К)</t>
  </si>
  <si>
    <t>Взрывозащищенная лампа ВЕ-ЛМ, красного цвета, для установки на панель, DC24, Ex d e IIC Gb U / Ex tb IIIC Db U / Ex ia IIC Ga U, IP66</t>
  </si>
  <si>
    <t>ВЕ-ЛМ(З)</t>
  </si>
  <si>
    <t>Взрывозащищенная лампа ВЕ-ЛМ, зеленого цвета, для установки на панель, DC24, Ex d e IIC Gb U / Ex tb IIIC Db U / Ex ia IIC Ga U, IP66</t>
  </si>
  <si>
    <t>ВЕ-ЛМ(Ж)</t>
  </si>
  <si>
    <t>Взрывозащищенная лампа ВЕ-ЛМ, желтого цвета, для установки на панель, DC24, Ex d e IIC Gb U / Ex tb IIIC Db U / Ex ia IIC Ga U, IP66</t>
  </si>
  <si>
    <t>ВЕ-ЛМ(К)/230</t>
  </si>
  <si>
    <t>Взрывозащищенная лампа ВЕ-ЛМ, красного цвета, для установки на панель, AC230, Ex d e IIC Gb U / Ex tb IIIC Db U / Ex ia IIC Ga U, IP66</t>
  </si>
  <si>
    <t>ВЕ-ЛМ(З)/230</t>
  </si>
  <si>
    <t>Взрывозащищенная лампа ВЕ-ЛМ, зеленого цвета, для установки на панель, AC230, Ex d e IIC Gb U / Ex tb IIIC Db U / Ex ia IIC Ga U, IP66</t>
  </si>
  <si>
    <t>ВЕ-ЛМ(Ж)/230</t>
  </si>
  <si>
    <t>Взрывозащищенная лампа ВЕ-ЛМ, желтого цвета, для установки на панель, AC230, Ex d e IIC Gb U / Ex tb IIIC Db U / Ex ia IIC Ga U, IP66</t>
  </si>
  <si>
    <t>ВЕ-ЛМ(Б)/230</t>
  </si>
  <si>
    <t>Взрывозащищенная лампа ВЕ-ЛМ, белого цвета, для установки на панель, AC230, Ex d e IIC Gb U / Ex tb IIIC Db U / Ex ia IIC Ga U, IP66</t>
  </si>
  <si>
    <t>ВЕ-РС-10К</t>
  </si>
  <si>
    <t>Взрывозащищенный потенциометр ВЕ-РС, на сопротивление 10 кОм, для установки на панель, Ex d e IIC Gb U / Ex tb IIIC Db U / Ex ia IIC Ga U, IP66</t>
  </si>
  <si>
    <t>ВЕ-ПЛ-20</t>
  </si>
  <si>
    <t>Взрывозащищенный переключатель ВЕ-ПЛ, 2НР, для установки на панель, Ex d e IIC Gb U / Ex tb IIIC Db U / Ex ia IIC Ga U, IP66</t>
  </si>
  <si>
    <t>ВЕ-ПЛ-А05</t>
  </si>
  <si>
    <t>Взрывозащищенный переключатель ВЕ-ПЛ, схема А05, для установки на панель, Ex d e IIC Gb U / Ex tb IIIC Db U / Ex ia IIC Ga U, IP66</t>
  </si>
  <si>
    <t>ВЕ-ПЛ-А06</t>
  </si>
  <si>
    <t>Взрывозащищенный переключатель ВЕ-ПЛ, схема А06, для установки на панель, Ex d e IIC Gb U / Ex tb IIIC Db U / Ex ia IIC Ga U, IP66</t>
  </si>
  <si>
    <t>ВЕ-ПЛ-Б01</t>
  </si>
  <si>
    <t>Взрывозащищенный переключатель ВЕ-ПЛ, схема Б01, для установки на панель, Ex d e IIC Gb U / Ex tb IIIC Db U / Ex ia IIC Ga U, IP66</t>
  </si>
  <si>
    <t>3044076 UT 2,5 Клемма Phoenix Сontact</t>
  </si>
  <si>
    <t>3044089 UT 2,5 BU Клемма Phoenix Сontact</t>
  </si>
  <si>
    <t>3044092 UT 2,5-PE Клемма Phoenix Сontact</t>
  </si>
  <si>
    <t>3044102 UT 4 Клемма Phoenix Сontact</t>
  </si>
  <si>
    <t>3044115 UT 4 BU Клемма Phoenix Сontact</t>
  </si>
  <si>
    <t>3044128 UT 4-PE Клемма Phoenix Сontact</t>
  </si>
  <si>
    <t>USLKG 4</t>
  </si>
  <si>
    <t>441012 USLKG 4 Клемма Phoenix Сontact</t>
  </si>
  <si>
    <t>3044131 UT 6 Клемма Phoenix Сontact</t>
  </si>
  <si>
    <t>3044144 UT 6 BU Клемма Phoenix Сontact</t>
  </si>
  <si>
    <t>3044157 UT 6-PE Клемма Phoenix Сontact</t>
  </si>
  <si>
    <t>3044160 UT 10 Клемма Phoenix Сontact</t>
  </si>
  <si>
    <t>3044188 UT 10 BU Клемма Phoenix Сontact</t>
  </si>
  <si>
    <t>3044173 UT 10-PE Клемма Phoenix Сontact</t>
  </si>
  <si>
    <t>3044199 UT 16 Клемма Phoenix Сontact</t>
  </si>
  <si>
    <t>3044209 UT 16 BU Клемма Phoenix Сontact</t>
  </si>
  <si>
    <t>3044212 UT 16-PE Клемма Phoenix Сontact</t>
  </si>
  <si>
    <t>3044225 UT 35 Клемма Phoenix Сontact</t>
  </si>
  <si>
    <t>3044238 UT 35 BU Клемма Phoenix Сontact</t>
  </si>
  <si>
    <t>3044241 UT 35-PE Клемма Phoenix Сontact</t>
  </si>
  <si>
    <t>UKH 50 1500V</t>
  </si>
  <si>
    <t>3247400 UKH 50 1500V Клемма Phoenix Сontact</t>
  </si>
  <si>
    <t>UKH 50 1500V BU</t>
  </si>
  <si>
    <t>3247402 UKH 50 1500V BU Клемма Phoenix Сontact</t>
  </si>
  <si>
    <t>3213140 UKH 70 Клемма Phoenix Сontact</t>
  </si>
  <si>
    <t>UKH 70 1500V</t>
  </si>
  <si>
    <t>3247461 UKH 70 1500V Клемма Phoenix Сontact</t>
  </si>
  <si>
    <t>3244601 UKH 70 BU Клемма Phoenix Сontact</t>
  </si>
  <si>
    <t>UKH  95</t>
  </si>
  <si>
    <t>3010013 UKH  95 Клемма Phoenix Сontact</t>
  </si>
  <si>
    <t>UKH 95 1500V</t>
  </si>
  <si>
    <t>3247419 UKH 95 1500V Клемма Phoenix Сontact</t>
  </si>
  <si>
    <t>UKH  95 BU</t>
  </si>
  <si>
    <t>3010136 UKH  95 BU Клемма Phoenix Сontact</t>
  </si>
  <si>
    <t>UKH 95 1500V BU</t>
  </si>
  <si>
    <t>3247420 UKH 95 1500V BU Клемма Phoenix Сontact</t>
  </si>
  <si>
    <t>3010110 UKH 150 Клемма Phoenix Сontact</t>
  </si>
  <si>
    <t>UKH 150 1500V</t>
  </si>
  <si>
    <t>3247433 UKH 150 1500V Клемма Phoenix Сontact</t>
  </si>
  <si>
    <t>3010123 UKH 150 BU Клемма Phoenix Сontact</t>
  </si>
  <si>
    <t>UKH 150 1500V BU</t>
  </si>
  <si>
    <t>3247434 UKH 150 1500V BU Клемма Phoenix Сontact</t>
  </si>
  <si>
    <t>3010217 UKH 240 Клемма Phoenix Сontact</t>
  </si>
  <si>
    <t>USLKG 2,5</t>
  </si>
  <si>
    <t>441025 USLKG 2,5 Клемма Phoenix Сontact</t>
  </si>
  <si>
    <t>441041 USLKG 95 Клемма Phoenix Сontact</t>
  </si>
  <si>
    <t>USLKG 10</t>
  </si>
  <si>
    <t>442011 USLKG 10 Клемма Phoenix Сontact</t>
  </si>
  <si>
    <t>USLKG 16</t>
  </si>
  <si>
    <t>443010 USLKG 16 Клемма Phoenix Сontact</t>
  </si>
  <si>
    <t>443049 USLKG 50 Клемма Phoenix Сontact</t>
  </si>
  <si>
    <t>UISLKG 16</t>
  </si>
  <si>
    <t>443052 UISLKG 16 Клемма Phoenix Сontact</t>
  </si>
  <si>
    <t>UISLKG 35</t>
  </si>
  <si>
    <t>443065 UISLKG 35 Клемма Phoenix Сontact</t>
  </si>
  <si>
    <t>USLKG 35</t>
  </si>
  <si>
    <t>444019 USLKG 35 Клемма Phoenix Сontact</t>
  </si>
  <si>
    <t>711852 UKH 240 BU Клемма Phoenix Сontact</t>
  </si>
  <si>
    <t>UKH 70-PE/S</t>
  </si>
  <si>
    <t>3213141 UKH 70-PE/S Клемма Phoenix Сontact</t>
  </si>
  <si>
    <t>3031238 ST 2,5-PE Клемма Phoenix Сontact</t>
  </si>
  <si>
    <t>3031076 ST 1,5 Клемма Phoenix Сontact</t>
  </si>
  <si>
    <t>3031089 ST 1,5 BU Клемма Phoenix Сontact</t>
  </si>
  <si>
    <t>3031364 ST 4 Клемма Phoenix Сontact</t>
  </si>
  <si>
    <t>3031513 ST 1,5-PE Клемма Phoenix Сontact</t>
  </si>
  <si>
    <t>3031377 ST 4 BU Клемма Phoenix Сontact</t>
  </si>
  <si>
    <t>3031380 ST 4-PE Клемма Phoenix Сontact</t>
  </si>
  <si>
    <t>3031487 ST 6 Клемма Phoenix Сontact</t>
  </si>
  <si>
    <t>3031490 ST 6 BU Клемма Phoenix Сontact</t>
  </si>
  <si>
    <t>3031500 ST 6-PE Клемма Phoenix Сontact</t>
  </si>
  <si>
    <t>3036110 ST 10 Клемма Phoenix Сontact</t>
  </si>
  <si>
    <t>3036123 ST 10 BU Клемма Phoenix Сontact</t>
  </si>
  <si>
    <t>3036136 ST 10-PE Клемма Phoenix Сontact</t>
  </si>
  <si>
    <t>3036149 ST 16 Клемма Phoenix Сontact</t>
  </si>
  <si>
    <t>3036152 ST 16 BU Клемма Phoenix Сontact</t>
  </si>
  <si>
    <t>3036165 ST 16-PE Клемма Phoenix Сontact</t>
  </si>
  <si>
    <t>3036178 ST 35 Клемма Phoenix Сontact</t>
  </si>
  <si>
    <t>3036181 ST 35 BU Клемма Phoenix Сontact</t>
  </si>
  <si>
    <t>3036194 ST 35-PE Клемма Phoenix Сontact</t>
  </si>
  <si>
    <t>3031212 ST 2,5 Клемма Phoenix Сontact</t>
  </si>
  <si>
    <t>3031225 ST 2,5 BU Клемма Phoenix Сontact</t>
  </si>
  <si>
    <t>3047028 D-UT 2,5/10 Концевая пластина Phoenix Сontact</t>
  </si>
  <si>
    <t>D-UT 16</t>
  </si>
  <si>
    <t>3047206 D-UT 16 Концевая пластина Phoenix Сontact</t>
  </si>
  <si>
    <t>3030417 D-ST 2,5 Концевая пластина Phoenix Сontact</t>
  </si>
  <si>
    <t>3030420 D-ST 4 Концевая пластина Phoenix Сontact</t>
  </si>
  <si>
    <t>3030433 D-ST 6 Концевая пластина Phoenix Сontact</t>
  </si>
  <si>
    <t>3036644 D-ST 10 Концевая пластина Phoenix Сontact</t>
  </si>
  <si>
    <t>3036657 D-ST 16 Концевая пластина Phoenix Сontact</t>
  </si>
  <si>
    <t>CLIPFIX 35-5 V0</t>
  </si>
  <si>
    <t>3032350 CLIPFIX 35-5 V0 Концевой стопор Phoenix Сontact</t>
  </si>
  <si>
    <t>Клемма</t>
  </si>
  <si>
    <t>проходная</t>
  </si>
  <si>
    <t>Клемма проходная для провода сечением 2,5кв.мм</t>
  </si>
  <si>
    <t>Столбец5</t>
  </si>
  <si>
    <t>Клемма проходная для провода сечением 4кв.мм</t>
  </si>
  <si>
    <t>Клемма проходная для провода сечением 6кв.мм</t>
  </si>
  <si>
    <t>Клемма проходная для провода сечением 10кв.мм</t>
  </si>
  <si>
    <t>Клемма проходная для провода сечением 16кв.мм</t>
  </si>
  <si>
    <t>Клемма проходная для провода сечением 35кв.мм</t>
  </si>
  <si>
    <t>Клемма проходная для провода сечением 50кв.мм</t>
  </si>
  <si>
    <t>Клемма проходная для провода сечением 70кв.мм</t>
  </si>
  <si>
    <t>Клемма проходная для провода сечением 95кв.мм</t>
  </si>
  <si>
    <t>Клемма проходная для провода сечением 120кв.мм</t>
  </si>
  <si>
    <t>Клемма проходная для провода сечением 150кв.мм</t>
  </si>
  <si>
    <t>Клемма проходная для провода сечением 240кв.мм</t>
  </si>
  <si>
    <t>Клемма N для провода сечением 2,5кв.мм</t>
  </si>
  <si>
    <t>Клемма N для провода сечением 4кв.мм</t>
  </si>
  <si>
    <t>Клемма N для провода сечением 6кв.мм</t>
  </si>
  <si>
    <t>Клемма N для провода сечением 10кв.мм</t>
  </si>
  <si>
    <t>Клемма N для провода сечением 16кв.мм</t>
  </si>
  <si>
    <t>Клемма N для провода сечением 35кв.мм</t>
  </si>
  <si>
    <t>Клемма N для провода сечением 50кв.мм</t>
  </si>
  <si>
    <t>Клемма N для провода сечением 70кв.мм</t>
  </si>
  <si>
    <t>Клемма N для провода сечением 95кв.мм</t>
  </si>
  <si>
    <t>Клемма N для провода сечением 120кв.мм</t>
  </si>
  <si>
    <t>Клемма N для провода сечением 150кв.мм</t>
  </si>
  <si>
    <t>Клемма N для провода сечением 240кв.мм</t>
  </si>
  <si>
    <t>Клемма PE для провода сечением 2,5кв.мм</t>
  </si>
  <si>
    <t>Клемма PE для провода сечением 4кв.мм</t>
  </si>
  <si>
    <t>Клемма PE для провода сечением 6кв.мм</t>
  </si>
  <si>
    <t>Клемма PE для провода сечением 10кв.мм</t>
  </si>
  <si>
    <t>Клемма PE для провода сечением 16кв.мм</t>
  </si>
  <si>
    <t>Клемма PE для провода сечением 35кв.мм</t>
  </si>
  <si>
    <t>Клемма PE для провода сечением 50кв.мм</t>
  </si>
  <si>
    <t>Клемма PE для провода сечением 70кв.мм</t>
  </si>
  <si>
    <t>Клемма PE для провода сечением 95кв.мм</t>
  </si>
  <si>
    <t>Клемма PE для провода сечением 120кв.мм</t>
  </si>
  <si>
    <t>Клемма проходная для провода сечением 1,5кв.мм</t>
  </si>
  <si>
    <t>Клемма PE для провода сечением 1,5кв.мм</t>
  </si>
  <si>
    <t>Клемма N для провода сечением 1,5кв.мм</t>
  </si>
  <si>
    <t>Клемма Перемычка для провода сечением 2,5кв.мм</t>
  </si>
  <si>
    <t xml:space="preserve"> Перемычка для провода сечением 4кв.мм</t>
  </si>
  <si>
    <t xml:space="preserve"> Перемычка для провода сечением 6кв.мм</t>
  </si>
  <si>
    <t xml:space="preserve"> Перемычка для провода сечением 10кв.мм</t>
  </si>
  <si>
    <t xml:space="preserve"> Перемычка для провода сечением 16кв.мм</t>
  </si>
  <si>
    <t>Трудозатраты</t>
  </si>
  <si>
    <t>Работы</t>
  </si>
  <si>
    <t>Включено - сверловка + установка</t>
  </si>
  <si>
    <t xml:space="preserve">Сверловка+Установка арматуры М12х1,5 </t>
  </si>
  <si>
    <t>Сверловка+Установка арматуры М16х1,5</t>
  </si>
  <si>
    <t>Сверловка+Установка арматуры М20х1,5</t>
  </si>
  <si>
    <t>Сверловка+Установка арматуры М25х1,5</t>
  </si>
  <si>
    <t>Сверловка+Установка арматуры М32х1,5</t>
  </si>
  <si>
    <t>Сверловка+Установка арматуры М40х1,5</t>
  </si>
  <si>
    <t>Сверловка+Установка арматуры М50х1,5</t>
  </si>
  <si>
    <t>Сверловка+Установка арматуры М63х1,5</t>
  </si>
  <si>
    <t>Сверловка+Установка арматуры М75х1,5</t>
  </si>
  <si>
    <t>Сверловка+Установка арматуры М75х1,6</t>
  </si>
  <si>
    <t>Сверловка+Установка арматуры М90х1</t>
  </si>
  <si>
    <t>Сверловка+Установка арматуры М90х0</t>
  </si>
  <si>
    <t>Сверловка+Установка арматуры М90х2</t>
  </si>
  <si>
    <t>Сверловка+Установка арматуры М100х2</t>
  </si>
  <si>
    <t>согласно чертежа</t>
  </si>
  <si>
    <t>подключение согласно схемы</t>
  </si>
  <si>
    <t>Маркировка изделия, идентификация элементов управления</t>
  </si>
  <si>
    <t>Установка кабельного ввода Exd</t>
  </si>
  <si>
    <t>Фрезеровка+установка окна1</t>
  </si>
  <si>
    <t>Фрезеровка+установка окна2</t>
  </si>
  <si>
    <t>Фрезеровка+установка окна3</t>
  </si>
  <si>
    <t>Фрезеровка+установка окна4</t>
  </si>
  <si>
    <t>Фрезеровка+установка окна5</t>
  </si>
  <si>
    <t>Фрезеровка+установка окна6</t>
  </si>
  <si>
    <t>Фрезеровка+установка окна7</t>
  </si>
  <si>
    <t>Фрезеровка+установка окна8</t>
  </si>
  <si>
    <t>Фрезеровка+установка окна9</t>
  </si>
  <si>
    <t>Фрезеровка+установка окна10</t>
  </si>
  <si>
    <t>Фрезеровка+установка окна11</t>
  </si>
  <si>
    <t>Установка элемента на DIN-рейку</t>
  </si>
  <si>
    <t>Вид работ</t>
  </si>
  <si>
    <t>Общая стоимость элемента</t>
  </si>
  <si>
    <t>КВО.5610743</t>
  </si>
  <si>
    <t>НВО.5610743</t>
  </si>
  <si>
    <t>Оболочка взрывонепроницаемая сварной конструкции из нержавеющей стали</t>
  </si>
  <si>
    <t>Оболочка взрывонепроницаемая сварная из конструкционной стали</t>
  </si>
  <si>
    <t>Общая стоимость</t>
  </si>
  <si>
    <t>Общая стоимость без НДС:</t>
  </si>
  <si>
    <t>ВОС.171714 - Взрывонепроницаемая оболочка ВЗОР из алюминиевого сплава серии ВОС, 168х168х141 мм, Ex db IIC Gb U, IP66</t>
  </si>
  <si>
    <t>ВОС.202015 - Взрывонепроницаемая оболочка ВЗОР из алюминиевого сплава серии ВОС, 198х198х152 мм, Ex db IIC Gb U, IP66</t>
  </si>
  <si>
    <t>ВОС.242417 - Взрывонепроницаемая оболочка ВЗОР из алюминиевого сплава серии ВОС, 240х240х171 мм, Ex db IIC Gb U, IP66</t>
  </si>
  <si>
    <t>.5610743</t>
  </si>
  <si>
    <t>КВО.8412045</t>
  </si>
  <si>
    <t>.8412045</t>
  </si>
  <si>
    <t>840х1200х450</t>
  </si>
  <si>
    <t>Итого прочих изделий на:</t>
  </si>
  <si>
    <t>Точек подключения</t>
  </si>
  <si>
    <t>Всего  трудозатрат</t>
  </si>
  <si>
    <t>Всего точек подключения:</t>
  </si>
  <si>
    <t>Трудозатраты из таблицы (учтены в стоимости элементов)</t>
  </si>
  <si>
    <t>Всего трудозатрат:</t>
  </si>
  <si>
    <t>ВА.281810</t>
  </si>
  <si>
    <t>ВА.332311</t>
  </si>
  <si>
    <t>ВА.402323</t>
  </si>
  <si>
    <t>ВА.603118</t>
  </si>
  <si>
    <t>ВА.606020</t>
  </si>
  <si>
    <t>Взрывозащищенная оболочка из алюминиевого сплава ВА, Exe IIC Gb U, IP66/IP65</t>
  </si>
  <si>
    <t>Взрывозащищенная клеммная коробка из прессматериала на основе полиэфирных смол серии КВП</t>
  </si>
  <si>
    <t>Взрывозащищенная клеммная коробка из алюминиевого сплава серии КВА</t>
  </si>
  <si>
    <t>Взрывозащищенная клеммная коробка из стали с антикоррозийным покрытием  серии КВС</t>
  </si>
  <si>
    <t>.281810</t>
  </si>
  <si>
    <t>.332311</t>
  </si>
  <si>
    <t>.402323</t>
  </si>
  <si>
    <t>.603118</t>
  </si>
  <si>
    <t>.606020</t>
  </si>
  <si>
    <t>Exe - d - компоненты</t>
  </si>
  <si>
    <t>ЭУЕ</t>
  </si>
  <si>
    <t>Взрывонепроницаемое устройство управления из конструкционной стали серии ЩДК</t>
  </si>
  <si>
    <t>Размер окна</t>
  </si>
  <si>
    <t>Н.Р материала ,кв.м</t>
  </si>
  <si>
    <t>Стоимость материала</t>
  </si>
  <si>
    <t>Т-сть фрезер ЧПУ</t>
  </si>
  <si>
    <t>Тр-сть монтажа</t>
  </si>
  <si>
    <t>Итого тр-сть</t>
  </si>
  <si>
    <t>Стоимость работ</t>
  </si>
  <si>
    <t>Итого стоимость см окна</t>
  </si>
  <si>
    <t>48х48</t>
  </si>
  <si>
    <t>96х48</t>
  </si>
  <si>
    <t>60х60</t>
  </si>
  <si>
    <t>75х75</t>
  </si>
  <si>
    <t>150х75</t>
  </si>
  <si>
    <t>150х150</t>
  </si>
  <si>
    <t>300х75</t>
  </si>
  <si>
    <t>300х150</t>
  </si>
  <si>
    <t>300х200</t>
  </si>
  <si>
    <t>300х300</t>
  </si>
  <si>
    <t>450х300</t>
  </si>
  <si>
    <t>Расмчеты стоимости окон</t>
  </si>
  <si>
    <t>ширина</t>
  </si>
  <si>
    <t>площадь</t>
  </si>
  <si>
    <t>стоимость</t>
  </si>
  <si>
    <t>Расчет трудозатрат: время, затраченное на работу * стоимость рабочей единицы времени</t>
  </si>
  <si>
    <t>Деталь</t>
  </si>
  <si>
    <t>Рукоятка</t>
  </si>
  <si>
    <t>Скоба перекл.</t>
  </si>
  <si>
    <t>Штуцер</t>
  </si>
  <si>
    <t>Гайка ГОСТ</t>
  </si>
  <si>
    <t>Дата обновления цен</t>
  </si>
  <si>
    <t>Трудоемкость</t>
  </si>
  <si>
    <t>Расчет стоимости элементов</t>
  </si>
  <si>
    <t>Принцип расчета трудозатрат:</t>
  </si>
  <si>
    <t>1 минута работы стоит:</t>
  </si>
  <si>
    <t>трудоемкость*720р/ч</t>
  </si>
  <si>
    <t>Время в мин.(предположительно)</t>
  </si>
  <si>
    <t>ВД-РА (узел управления модульным АВ)</t>
  </si>
  <si>
    <t>ВД-РСА (узел управления силовым АВ)</t>
  </si>
  <si>
    <t>Вал рукоятки</t>
  </si>
  <si>
    <t>Пластина посадочная</t>
  </si>
  <si>
    <t>Улавливатель</t>
  </si>
  <si>
    <t>ВД-РП (узел управления кулачковым переключателем )</t>
  </si>
  <si>
    <t>Вал рукоятки переключат</t>
  </si>
  <si>
    <t>Скоба переключателя</t>
  </si>
  <si>
    <t>Кронштейн ПП53</t>
  </si>
  <si>
    <t xml:space="preserve"> </t>
  </si>
  <si>
    <t>Итоговая стоимость не установленного элемента</t>
  </si>
  <si>
    <t>ВД-РР (узел управления резистором)</t>
  </si>
  <si>
    <t>Скоба</t>
  </si>
  <si>
    <t>Ручка</t>
  </si>
  <si>
    <t>560х1070х430</t>
  </si>
  <si>
    <t xml:space="preserve">ВЗ-МБ20 - Взрывозащищенный кабельный ввод ВЗОР для всех типов бронированного кабеля круглого сечения, диаметр обжимаемого кабеля по наружной оболочке 9-17 мм, по внутренней оболочке 6-14 мм, М20х1,5-6g, никелированная латунь, 1Ex d IIC Gb / 1Ex e IIC Gb / 0Ex ia IIC Ga / 2Ex nR IIC Gc / Ex ta IIIC Da, IP66 / IP68 </t>
  </si>
  <si>
    <t xml:space="preserve">ВЗ-МБ25 -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никелированная латунь, 1Ex d IIC Gb / 1Ex e IIC Gb / 0Ex ia IIC Ga / 2Ex nR IIC Gc / Ex ta IIIC Da, IP66 / IP68 </t>
  </si>
  <si>
    <t xml:space="preserve">ВЗ-МБ32 -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никелированная латунь, 1Ex d IIC Gb / 1Ex e IIC Gb / 0Ex ia IIC Ga / 2Ex nR IIC Gc / Ex ta IIIC Da, IP66 / IP68 </t>
  </si>
  <si>
    <t xml:space="preserve">ВЗ-МБ40 - Взрывозащищенный кабельный ввод ВЗОР для всех типов бронированного кабеля круглого сечения, диаметр обжимаемого кабеля по наружной оболочке 27-37 мм, по внутренней оболочке 25-31 мм, М40х1,5-6g, никелированная латунь, 1Ex d IIC Gb / 1Ex e IIC Gb / 0Ex ia IIC Ga / 2Ex nR IIC Gc / Ex ta IIIC Da, IP66 / IP68 </t>
  </si>
  <si>
    <t>.5710741</t>
  </si>
  <si>
    <t>JB/JB310</t>
  </si>
  <si>
    <t>660х963х475</t>
  </si>
  <si>
    <t>ВП.150807</t>
  </si>
  <si>
    <t>ВП.197575</t>
  </si>
  <si>
    <t>ВП.262516</t>
  </si>
  <si>
    <t>ВП.262512</t>
  </si>
  <si>
    <t>ВП.402512</t>
  </si>
  <si>
    <t>ВП.402516</t>
  </si>
  <si>
    <t>ВП.404020</t>
  </si>
  <si>
    <t>ВП.602512</t>
  </si>
  <si>
    <t>ВА.122209</t>
  </si>
  <si>
    <t>ВА.121211</t>
  </si>
  <si>
    <t>ВН.151509</t>
  </si>
  <si>
    <t>ВН.303015</t>
  </si>
  <si>
    <t>ВН.383816</t>
  </si>
  <si>
    <t>ВН.605018</t>
  </si>
  <si>
    <t>КВО</t>
  </si>
  <si>
    <t>ПВЗ-Н12</t>
  </si>
  <si>
    <t>ПВЗ-Н16</t>
  </si>
  <si>
    <t>ПВЗ-Н20</t>
  </si>
  <si>
    <t>ПВЗ-Н25</t>
  </si>
  <si>
    <t>ПВЗ-Н32</t>
  </si>
  <si>
    <t>ПВЗ-Н40</t>
  </si>
  <si>
    <t>В3-П40/КР-02</t>
  </si>
  <si>
    <t>AKZ 1.5</t>
  </si>
  <si>
    <t>AKZ 1.5 BL</t>
  </si>
  <si>
    <t>ZDU 1.5</t>
  </si>
  <si>
    <t>ZDU 2.5</t>
  </si>
  <si>
    <t>ZPE 1.5</t>
  </si>
  <si>
    <t>ZPE 2.5</t>
  </si>
  <si>
    <t>ZDU 1.5 BL</t>
  </si>
  <si>
    <t>ZDU 2.5 BL</t>
  </si>
  <si>
    <t>Кабельные вводы</t>
  </si>
  <si>
    <t>Клеммы винтовые  SuPu</t>
  </si>
  <si>
    <t>Пружинные клеммы SuPu</t>
  </si>
  <si>
    <t>Стоимость руб без НДС</t>
  </si>
  <si>
    <t>Стоимость закупки руб без НДС на 25.08.2021</t>
  </si>
  <si>
    <t>Пр-во ЛЭМЗ</t>
  </si>
  <si>
    <t>Покупной</t>
  </si>
  <si>
    <t>Покупная</t>
  </si>
  <si>
    <t>ВЗН_МР</t>
  </si>
  <si>
    <t>Пр-во ВЗОР</t>
  </si>
  <si>
    <t>ВЗБМ</t>
  </si>
  <si>
    <t>Световая индикация</t>
  </si>
  <si>
    <t>Белый</t>
  </si>
  <si>
    <t>АС 230</t>
  </si>
  <si>
    <t>DC 24</t>
  </si>
  <si>
    <t>ВЗП</t>
  </si>
  <si>
    <t>Зеленый</t>
  </si>
  <si>
    <t>Красный</t>
  </si>
  <si>
    <t>Желтый</t>
  </si>
  <si>
    <t>Стоимость нормочаса</t>
  </si>
  <si>
    <t>ПВЗ</t>
  </si>
  <si>
    <t>ПВЗ-40/КР</t>
  </si>
  <si>
    <t>.R1</t>
  </si>
  <si>
    <t>.R2</t>
  </si>
  <si>
    <t>.R4</t>
  </si>
  <si>
    <t>.R3</t>
  </si>
  <si>
    <t>.R5</t>
  </si>
  <si>
    <t>.R6</t>
  </si>
  <si>
    <t>.R7</t>
  </si>
  <si>
    <t>.R8</t>
  </si>
  <si>
    <t>Учетные цены на используемые материалы  и комплектующие  18.05.2022</t>
  </si>
  <si>
    <t xml:space="preserve">$ </t>
  </si>
  <si>
    <t>юань</t>
  </si>
  <si>
    <t>рупия</t>
  </si>
  <si>
    <t>EURO</t>
  </si>
  <si>
    <t>цена+работы</t>
  </si>
  <si>
    <t>Трудозатрат по точкам подключения из  расчета 1 точка -145,8 руб.</t>
  </si>
  <si>
    <t>228x318x231</t>
  </si>
  <si>
    <t>0°C</t>
  </si>
  <si>
    <t>+10°C</t>
  </si>
  <si>
    <t>+20°C</t>
  </si>
  <si>
    <t>+30°C</t>
  </si>
  <si>
    <t>+40°C</t>
  </si>
  <si>
    <t>+50°C</t>
  </si>
  <si>
    <t>+60°C</t>
  </si>
  <si>
    <t>-30°C</t>
  </si>
  <si>
    <t>-20°C</t>
  </si>
  <si>
    <t>-10°C</t>
  </si>
  <si>
    <t>-40°C</t>
  </si>
  <si>
    <t>-50°C</t>
  </si>
  <si>
    <t>-60°C</t>
  </si>
  <si>
    <t>Взрывозащищенный пульт из прессматериала на основе полиэфирных смол серии ПУВП</t>
  </si>
  <si>
    <t xml:space="preserve"> T1</t>
  </si>
  <si>
    <t xml:space="preserve"> T2</t>
  </si>
  <si>
    <t xml:space="preserve"> T3</t>
  </si>
  <si>
    <t xml:space="preserve"> T4</t>
  </si>
  <si>
    <t xml:space="preserve"> T5</t>
  </si>
  <si>
    <t xml:space="preserve"> T6</t>
  </si>
  <si>
    <t>ВО.6010045</t>
  </si>
  <si>
    <t>.6010045</t>
  </si>
  <si>
    <t>600x1000x459</t>
  </si>
  <si>
    <t>1Ex db IIB+H2</t>
  </si>
  <si>
    <t>1Ex db IIC Gb X</t>
  </si>
  <si>
    <t>1Ex db [ia Ga] IIC Gb X</t>
  </si>
  <si>
    <t>1Ex db [ib] IIC Gb X</t>
  </si>
  <si>
    <t>1Ex db [ia Ga] IIB+H2</t>
  </si>
  <si>
    <t>1Ex db [ib] IIB+H2</t>
  </si>
  <si>
    <t>1Ex db IIB Gb</t>
  </si>
  <si>
    <t>-70°C</t>
  </si>
  <si>
    <t>+70°C</t>
  </si>
  <si>
    <t>+80°C</t>
  </si>
  <si>
    <t>+90°C</t>
  </si>
  <si>
    <t>+100°C</t>
  </si>
  <si>
    <t>+110°C</t>
  </si>
  <si>
    <t>+120°C</t>
  </si>
  <si>
    <t>+130°C</t>
  </si>
  <si>
    <t>Итог расчета:</t>
  </si>
  <si>
    <t>ВО.6010045 -  Взрывонепроницаемая оболочка ВЗОР из алюминиево-кремниевого сплава серии ВО, 600x1000x459 мм, Ex db IIB Gb U, IP66</t>
  </si>
  <si>
    <t xml:space="preserve">ВЗ-ПР40-1 </t>
  </si>
  <si>
    <t xml:space="preserve">ВЗ-ПР20-1 </t>
  </si>
  <si>
    <t xml:space="preserve">ВЗ-ПР25-1 </t>
  </si>
  <si>
    <t xml:space="preserve">ВЗ-ПР25-1.1/4 </t>
  </si>
  <si>
    <t xml:space="preserve">ВЗ-ПР32-1 </t>
  </si>
  <si>
    <t>ВЗ-ПР32-1.1/4</t>
  </si>
  <si>
    <t>ВЗ-ПР32-1.1/2</t>
  </si>
  <si>
    <t>ВЗ-ПР40-1.1/4</t>
  </si>
  <si>
    <t>ВЗ-ПР40-1.1/2</t>
  </si>
  <si>
    <t>ВЗ-ПР40-2</t>
  </si>
  <si>
    <t xml:space="preserve">ВЗ-ПР50-1 </t>
  </si>
  <si>
    <t>ВЗ-ПР50-1.1/4</t>
  </si>
  <si>
    <t>ВЗ-ПР50-1.1/2</t>
  </si>
  <si>
    <t xml:space="preserve">ВЗ-ПР50-2 </t>
  </si>
  <si>
    <t>Вес, кг</t>
  </si>
  <si>
    <t>Темп_от</t>
  </si>
  <si>
    <t>Темп_до</t>
  </si>
  <si>
    <t>Тип в формирователе:</t>
  </si>
  <si>
    <t>Обол. в формирователе:</t>
  </si>
  <si>
    <t>23</t>
  </si>
  <si>
    <t>2876</t>
  </si>
  <si>
    <t>01</t>
  </si>
  <si>
    <t>12311DEK</t>
  </si>
  <si>
    <t>Выключатель автоматический ВА103-3P-063A-C</t>
  </si>
  <si>
    <t>Обогрев, провода и расходные материалы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</si>
</sst>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₽&quot;;\-#,##0.00\ &quot;₽&quot;"/>
    <numFmt numFmtId="8" formatCode="#,##0.00\ &quot;₽&quot;;[Red]\-#,##0.00\ &quot;₽&quot;"/>
    <numFmt numFmtId="164" formatCode="#,##0.00\ &quot;₽&quot;"/>
  </numFmts>
  <fonts count="3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1"/>
      <name val="GOST type A"/>
      <family val="2"/>
      <charset val="204"/>
    </font>
    <font>
      <sz val="12"/>
      <color theme="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1"/>
      <color rgb="FF7676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765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66FF33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50F72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AF50F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704">
    <xf numFmtId="0" fontId="0" fillId="0" borderId="0" xfId="0"/>
    <xf numFmtId="0" fontId="7" fillId="0" borderId="13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Font="1" applyBorder="1"/>
    <xf numFmtId="0" fontId="0" fillId="0" borderId="0" xfId="0" applyBorder="1" applyAlignment="1">
      <alignment horizontal="center" vertical="center"/>
    </xf>
    <xf numFmtId="0" fontId="0" fillId="3" borderId="13" xfId="0" applyFont="1" applyFill="1" applyBorder="1"/>
    <xf numFmtId="0" fontId="0" fillId="0" borderId="13" xfId="0" applyFont="1" applyBorder="1"/>
    <xf numFmtId="0" fontId="0" fillId="0" borderId="0" xfId="0" applyAlignment="1">
      <alignment shrinkToFit="1"/>
    </xf>
    <xf numFmtId="0" fontId="0" fillId="4" borderId="2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left"/>
    </xf>
    <xf numFmtId="0" fontId="4" fillId="0" borderId="13" xfId="0" applyFont="1" applyBorder="1" applyAlignment="1">
      <alignment horizontal="center" vertical="center"/>
    </xf>
    <xf numFmtId="0" fontId="0" fillId="3" borderId="12" xfId="0" applyFont="1" applyFill="1" applyBorder="1"/>
    <xf numFmtId="0" fontId="0" fillId="0" borderId="12" xfId="0" applyFont="1" applyBorder="1"/>
    <xf numFmtId="0" fontId="0" fillId="3" borderId="25" xfId="0" applyFont="1" applyFill="1" applyBorder="1"/>
    <xf numFmtId="0" fontId="11" fillId="0" borderId="0" xfId="0" applyFont="1"/>
    <xf numFmtId="0" fontId="0" fillId="0" borderId="0" xfId="0" applyFill="1"/>
    <xf numFmtId="0" fontId="1" fillId="2" borderId="16" xfId="0" applyFont="1" applyFill="1" applyBorder="1"/>
    <xf numFmtId="0" fontId="1" fillId="2" borderId="15" xfId="0" applyFont="1" applyFill="1" applyBorder="1"/>
    <xf numFmtId="0" fontId="1" fillId="3" borderId="15" xfId="0" applyFont="1" applyFill="1" applyBorder="1"/>
    <xf numFmtId="0" fontId="0" fillId="3" borderId="18" xfId="0" applyFont="1" applyFill="1" applyBorder="1"/>
    <xf numFmtId="0" fontId="0" fillId="0" borderId="18" xfId="0" applyFont="1" applyBorder="1"/>
    <xf numFmtId="0" fontId="0" fillId="0" borderId="13" xfId="0" applyFont="1" applyBorder="1" applyAlignment="1">
      <alignment horizontal="center" vertical="center"/>
    </xf>
    <xf numFmtId="0" fontId="0" fillId="4" borderId="0" xfId="0" applyFill="1"/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16" borderId="0" xfId="0" applyFill="1"/>
    <xf numFmtId="0" fontId="0" fillId="16" borderId="0" xfId="0" applyFill="1" applyBorder="1"/>
    <xf numFmtId="0" fontId="12" fillId="16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49" fontId="0" fillId="0" borderId="0" xfId="0" applyNumberFormat="1" applyFill="1"/>
    <xf numFmtId="0" fontId="0" fillId="19" borderId="0" xfId="0" applyFill="1"/>
    <xf numFmtId="0" fontId="0" fillId="19" borderId="0" xfId="0" applyFill="1" applyBorder="1"/>
    <xf numFmtId="0" fontId="8" fillId="19" borderId="0" xfId="0" applyFont="1" applyFill="1" applyBorder="1" applyAlignment="1">
      <alignment vertical="center"/>
    </xf>
    <xf numFmtId="0" fontId="0" fillId="16" borderId="0" xfId="0" applyFill="1" applyAlignment="1">
      <alignment horizontal="center" wrapText="1"/>
    </xf>
    <xf numFmtId="164" fontId="0" fillId="0" borderId="0" xfId="0" applyNumberFormat="1"/>
    <xf numFmtId="0" fontId="10" fillId="22" borderId="8" xfId="0" applyFont="1" applyFill="1" applyBorder="1" applyAlignment="1" applyProtection="1">
      <alignment horizontal="center" wrapText="1"/>
      <protection locked="0" hidden="1"/>
    </xf>
    <xf numFmtId="0" fontId="0" fillId="9" borderId="1" xfId="0" applyFont="1" applyFill="1" applyBorder="1" applyAlignment="1" applyProtection="1">
      <alignment horizontal="center" wrapText="1"/>
    </xf>
    <xf numFmtId="0" fontId="0" fillId="26" borderId="13" xfId="0" applyFont="1" applyFill="1" applyBorder="1"/>
    <xf numFmtId="0" fontId="0" fillId="26" borderId="13" xfId="0" applyFont="1" applyFill="1" applyBorder="1" applyAlignment="1">
      <alignment shrinkToFit="1"/>
    </xf>
    <xf numFmtId="0" fontId="0" fillId="0" borderId="13" xfId="0" applyFont="1" applyBorder="1" applyAlignment="1">
      <alignment shrinkToFit="1"/>
    </xf>
    <xf numFmtId="0" fontId="7" fillId="0" borderId="13" xfId="0" applyFont="1" applyBorder="1" applyAlignment="1">
      <alignment horizontal="right"/>
    </xf>
    <xf numFmtId="0" fontId="7" fillId="3" borderId="13" xfId="0" applyFont="1" applyFill="1" applyBorder="1" applyAlignment="1">
      <alignment horizontal="right"/>
    </xf>
    <xf numFmtId="0" fontId="7" fillId="0" borderId="36" xfId="0" applyFont="1" applyBorder="1" applyAlignment="1">
      <alignment horizontal="right"/>
    </xf>
    <xf numFmtId="0" fontId="7" fillId="3" borderId="36" xfId="0" applyFont="1" applyFill="1" applyBorder="1" applyAlignment="1">
      <alignment horizontal="right"/>
    </xf>
    <xf numFmtId="0" fontId="0" fillId="0" borderId="37" xfId="0" applyFont="1" applyBorder="1"/>
    <xf numFmtId="0" fontId="0" fillId="3" borderId="37" xfId="0" applyFont="1" applyFill="1" applyBorder="1"/>
    <xf numFmtId="0" fontId="21" fillId="3" borderId="20" xfId="0" applyFont="1" applyFill="1" applyBorder="1"/>
    <xf numFmtId="0" fontId="0" fillId="28" borderId="39" xfId="0" applyFont="1" applyFill="1" applyBorder="1"/>
    <xf numFmtId="0" fontId="0" fillId="28" borderId="40" xfId="0" applyFont="1" applyFill="1" applyBorder="1" applyAlignment="1">
      <alignment shrinkToFit="1"/>
    </xf>
    <xf numFmtId="0" fontId="0" fillId="28" borderId="41" xfId="0" applyFont="1" applyFill="1" applyBorder="1"/>
    <xf numFmtId="0" fontId="0" fillId="26" borderId="39" xfId="0" applyFont="1" applyFill="1" applyBorder="1"/>
    <xf numFmtId="0" fontId="0" fillId="26" borderId="40" xfId="0" applyFont="1" applyFill="1" applyBorder="1" applyAlignment="1">
      <alignment shrinkToFit="1"/>
    </xf>
    <xf numFmtId="0" fontId="0" fillId="26" borderId="41" xfId="0" applyFont="1" applyFill="1" applyBorder="1"/>
    <xf numFmtId="0" fontId="0" fillId="28" borderId="42" xfId="0" applyFont="1" applyFill="1" applyBorder="1"/>
    <xf numFmtId="0" fontId="0" fillId="28" borderId="43" xfId="0" applyFont="1" applyFill="1" applyBorder="1" applyAlignment="1">
      <alignment shrinkToFit="1"/>
    </xf>
    <xf numFmtId="0" fontId="0" fillId="28" borderId="44" xfId="0" applyFont="1" applyFill="1" applyBorder="1"/>
    <xf numFmtId="0" fontId="0" fillId="29" borderId="39" xfId="0" applyFont="1" applyFill="1" applyBorder="1"/>
    <xf numFmtId="0" fontId="0" fillId="29" borderId="40" xfId="0" applyFont="1" applyFill="1" applyBorder="1" applyAlignment="1">
      <alignment shrinkToFit="1"/>
    </xf>
    <xf numFmtId="0" fontId="0" fillId="29" borderId="41" xfId="0" applyFont="1" applyFill="1" applyBorder="1"/>
    <xf numFmtId="0" fontId="0" fillId="30" borderId="39" xfId="0" applyFont="1" applyFill="1" applyBorder="1"/>
    <xf numFmtId="0" fontId="0" fillId="30" borderId="40" xfId="0" applyFont="1" applyFill="1" applyBorder="1" applyAlignment="1">
      <alignment shrinkToFit="1"/>
    </xf>
    <xf numFmtId="0" fontId="0" fillId="30" borderId="41" xfId="0" applyFont="1" applyFill="1" applyBorder="1"/>
    <xf numFmtId="0" fontId="0" fillId="29" borderId="42" xfId="0" applyFont="1" applyFill="1" applyBorder="1"/>
    <xf numFmtId="0" fontId="0" fillId="29" borderId="43" xfId="0" applyFont="1" applyFill="1" applyBorder="1" applyAlignment="1">
      <alignment shrinkToFit="1"/>
    </xf>
    <xf numFmtId="0" fontId="0" fillId="29" borderId="44" xfId="0" applyFont="1" applyFill="1" applyBorder="1"/>
    <xf numFmtId="0" fontId="0" fillId="31" borderId="39" xfId="0" applyFont="1" applyFill="1" applyBorder="1"/>
    <xf numFmtId="0" fontId="0" fillId="31" borderId="40" xfId="0" applyFont="1" applyFill="1" applyBorder="1" applyAlignment="1">
      <alignment shrinkToFit="1"/>
    </xf>
    <xf numFmtId="0" fontId="0" fillId="31" borderId="41" xfId="0" applyFont="1" applyFill="1" applyBorder="1"/>
    <xf numFmtId="0" fontId="0" fillId="32" borderId="39" xfId="0" applyFont="1" applyFill="1" applyBorder="1"/>
    <xf numFmtId="0" fontId="0" fillId="32" borderId="40" xfId="0" applyFont="1" applyFill="1" applyBorder="1" applyAlignment="1">
      <alignment shrinkToFit="1"/>
    </xf>
    <xf numFmtId="0" fontId="0" fillId="32" borderId="41" xfId="0" applyFont="1" applyFill="1" applyBorder="1"/>
    <xf numFmtId="0" fontId="0" fillId="31" borderId="42" xfId="0" applyFont="1" applyFill="1" applyBorder="1"/>
    <xf numFmtId="0" fontId="0" fillId="31" borderId="43" xfId="0" applyFont="1" applyFill="1" applyBorder="1" applyAlignment="1">
      <alignment shrinkToFit="1"/>
    </xf>
    <xf numFmtId="0" fontId="0" fillId="31" borderId="44" xfId="0" applyFont="1" applyFill="1" applyBorder="1"/>
    <xf numFmtId="0" fontId="0" fillId="33" borderId="39" xfId="0" applyFont="1" applyFill="1" applyBorder="1"/>
    <xf numFmtId="0" fontId="0" fillId="33" borderId="40" xfId="0" applyFont="1" applyFill="1" applyBorder="1" applyAlignment="1">
      <alignment shrinkToFit="1"/>
    </xf>
    <xf numFmtId="0" fontId="0" fillId="33" borderId="41" xfId="0" applyFont="1" applyFill="1" applyBorder="1"/>
    <xf numFmtId="0" fontId="0" fillId="34" borderId="39" xfId="0" applyFont="1" applyFill="1" applyBorder="1"/>
    <xf numFmtId="0" fontId="0" fillId="34" borderId="40" xfId="0" applyFont="1" applyFill="1" applyBorder="1" applyAlignment="1">
      <alignment shrinkToFit="1"/>
    </xf>
    <xf numFmtId="0" fontId="0" fillId="34" borderId="41" xfId="0" applyFont="1" applyFill="1" applyBorder="1"/>
    <xf numFmtId="0" fontId="0" fillId="33" borderId="42" xfId="0" applyFont="1" applyFill="1" applyBorder="1"/>
    <xf numFmtId="0" fontId="0" fillId="33" borderId="43" xfId="0" applyFont="1" applyFill="1" applyBorder="1" applyAlignment="1">
      <alignment shrinkToFit="1"/>
    </xf>
    <xf numFmtId="0" fontId="0" fillId="33" borderId="44" xfId="0" applyFont="1" applyFill="1" applyBorder="1"/>
    <xf numFmtId="0" fontId="0" fillId="35" borderId="39" xfId="0" applyFont="1" applyFill="1" applyBorder="1"/>
    <xf numFmtId="0" fontId="0" fillId="35" borderId="40" xfId="0" applyFont="1" applyFill="1" applyBorder="1" applyAlignment="1">
      <alignment shrinkToFit="1"/>
    </xf>
    <xf numFmtId="0" fontId="0" fillId="35" borderId="41" xfId="0" applyFont="1" applyFill="1" applyBorder="1"/>
    <xf numFmtId="0" fontId="0" fillId="36" borderId="39" xfId="0" applyFont="1" applyFill="1" applyBorder="1"/>
    <xf numFmtId="0" fontId="0" fillId="36" borderId="40" xfId="0" applyFont="1" applyFill="1" applyBorder="1" applyAlignment="1">
      <alignment shrinkToFit="1"/>
    </xf>
    <xf numFmtId="0" fontId="0" fillId="36" borderId="41" xfId="0" applyFont="1" applyFill="1" applyBorder="1"/>
    <xf numFmtId="0" fontId="0" fillId="35" borderId="42" xfId="0" applyFont="1" applyFill="1" applyBorder="1"/>
    <xf numFmtId="0" fontId="0" fillId="35" borderId="43" xfId="0" applyFont="1" applyFill="1" applyBorder="1" applyAlignment="1">
      <alignment shrinkToFit="1"/>
    </xf>
    <xf numFmtId="0" fontId="0" fillId="35" borderId="44" xfId="0" applyFont="1" applyFill="1" applyBorder="1"/>
    <xf numFmtId="0" fontId="10" fillId="38" borderId="29" xfId="0" applyFont="1" applyFill="1" applyBorder="1" applyAlignment="1" applyProtection="1">
      <alignment horizontal="center" wrapText="1"/>
      <protection locked="0" hidden="1"/>
    </xf>
    <xf numFmtId="0" fontId="10" fillId="38" borderId="1" xfId="0" applyFont="1" applyFill="1" applyBorder="1" applyAlignment="1" applyProtection="1">
      <alignment horizontal="center" wrapText="1"/>
      <protection locked="0" hidden="1"/>
    </xf>
    <xf numFmtId="0" fontId="10" fillId="14" borderId="26" xfId="0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0" xfId="0" applyFill="1" applyAlignment="1"/>
    <xf numFmtId="0" fontId="0" fillId="37" borderId="1" xfId="0" applyFont="1" applyFill="1" applyBorder="1" applyAlignment="1" applyProtection="1">
      <alignment horizontal="center" wrapText="1"/>
    </xf>
    <xf numFmtId="0" fontId="0" fillId="37" borderId="6" xfId="0" applyFont="1" applyFill="1" applyBorder="1" applyAlignment="1" applyProtection="1">
      <alignment horizontal="center" wrapText="1"/>
    </xf>
    <xf numFmtId="49" fontId="0" fillId="16" borderId="29" xfId="0" applyNumberFormat="1" applyFill="1" applyBorder="1" applyAlignment="1"/>
    <xf numFmtId="49" fontId="0" fillId="0" borderId="0" xfId="0" applyNumberFormat="1" applyFill="1" applyBorder="1" applyAlignment="1"/>
    <xf numFmtId="49" fontId="0" fillId="16" borderId="0" xfId="0" applyNumberFormat="1" applyFill="1" applyBorder="1" applyAlignment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2" fontId="0" fillId="0" borderId="0" xfId="0" applyNumberFormat="1" applyFill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8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51" xfId="0" applyFill="1" applyBorder="1" applyAlignment="1" applyProtection="1">
      <alignment horizontal="center" vertical="center"/>
      <protection locked="0"/>
    </xf>
    <xf numFmtId="0" fontId="0" fillId="0" borderId="54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52" xfId="0" applyFill="1" applyBorder="1" applyAlignment="1" applyProtection="1">
      <alignment horizontal="center" vertical="center"/>
      <protection locked="0"/>
    </xf>
    <xf numFmtId="0" fontId="0" fillId="0" borderId="55" xfId="0" applyFill="1" applyBorder="1" applyAlignment="1" applyProtection="1">
      <alignment horizontal="center" vertical="center"/>
      <protection locked="0"/>
    </xf>
    <xf numFmtId="0" fontId="0" fillId="0" borderId="47" xfId="0" applyFill="1" applyBorder="1" applyAlignment="1" applyProtection="1">
      <alignment horizontal="center" vertical="center"/>
      <protection locked="0"/>
    </xf>
    <xf numFmtId="0" fontId="0" fillId="0" borderId="53" xfId="0" applyFill="1" applyBorder="1" applyAlignment="1" applyProtection="1">
      <alignment horizontal="center" vertical="center"/>
      <protection locked="0"/>
    </xf>
    <xf numFmtId="0" fontId="0" fillId="0" borderId="56" xfId="0" applyFill="1" applyBorder="1" applyAlignment="1" applyProtection="1">
      <alignment horizontal="center" vertical="center"/>
      <protection locked="0"/>
    </xf>
    <xf numFmtId="0" fontId="0" fillId="0" borderId="49" xfId="0" applyFill="1" applyBorder="1" applyAlignment="1" applyProtection="1">
      <alignment horizontal="center" vertical="center"/>
      <protection locked="0"/>
    </xf>
    <xf numFmtId="0" fontId="0" fillId="38" borderId="47" xfId="0" applyFill="1" applyBorder="1" applyAlignment="1" applyProtection="1">
      <alignment horizontal="center" vertical="center"/>
      <protection locked="0"/>
    </xf>
    <xf numFmtId="0" fontId="0" fillId="38" borderId="60" xfId="0" applyFill="1" applyBorder="1" applyAlignment="1" applyProtection="1">
      <alignment horizontal="center" vertical="center"/>
      <protection locked="0"/>
    </xf>
    <xf numFmtId="0" fontId="0" fillId="38" borderId="13" xfId="0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 vertical="center"/>
    </xf>
    <xf numFmtId="0" fontId="0" fillId="8" borderId="21" xfId="0" applyFill="1" applyBorder="1" applyAlignment="1">
      <alignment horizontal="center" vertical="center" wrapText="1"/>
    </xf>
    <xf numFmtId="7" fontId="2" fillId="8" borderId="13" xfId="0" applyNumberFormat="1" applyFont="1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 wrapText="1"/>
    </xf>
    <xf numFmtId="7" fontId="2" fillId="0" borderId="13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ill="1" applyBorder="1" applyProtection="1">
      <protection locked="0"/>
    </xf>
    <xf numFmtId="49" fontId="23" fillId="0" borderId="13" xfId="0" applyNumberFormat="1" applyFont="1" applyBorder="1" applyProtection="1">
      <protection locked="0"/>
    </xf>
    <xf numFmtId="49" fontId="0" fillId="0" borderId="13" xfId="0" applyNumberFormat="1" applyBorder="1" applyProtection="1">
      <protection locked="0"/>
    </xf>
    <xf numFmtId="0" fontId="0" fillId="43" borderId="0" xfId="0" applyFill="1"/>
    <xf numFmtId="0" fontId="22" fillId="43" borderId="0" xfId="0" applyFont="1" applyFill="1" applyBorder="1" applyAlignment="1">
      <alignment vertical="center"/>
    </xf>
    <xf numFmtId="164" fontId="0" fillId="0" borderId="1" xfId="0" applyNumberFormat="1" applyBorder="1"/>
    <xf numFmtId="0" fontId="2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27" fillId="0" borderId="1" xfId="0" applyFont="1" applyBorder="1" applyAlignment="1">
      <alignment vertical="center"/>
    </xf>
    <xf numFmtId="0" fontId="0" fillId="0" borderId="26" xfId="0" applyBorder="1" applyAlignment="1"/>
    <xf numFmtId="0" fontId="0" fillId="0" borderId="0" xfId="0" applyAlignment="1"/>
    <xf numFmtId="164" fontId="3" fillId="41" borderId="63" xfId="0" applyNumberFormat="1" applyFont="1" applyFill="1" applyBorder="1" applyAlignment="1">
      <alignment horizontal="center" vertical="center"/>
    </xf>
    <xf numFmtId="0" fontId="25" fillId="8" borderId="14" xfId="0" applyFont="1" applyFill="1" applyBorder="1" applyAlignment="1">
      <alignment horizontal="center" vertical="center"/>
    </xf>
    <xf numFmtId="0" fontId="1" fillId="2" borderId="24" xfId="0" applyFont="1" applyFill="1" applyBorder="1"/>
    <xf numFmtId="0" fontId="1" fillId="2" borderId="28" xfId="0" applyFont="1" applyFill="1" applyBorder="1"/>
    <xf numFmtId="0" fontId="25" fillId="8" borderId="23" xfId="0" applyFont="1" applyFill="1" applyBorder="1" applyAlignment="1">
      <alignment horizontal="center" vertical="center"/>
    </xf>
    <xf numFmtId="0" fontId="25" fillId="8" borderId="64" xfId="0" applyFont="1" applyFill="1" applyBorder="1" applyAlignment="1">
      <alignment horizontal="center" vertical="center"/>
    </xf>
    <xf numFmtId="0" fontId="25" fillId="8" borderId="22" xfId="0" applyFont="1" applyFill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/>
      <protection locked="0"/>
    </xf>
    <xf numFmtId="0" fontId="0" fillId="0" borderId="13" xfId="0" applyBorder="1"/>
    <xf numFmtId="0" fontId="0" fillId="0" borderId="13" xfId="0" applyFill="1" applyBorder="1"/>
    <xf numFmtId="49" fontId="23" fillId="0" borderId="13" xfId="0" applyNumberFormat="1" applyFont="1" applyBorder="1" applyAlignment="1" applyProtection="1">
      <alignment wrapText="1"/>
      <protection locked="0"/>
    </xf>
    <xf numFmtId="14" fontId="0" fillId="0" borderId="1" xfId="0" applyNumberFormat="1" applyBorder="1"/>
    <xf numFmtId="0" fontId="0" fillId="9" borderId="1" xfId="0" applyFill="1" applyBorder="1"/>
    <xf numFmtId="164" fontId="0" fillId="44" borderId="8" xfId="0" applyNumberFormat="1" applyFill="1" applyBorder="1" applyAlignment="1"/>
    <xf numFmtId="164" fontId="0" fillId="44" borderId="1" xfId="0" applyNumberFormat="1" applyFill="1" applyBorder="1" applyAlignment="1"/>
    <xf numFmtId="0" fontId="0" fillId="0" borderId="13" xfId="0" applyBorder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0" fillId="5" borderId="13" xfId="0" applyFill="1" applyBorder="1" applyAlignment="1">
      <alignment vertical="center"/>
    </xf>
    <xf numFmtId="0" fontId="2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4" fontId="11" fillId="45" borderId="13" xfId="0" applyNumberFormat="1" applyFont="1" applyFill="1" applyBorder="1" applyAlignment="1">
      <alignment horizontal="center" vertical="center"/>
    </xf>
    <xf numFmtId="4" fontId="0" fillId="10" borderId="22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10" borderId="13" xfId="0" applyNumberFormat="1" applyFill="1" applyBorder="1" applyAlignment="1">
      <alignment horizontal="left"/>
    </xf>
    <xf numFmtId="4" fontId="2" fillId="0" borderId="0" xfId="0" applyNumberFormat="1" applyFont="1" applyAlignment="1">
      <alignment horizontal="center"/>
    </xf>
    <xf numFmtId="0" fontId="0" fillId="0" borderId="13" xfId="0" applyBorder="1" applyAlignment="1">
      <alignment horizontal="left"/>
    </xf>
    <xf numFmtId="4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left"/>
    </xf>
    <xf numFmtId="0" fontId="0" fillId="39" borderId="13" xfId="0" applyFill="1" applyBorder="1" applyAlignment="1">
      <alignment vertical="center"/>
    </xf>
    <xf numFmtId="2" fontId="0" fillId="37" borderId="13" xfId="0" applyNumberFormat="1" applyFill="1" applyBorder="1" applyAlignment="1">
      <alignment horizontal="left"/>
    </xf>
    <xf numFmtId="0" fontId="0" fillId="0" borderId="21" xfId="0" applyBorder="1" applyAlignment="1">
      <alignment horizontal="left"/>
    </xf>
    <xf numFmtId="2" fontId="0" fillId="19" borderId="13" xfId="0" applyNumberFormat="1" applyFill="1" applyBorder="1" applyAlignment="1">
      <alignment horizontal="left"/>
    </xf>
    <xf numFmtId="0" fontId="0" fillId="46" borderId="13" xfId="0" applyFill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22" borderId="13" xfId="0" applyFill="1" applyBorder="1" applyAlignment="1">
      <alignment vertical="center"/>
    </xf>
    <xf numFmtId="0" fontId="0" fillId="47" borderId="13" xfId="0" applyFill="1" applyBorder="1" applyAlignment="1">
      <alignment vertical="center"/>
    </xf>
    <xf numFmtId="0" fontId="0" fillId="48" borderId="13" xfId="0" applyFill="1" applyBorder="1" applyAlignment="1">
      <alignment vertical="center"/>
    </xf>
    <xf numFmtId="0" fontId="0" fillId="9" borderId="13" xfId="0" applyFill="1" applyBorder="1" applyAlignment="1">
      <alignment vertical="center"/>
    </xf>
    <xf numFmtId="4" fontId="0" fillId="4" borderId="22" xfId="0" applyNumberFormat="1" applyFill="1" applyBorder="1" applyAlignment="1">
      <alignment horizontal="center"/>
    </xf>
    <xf numFmtId="0" fontId="0" fillId="19" borderId="13" xfId="0" applyFill="1" applyBorder="1" applyAlignment="1">
      <alignment vertical="center"/>
    </xf>
    <xf numFmtId="1" fontId="0" fillId="0" borderId="13" xfId="0" applyNumberFormat="1" applyBorder="1" applyAlignment="1" applyProtection="1">
      <alignment horizontal="center" vertical="center"/>
      <protection locked="0"/>
    </xf>
    <xf numFmtId="49" fontId="23" fillId="0" borderId="13" xfId="0" applyNumberFormat="1" applyFont="1" applyBorder="1"/>
    <xf numFmtId="49" fontId="23" fillId="0" borderId="13" xfId="0" applyNumberFormat="1" applyFont="1" applyBorder="1" applyAlignment="1">
      <alignment wrapText="1"/>
    </xf>
    <xf numFmtId="1" fontId="0" fillId="0" borderId="13" xfId="0" applyNumberFormat="1" applyBorder="1" applyAlignment="1">
      <alignment horizontal="center"/>
    </xf>
    <xf numFmtId="49" fontId="23" fillId="0" borderId="13" xfId="0" applyNumberFormat="1" applyFont="1" applyBorder="1" applyAlignment="1" applyProtection="1">
      <alignment horizontal="center"/>
      <protection locked="0"/>
    </xf>
    <xf numFmtId="49" fontId="23" fillId="8" borderId="13" xfId="0" applyNumberFormat="1" applyFont="1" applyFill="1" applyBorder="1"/>
    <xf numFmtId="1" fontId="0" fillId="8" borderId="13" xfId="0" applyNumberFormat="1" applyFill="1" applyBorder="1" applyAlignment="1">
      <alignment horizontal="center"/>
    </xf>
    <xf numFmtId="49" fontId="23" fillId="8" borderId="13" xfId="0" applyNumberFormat="1" applyFont="1" applyFill="1" applyBorder="1" applyAlignment="1" applyProtection="1">
      <alignment horizontal="center"/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4" fontId="11" fillId="49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" fontId="0" fillId="50" borderId="13" xfId="0" applyNumberFormat="1" applyFill="1" applyBorder="1" applyAlignment="1">
      <alignment horizontal="center" vertical="center"/>
    </xf>
    <xf numFmtId="0" fontId="2" fillId="0" borderId="13" xfId="0" applyFont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8" borderId="21" xfId="0" applyFont="1" applyFill="1" applyBorder="1" applyAlignment="1">
      <alignment horizontal="center" vertical="center" wrapText="1"/>
    </xf>
    <xf numFmtId="0" fontId="4" fillId="8" borderId="62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7" fontId="6" fillId="0" borderId="13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 wrapText="1"/>
    </xf>
    <xf numFmtId="0" fontId="4" fillId="0" borderId="13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4" borderId="0" xfId="0" applyFont="1" applyFill="1"/>
    <xf numFmtId="0" fontId="0" fillId="12" borderId="0" xfId="0" applyFont="1" applyFill="1"/>
    <xf numFmtId="0" fontId="0" fillId="10" borderId="0" xfId="0" applyFont="1" applyFill="1"/>
    <xf numFmtId="0" fontId="0" fillId="37" borderId="0" xfId="0" applyFont="1" applyFill="1" applyAlignment="1"/>
    <xf numFmtId="0" fontId="0" fillId="0" borderId="0" xfId="0" applyFont="1" applyFill="1" applyAlignment="1"/>
    <xf numFmtId="0" fontId="0" fillId="39" borderId="0" xfId="0" applyFont="1" applyFill="1"/>
    <xf numFmtId="0" fontId="0" fillId="9" borderId="0" xfId="0" applyFont="1" applyFill="1"/>
    <xf numFmtId="0" fontId="0" fillId="18" borderId="0" xfId="0" applyFont="1" applyFill="1"/>
    <xf numFmtId="0" fontId="0" fillId="37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0" fillId="4" borderId="0" xfId="0" applyFont="1" applyFill="1" applyAlignment="1">
      <alignment horizontal="left"/>
    </xf>
    <xf numFmtId="0" fontId="1" fillId="2" borderId="13" xfId="0" applyFont="1" applyFill="1" applyBorder="1"/>
    <xf numFmtId="0" fontId="0" fillId="0" borderId="13" xfId="0" applyNumberFormat="1" applyFont="1" applyBorder="1"/>
    <xf numFmtId="0" fontId="30" fillId="0" borderId="13" xfId="0" applyFont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49" fontId="0" fillId="0" borderId="13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49" fontId="0" fillId="0" borderId="13" xfId="0" applyNumberFormat="1" applyFont="1" applyBorder="1"/>
    <xf numFmtId="164" fontId="0" fillId="0" borderId="13" xfId="0" applyNumberFormat="1" applyFont="1" applyBorder="1"/>
    <xf numFmtId="0" fontId="0" fillId="8" borderId="13" xfId="0" applyFont="1" applyFill="1" applyBorder="1"/>
    <xf numFmtId="0" fontId="0" fillId="3" borderId="19" xfId="0" applyFont="1" applyFill="1" applyBorder="1"/>
    <xf numFmtId="0" fontId="0" fillId="38" borderId="13" xfId="0" applyFill="1" applyBorder="1" applyAlignment="1" applyProtection="1">
      <alignment horizontal="center"/>
      <protection locked="0"/>
    </xf>
    <xf numFmtId="0" fontId="0" fillId="0" borderId="13" xfId="0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164" fontId="0" fillId="0" borderId="1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5" fillId="8" borderId="68" xfId="0" applyFont="1" applyFill="1" applyBorder="1" applyAlignment="1">
      <alignment horizontal="center" vertical="center" wrapText="1"/>
    </xf>
    <xf numFmtId="8" fontId="4" fillId="3" borderId="22" xfId="0" applyNumberFormat="1" applyFont="1" applyFill="1" applyBorder="1" applyAlignment="1">
      <alignment horizontal="right" vertical="center"/>
    </xf>
    <xf numFmtId="8" fontId="4" fillId="0" borderId="22" xfId="0" applyNumberFormat="1" applyFont="1" applyBorder="1" applyAlignment="1">
      <alignment horizontal="right" vertical="center"/>
    </xf>
    <xf numFmtId="8" fontId="4" fillId="0" borderId="23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49" fontId="0" fillId="16" borderId="63" xfId="0" applyNumberFormat="1" applyFill="1" applyBorder="1" applyAlignment="1"/>
    <xf numFmtId="0" fontId="2" fillId="0" borderId="68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2" fontId="2" fillId="0" borderId="67" xfId="0" applyNumberFormat="1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64" fontId="0" fillId="0" borderId="22" xfId="0" applyNumberFormat="1" applyFill="1" applyBorder="1" applyAlignment="1" applyProtection="1">
      <alignment horizontal="center" vertical="center"/>
    </xf>
    <xf numFmtId="0" fontId="0" fillId="0" borderId="62" xfId="0" applyFill="1" applyBorder="1" applyAlignment="1">
      <alignment horizontal="center" vertical="center"/>
    </xf>
    <xf numFmtId="49" fontId="23" fillId="0" borderId="14" xfId="0" applyNumberFormat="1" applyFont="1" applyBorder="1" applyProtection="1">
      <protection locked="0"/>
    </xf>
    <xf numFmtId="49" fontId="0" fillId="0" borderId="14" xfId="0" applyNumberFormat="1" applyBorder="1" applyProtection="1">
      <protection locked="0"/>
    </xf>
    <xf numFmtId="0" fontId="4" fillId="0" borderId="14" xfId="0" applyFont="1" applyBorder="1" applyAlignment="1" applyProtection="1">
      <alignment horizontal="center"/>
      <protection locked="0"/>
    </xf>
    <xf numFmtId="164" fontId="0" fillId="0" borderId="23" xfId="0" applyNumberFormat="1" applyFill="1" applyBorder="1" applyAlignment="1" applyProtection="1">
      <alignment horizontal="center" vertical="center"/>
    </xf>
    <xf numFmtId="0" fontId="0" fillId="38" borderId="70" xfId="0" applyFill="1" applyBorder="1"/>
    <xf numFmtId="0" fontId="0" fillId="38" borderId="71" xfId="0" applyFill="1" applyBorder="1"/>
    <xf numFmtId="0" fontId="0" fillId="38" borderId="61" xfId="0" applyFill="1" applyBorder="1"/>
    <xf numFmtId="0" fontId="0" fillId="38" borderId="72" xfId="0" applyFill="1" applyBorder="1"/>
    <xf numFmtId="0" fontId="0" fillId="38" borderId="67" xfId="0" applyFill="1" applyBorder="1" applyAlignment="1" applyProtection="1">
      <alignment horizontal="center" vertical="center"/>
      <protection locked="0"/>
    </xf>
    <xf numFmtId="0" fontId="10" fillId="21" borderId="33" xfId="0" applyFont="1" applyFill="1" applyBorder="1" applyAlignment="1">
      <alignment horizontal="center" vertical="center"/>
    </xf>
    <xf numFmtId="0" fontId="10" fillId="21" borderId="31" xfId="0" applyFont="1" applyFill="1" applyBorder="1" applyAlignment="1">
      <alignment horizontal="center" vertical="center"/>
    </xf>
    <xf numFmtId="0" fontId="0" fillId="38" borderId="75" xfId="0" applyFill="1" applyBorder="1" applyAlignment="1">
      <alignment horizontal="center" vertical="center"/>
    </xf>
    <xf numFmtId="0" fontId="0" fillId="38" borderId="48" xfId="0" applyFill="1" applyBorder="1" applyAlignment="1">
      <alignment horizontal="center" vertical="center"/>
    </xf>
    <xf numFmtId="0" fontId="0" fillId="38" borderId="49" xfId="0" applyFill="1" applyBorder="1" applyAlignment="1" applyProtection="1">
      <alignment horizontal="center" vertical="center"/>
      <protection locked="0"/>
    </xf>
    <xf numFmtId="0" fontId="0" fillId="38" borderId="50" xfId="0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/>
    </xf>
    <xf numFmtId="0" fontId="10" fillId="12" borderId="66" xfId="0" applyFont="1" applyFill="1" applyBorder="1"/>
    <xf numFmtId="0" fontId="0" fillId="0" borderId="0" xfId="0" applyFill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0" fillId="38" borderId="59" xfId="0" applyFill="1" applyBorder="1" applyAlignment="1" applyProtection="1">
      <alignment horizontal="center"/>
      <protection locked="0"/>
    </xf>
    <xf numFmtId="0" fontId="0" fillId="38" borderId="47" xfId="0" applyFill="1" applyBorder="1" applyAlignment="1" applyProtection="1">
      <alignment horizontal="center"/>
      <protection locked="0"/>
    </xf>
    <xf numFmtId="0" fontId="0" fillId="38" borderId="60" xfId="0" applyFill="1" applyBorder="1" applyAlignment="1" applyProtection="1">
      <alignment horizontal="center"/>
      <protection locked="0"/>
    </xf>
    <xf numFmtId="0" fontId="0" fillId="38" borderId="32" xfId="0" applyFill="1" applyBorder="1" applyAlignment="1" applyProtection="1">
      <alignment horizontal="center"/>
      <protection locked="0"/>
    </xf>
    <xf numFmtId="0" fontId="10" fillId="37" borderId="69" xfId="0" applyFont="1" applyFill="1" applyBorder="1" applyAlignment="1">
      <alignment horizontal="center"/>
    </xf>
    <xf numFmtId="0" fontId="10" fillId="37" borderId="17" xfId="0" applyFont="1" applyFill="1" applyBorder="1" applyAlignment="1">
      <alignment horizontal="center"/>
    </xf>
    <xf numFmtId="0" fontId="0" fillId="38" borderId="73" xfId="0" applyFill="1" applyBorder="1" applyAlignment="1" applyProtection="1">
      <alignment horizontal="center"/>
      <protection locked="0"/>
    </xf>
    <xf numFmtId="0" fontId="0" fillId="38" borderId="46" xfId="0" applyFill="1" applyBorder="1" applyAlignment="1">
      <alignment horizontal="center"/>
    </xf>
    <xf numFmtId="0" fontId="0" fillId="38" borderId="21" xfId="0" applyFill="1" applyBorder="1" applyAlignment="1" applyProtection="1">
      <alignment horizontal="center"/>
      <protection locked="0"/>
    </xf>
    <xf numFmtId="0" fontId="0" fillId="38" borderId="48" xfId="0" applyFill="1" applyBorder="1" applyAlignment="1">
      <alignment horizontal="center"/>
    </xf>
    <xf numFmtId="0" fontId="0" fillId="38" borderId="74" xfId="0" applyFill="1" applyBorder="1" applyAlignment="1" applyProtection="1">
      <alignment horizontal="center"/>
      <protection locked="0"/>
    </xf>
    <xf numFmtId="0" fontId="0" fillId="38" borderId="50" xfId="0" applyFill="1" applyBorder="1" applyAlignment="1">
      <alignment horizontal="center"/>
    </xf>
    <xf numFmtId="0" fontId="0" fillId="38" borderId="67" xfId="0" applyFill="1" applyBorder="1" applyAlignment="1" applyProtection="1">
      <alignment horizontal="center"/>
      <protection locked="0"/>
    </xf>
    <xf numFmtId="49" fontId="0" fillId="0" borderId="13" xfId="0" applyNumberFormat="1" applyBorder="1" applyAlignment="1">
      <alignment horizontal="left" vertical="center"/>
    </xf>
    <xf numFmtId="4" fontId="0" fillId="0" borderId="13" xfId="0" applyNumberFormat="1" applyBorder="1" applyAlignment="1">
      <alignment horizontal="center"/>
    </xf>
    <xf numFmtId="4" fontId="10" fillId="10" borderId="1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8" fontId="25" fillId="3" borderId="58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/>
    </xf>
    <xf numFmtId="0" fontId="4" fillId="0" borderId="13" xfId="0" applyFont="1" applyFill="1" applyBorder="1" applyAlignment="1">
      <alignment horizontal="right" vertical="center"/>
    </xf>
    <xf numFmtId="2" fontId="4" fillId="0" borderId="13" xfId="0" applyNumberFormat="1" applyFont="1" applyBorder="1" applyAlignment="1">
      <alignment horizontal="right" vertical="center"/>
    </xf>
    <xf numFmtId="0" fontId="4" fillId="0" borderId="21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vertical="center"/>
    </xf>
    <xf numFmtId="4" fontId="4" fillId="0" borderId="13" xfId="0" applyNumberFormat="1" applyFont="1" applyBorder="1" applyAlignment="1">
      <alignment horizontal="center" vertical="center" wrapText="1"/>
    </xf>
    <xf numFmtId="0" fontId="29" fillId="0" borderId="21" xfId="0" applyFont="1" applyBorder="1" applyAlignment="1">
      <alignment horizontal="left" vertical="center"/>
    </xf>
    <xf numFmtId="0" fontId="29" fillId="0" borderId="62" xfId="0" applyFont="1" applyBorder="1" applyAlignment="1">
      <alignment horizontal="left" vertical="center"/>
    </xf>
    <xf numFmtId="0" fontId="10" fillId="3" borderId="21" xfId="0" applyFont="1" applyFill="1" applyBorder="1" applyAlignment="1">
      <alignment horizontal="left" vertical="center"/>
    </xf>
    <xf numFmtId="0" fontId="10" fillId="0" borderId="13" xfId="0" applyFont="1" applyBorder="1"/>
    <xf numFmtId="0" fontId="10" fillId="0" borderId="22" xfId="0" applyFont="1" applyBorder="1"/>
    <xf numFmtId="0" fontId="10" fillId="0" borderId="21" xfId="0" applyFont="1" applyBorder="1" applyAlignment="1">
      <alignment horizontal="left" vertical="center"/>
    </xf>
    <xf numFmtId="0" fontId="10" fillId="0" borderId="21" xfId="0" applyFont="1" applyBorder="1"/>
    <xf numFmtId="0" fontId="10" fillId="3" borderId="21" xfId="0" applyFont="1" applyFill="1" applyBorder="1"/>
    <xf numFmtId="0" fontId="10" fillId="0" borderId="14" xfId="0" applyFont="1" applyBorder="1"/>
    <xf numFmtId="0" fontId="10" fillId="0" borderId="23" xfId="0" applyFont="1" applyBorder="1"/>
    <xf numFmtId="0" fontId="9" fillId="0" borderId="68" xfId="0" applyFont="1" applyBorder="1" applyAlignment="1">
      <alignment horizontal="center" vertical="center"/>
    </xf>
    <xf numFmtId="0" fontId="9" fillId="0" borderId="6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7" fontId="0" fillId="0" borderId="13" xfId="0" applyNumberFormat="1" applyBorder="1"/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3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/>
    <xf numFmtId="0" fontId="0" fillId="0" borderId="13" xfId="0" applyFont="1" applyFill="1" applyBorder="1" applyAlignment="1">
      <alignment horizontal="left" vertical="center"/>
    </xf>
    <xf numFmtId="0" fontId="28" fillId="0" borderId="13" xfId="0" applyFont="1" applyFill="1" applyBorder="1"/>
    <xf numFmtId="0" fontId="0" fillId="0" borderId="13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 shrinkToFit="1"/>
    </xf>
    <xf numFmtId="49" fontId="0" fillId="0" borderId="13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Fill="1" applyBorder="1" applyAlignment="1">
      <alignment horizontal="left" shrinkToFit="1"/>
    </xf>
    <xf numFmtId="0" fontId="0" fillId="0" borderId="13" xfId="0" applyFont="1" applyFill="1" applyBorder="1" applyAlignment="1">
      <alignment horizontal="left" shrinkToFit="1"/>
    </xf>
    <xf numFmtId="0" fontId="7" fillId="0" borderId="3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left" shrinkToFit="1"/>
    </xf>
    <xf numFmtId="0" fontId="0" fillId="0" borderId="0" xfId="0" applyFill="1" applyBorder="1" applyAlignment="1">
      <alignment horizontal="left" shrinkToFit="1"/>
    </xf>
    <xf numFmtId="0" fontId="0" fillId="5" borderId="13" xfId="0" applyFill="1" applyBorder="1"/>
    <xf numFmtId="0" fontId="25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4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164" fontId="4" fillId="0" borderId="13" xfId="0" applyNumberFormat="1" applyFont="1" applyFill="1" applyBorder="1" applyAlignment="1">
      <alignment vertical="center"/>
    </xf>
    <xf numFmtId="164" fontId="4" fillId="0" borderId="13" xfId="0" applyNumberFormat="1" applyFont="1" applyFill="1" applyBorder="1" applyAlignment="1">
      <alignment horizontal="right" vertical="center"/>
    </xf>
    <xf numFmtId="0" fontId="4" fillId="0" borderId="13" xfId="0" applyFont="1" applyFill="1" applyBorder="1" applyAlignment="1">
      <alignment horizontal="center" vertical="center" wrapText="1"/>
    </xf>
    <xf numFmtId="8" fontId="4" fillId="0" borderId="13" xfId="0" applyNumberFormat="1" applyFont="1" applyFill="1" applyBorder="1" applyAlignment="1">
      <alignment vertical="center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left" vertical="center"/>
    </xf>
    <xf numFmtId="49" fontId="25" fillId="0" borderId="13" xfId="0" applyNumberFormat="1" applyFont="1" applyFill="1" applyBorder="1" applyAlignment="1">
      <alignment horizontal="left" vertical="center"/>
    </xf>
    <xf numFmtId="4" fontId="25" fillId="0" borderId="13" xfId="0" applyNumberFormat="1" applyFont="1" applyFill="1" applyBorder="1" applyAlignment="1">
      <alignment horizontal="right" vertical="center"/>
    </xf>
    <xf numFmtId="2" fontId="4" fillId="0" borderId="13" xfId="0" applyNumberFormat="1" applyFont="1" applyFill="1" applyBorder="1" applyAlignment="1">
      <alignment horizontal="right" vertical="center"/>
    </xf>
    <xf numFmtId="0" fontId="4" fillId="52" borderId="13" xfId="0" applyFont="1" applyFill="1" applyBorder="1" applyAlignment="1">
      <alignment vertical="center"/>
    </xf>
    <xf numFmtId="0" fontId="0" fillId="16" borderId="6" xfId="0" applyFill="1" applyBorder="1" applyAlignment="1">
      <alignment horizontal="center"/>
    </xf>
    <xf numFmtId="0" fontId="24" fillId="7" borderId="2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4" fillId="7" borderId="27" xfId="0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" fillId="42" borderId="2" xfId="0" applyFont="1" applyFill="1" applyBorder="1" applyAlignment="1">
      <alignment horizontal="center" vertical="center"/>
    </xf>
    <xf numFmtId="0" fontId="2" fillId="42" borderId="4" xfId="0" applyFont="1" applyFill="1" applyBorder="1" applyAlignment="1">
      <alignment horizontal="center" vertical="center"/>
    </xf>
    <xf numFmtId="0" fontId="2" fillId="42" borderId="5" xfId="0" applyFont="1" applyFill="1" applyBorder="1" applyAlignment="1">
      <alignment horizontal="center" vertical="center"/>
    </xf>
    <xf numFmtId="0" fontId="2" fillId="42" borderId="7" xfId="0" applyFont="1" applyFill="1" applyBorder="1" applyAlignment="1">
      <alignment horizontal="center" vertical="center"/>
    </xf>
    <xf numFmtId="164" fontId="6" fillId="10" borderId="2" xfId="0" applyNumberFormat="1" applyFont="1" applyFill="1" applyBorder="1" applyAlignment="1">
      <alignment horizontal="center" vertical="center"/>
    </xf>
    <xf numFmtId="164" fontId="6" fillId="10" borderId="4" xfId="0" applyNumberFormat="1" applyFont="1" applyFill="1" applyBorder="1" applyAlignment="1">
      <alignment horizontal="center" vertical="center"/>
    </xf>
    <xf numFmtId="164" fontId="6" fillId="10" borderId="5" xfId="0" applyNumberFormat="1" applyFont="1" applyFill="1" applyBorder="1" applyAlignment="1">
      <alignment horizontal="center" vertical="center"/>
    </xf>
    <xf numFmtId="164" fontId="6" fillId="10" borderId="7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164" fontId="3" fillId="38" borderId="2" xfId="0" applyNumberFormat="1" applyFont="1" applyFill="1" applyBorder="1" applyAlignment="1">
      <alignment horizontal="center" vertical="center"/>
    </xf>
    <xf numFmtId="164" fontId="3" fillId="38" borderId="4" xfId="0" applyNumberFormat="1" applyFont="1" applyFill="1" applyBorder="1" applyAlignment="1">
      <alignment horizontal="center" vertical="center"/>
    </xf>
    <xf numFmtId="164" fontId="3" fillId="38" borderId="5" xfId="0" applyNumberFormat="1" applyFont="1" applyFill="1" applyBorder="1" applyAlignment="1">
      <alignment horizontal="center" vertical="center"/>
    </xf>
    <xf numFmtId="164" fontId="3" fillId="38" borderId="7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9" fillId="11" borderId="2" xfId="0" applyFont="1" applyFill="1" applyBorder="1" applyAlignment="1" applyProtection="1">
      <alignment horizontal="center" vertical="center"/>
      <protection locked="0"/>
    </xf>
    <xf numFmtId="0" fontId="9" fillId="11" borderId="4" xfId="0" applyFont="1" applyFill="1" applyBorder="1" applyAlignment="1" applyProtection="1">
      <alignment horizontal="center" vertical="center"/>
      <protection locked="0"/>
    </xf>
    <xf numFmtId="0" fontId="13" fillId="11" borderId="2" xfId="0" applyFont="1" applyFill="1" applyBorder="1" applyAlignment="1" applyProtection="1">
      <alignment horizontal="center" vertical="center" wrapText="1"/>
      <protection locked="0"/>
    </xf>
    <xf numFmtId="0" fontId="13" fillId="11" borderId="4" xfId="0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 applyProtection="1">
      <alignment horizontal="center" vertical="center" wrapText="1"/>
      <protection locked="0"/>
    </xf>
    <xf numFmtId="0" fontId="18" fillId="4" borderId="4" xfId="0" applyFont="1" applyFill="1" applyBorder="1" applyAlignment="1" applyProtection="1">
      <alignment horizontal="center" vertical="center" wrapText="1"/>
      <protection locked="0"/>
    </xf>
    <xf numFmtId="0" fontId="0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/>
    </xf>
    <xf numFmtId="0" fontId="13" fillId="12" borderId="7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22" fillId="27" borderId="2" xfId="0" applyFont="1" applyFill="1" applyBorder="1" applyAlignment="1">
      <alignment horizontal="center" vertical="center"/>
    </xf>
    <xf numFmtId="0" fontId="22" fillId="27" borderId="3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 vertical="center"/>
    </xf>
    <xf numFmtId="0" fontId="22" fillId="27" borderId="5" xfId="0" applyFont="1" applyFill="1" applyBorder="1" applyAlignment="1">
      <alignment horizontal="center" vertical="center"/>
    </xf>
    <xf numFmtId="0" fontId="22" fillId="27" borderId="6" xfId="0" applyFont="1" applyFill="1" applyBorder="1" applyAlignment="1">
      <alignment horizontal="center" vertical="center"/>
    </xf>
    <xf numFmtId="0" fontId="22" fillId="27" borderId="7" xfId="0" applyFont="1" applyFill="1" applyBorder="1" applyAlignment="1">
      <alignment horizontal="center" vertical="center"/>
    </xf>
    <xf numFmtId="0" fontId="22" fillId="37" borderId="0" xfId="0" applyFont="1" applyFill="1" applyBorder="1" applyAlignment="1">
      <alignment horizontal="center" vertical="center"/>
    </xf>
    <xf numFmtId="0" fontId="10" fillId="37" borderId="33" xfId="0" applyFont="1" applyFill="1" applyBorder="1" applyAlignment="1">
      <alignment horizontal="center"/>
    </xf>
    <xf numFmtId="0" fontId="10" fillId="37" borderId="31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38" xfId="0" applyFont="1" applyFill="1" applyBorder="1" applyAlignment="1">
      <alignment horizontal="center"/>
    </xf>
    <xf numFmtId="0" fontId="9" fillId="25" borderId="8" xfId="0" applyFont="1" applyFill="1" applyBorder="1" applyAlignment="1">
      <alignment horizontal="center"/>
    </xf>
    <xf numFmtId="0" fontId="9" fillId="25" borderId="9" xfId="0" applyFont="1" applyFill="1" applyBorder="1" applyAlignment="1">
      <alignment horizontal="center"/>
    </xf>
    <xf numFmtId="0" fontId="9" fillId="25" borderId="10" xfId="0" applyFont="1" applyFill="1" applyBorder="1" applyAlignment="1">
      <alignment horizontal="center"/>
    </xf>
    <xf numFmtId="0" fontId="7" fillId="38" borderId="67" xfId="0" applyFont="1" applyFill="1" applyBorder="1" applyAlignment="1">
      <alignment horizontal="center"/>
    </xf>
    <xf numFmtId="0" fontId="7" fillId="38" borderId="13" xfId="0" applyFont="1" applyFill="1" applyBorder="1" applyAlignment="1">
      <alignment horizontal="center"/>
    </xf>
    <xf numFmtId="0" fontId="10" fillId="18" borderId="8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0" fillId="0" borderId="57" xfId="0" applyFill="1" applyBorder="1" applyAlignment="1" applyProtection="1">
      <alignment horizontal="center" vertical="center"/>
      <protection locked="0"/>
    </xf>
    <xf numFmtId="0" fontId="0" fillId="0" borderId="54" xfId="0" applyFill="1" applyBorder="1" applyAlignment="1" applyProtection="1">
      <alignment horizontal="center" vertical="center"/>
      <protection locked="0"/>
    </xf>
    <xf numFmtId="0" fontId="0" fillId="0" borderId="47" xfId="0" applyFill="1" applyBorder="1" applyAlignment="1" applyProtection="1">
      <alignment horizontal="center" vertical="center"/>
      <protection locked="0"/>
    </xf>
    <xf numFmtId="0" fontId="0" fillId="0" borderId="48" xfId="0" applyFill="1" applyBorder="1" applyAlignment="1" applyProtection="1">
      <alignment horizontal="center" vertical="center"/>
      <protection locked="0"/>
    </xf>
    <xf numFmtId="0" fontId="0" fillId="0" borderId="49" xfId="0" applyFill="1" applyBorder="1" applyAlignment="1" applyProtection="1">
      <alignment horizontal="center" vertical="center"/>
      <protection locked="0"/>
    </xf>
    <xf numFmtId="0" fontId="0" fillId="0" borderId="50" xfId="0" applyFill="1" applyBorder="1" applyAlignment="1" applyProtection="1">
      <alignment horizontal="center" vertical="center"/>
      <protection locked="0"/>
    </xf>
    <xf numFmtId="0" fontId="10" fillId="21" borderId="26" xfId="0" applyFont="1" applyFill="1" applyBorder="1" applyAlignment="1">
      <alignment horizontal="center" vertical="center"/>
    </xf>
    <xf numFmtId="0" fontId="10" fillId="21" borderId="2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0" fillId="0" borderId="65" xfId="0" applyFill="1" applyBorder="1" applyAlignment="1" applyProtection="1">
      <alignment horizontal="center" vertical="center"/>
      <protection locked="0"/>
    </xf>
    <xf numFmtId="0" fontId="0" fillId="0" borderId="55" xfId="0" applyFill="1" applyBorder="1" applyAlignment="1" applyProtection="1">
      <alignment horizontal="center" vertical="center"/>
      <protection locked="0"/>
    </xf>
    <xf numFmtId="0" fontId="15" fillId="12" borderId="2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 vertical="center"/>
    </xf>
    <xf numFmtId="0" fontId="15" fillId="12" borderId="7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0" fillId="12" borderId="33" xfId="0" applyFont="1" applyFill="1" applyBorder="1" applyAlignment="1">
      <alignment horizontal="center"/>
    </xf>
    <xf numFmtId="0" fontId="10" fillId="12" borderId="31" xfId="0" applyFont="1" applyFill="1" applyBorder="1" applyAlignment="1">
      <alignment horizontal="center"/>
    </xf>
    <xf numFmtId="0" fontId="10" fillId="14" borderId="8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21" borderId="2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11" xfId="0" applyFont="1" applyFill="1" applyBorder="1" applyAlignment="1">
      <alignment horizontal="center" vertical="center"/>
    </xf>
    <xf numFmtId="0" fontId="10" fillId="21" borderId="27" xfId="0" applyFont="1" applyFill="1" applyBorder="1" applyAlignment="1">
      <alignment horizontal="center" vertical="center"/>
    </xf>
    <xf numFmtId="0" fontId="10" fillId="21" borderId="3" xfId="0" applyFont="1" applyFill="1" applyBorder="1" applyAlignment="1">
      <alignment horizontal="center" vertical="center"/>
    </xf>
    <xf numFmtId="0" fontId="10" fillId="21" borderId="0" xfId="0" applyFont="1" applyFill="1" applyBorder="1" applyAlignment="1">
      <alignment horizontal="center" vertical="center"/>
    </xf>
    <xf numFmtId="0" fontId="0" fillId="38" borderId="67" xfId="0" applyFill="1" applyBorder="1" applyAlignment="1" applyProtection="1">
      <alignment horizontal="center"/>
      <protection locked="0"/>
    </xf>
    <xf numFmtId="0" fontId="0" fillId="38" borderId="13" xfId="0" applyFill="1" applyBorder="1" applyAlignment="1" applyProtection="1">
      <alignment horizontal="center"/>
      <protection locked="0"/>
    </xf>
    <xf numFmtId="0" fontId="0" fillId="13" borderId="2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0" fontId="18" fillId="13" borderId="2" xfId="0" applyFont="1" applyFill="1" applyBorder="1" applyAlignment="1" applyProtection="1">
      <alignment horizontal="center" vertical="center" wrapText="1"/>
      <protection locked="0"/>
    </xf>
    <xf numFmtId="0" fontId="18" fillId="13" borderId="4" xfId="0" applyFont="1" applyFill="1" applyBorder="1" applyAlignment="1" applyProtection="1">
      <alignment horizontal="center" vertical="center" wrapText="1"/>
      <protection locked="0"/>
    </xf>
    <xf numFmtId="0" fontId="0" fillId="13" borderId="2" xfId="0" applyFill="1" applyBorder="1" applyAlignment="1">
      <alignment horizontal="center" vertical="center"/>
    </xf>
    <xf numFmtId="0" fontId="18" fillId="20" borderId="2" xfId="0" applyFont="1" applyFill="1" applyBorder="1" applyAlignment="1" applyProtection="1">
      <alignment horizontal="center" vertical="center" wrapText="1"/>
      <protection locked="0"/>
    </xf>
    <xf numFmtId="0" fontId="18" fillId="20" borderId="4" xfId="0" applyFont="1" applyFill="1" applyBorder="1" applyAlignment="1" applyProtection="1">
      <alignment horizontal="center" vertical="center" wrapText="1"/>
      <protection locked="0"/>
    </xf>
    <xf numFmtId="0" fontId="0" fillId="20" borderId="2" xfId="0" applyFont="1" applyFill="1" applyBorder="1" applyAlignment="1">
      <alignment horizontal="center" vertical="center"/>
    </xf>
    <xf numFmtId="0" fontId="17" fillId="20" borderId="4" xfId="0" applyFont="1" applyFill="1" applyBorder="1" applyAlignment="1">
      <alignment horizontal="center" vertical="center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0" fontId="10" fillId="20" borderId="4" xfId="0" applyFont="1" applyFill="1" applyBorder="1" applyAlignment="1" applyProtection="1">
      <alignment horizontal="center" vertical="center"/>
      <protection locked="0"/>
    </xf>
    <xf numFmtId="0" fontId="18" fillId="23" borderId="2" xfId="0" applyFont="1" applyFill="1" applyBorder="1" applyAlignment="1">
      <alignment horizontal="center" vertical="center"/>
    </xf>
    <xf numFmtId="0" fontId="18" fillId="23" borderId="4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7" xfId="0" applyFont="1" applyFill="1" applyBorder="1" applyAlignment="1">
      <alignment horizontal="center" vertical="center"/>
    </xf>
    <xf numFmtId="0" fontId="18" fillId="23" borderId="2" xfId="0" applyFont="1" applyFill="1" applyBorder="1" applyAlignment="1">
      <alignment horizontal="center" vertical="center" wrapText="1"/>
    </xf>
    <xf numFmtId="0" fontId="18" fillId="23" borderId="4" xfId="0" applyFont="1" applyFill="1" applyBorder="1" applyAlignment="1">
      <alignment horizontal="center" vertical="center" wrapText="1"/>
    </xf>
    <xf numFmtId="0" fontId="18" fillId="23" borderId="5" xfId="0" applyFont="1" applyFill="1" applyBorder="1" applyAlignment="1">
      <alignment horizontal="center" vertical="center" wrapText="1"/>
    </xf>
    <xf numFmtId="0" fontId="18" fillId="23" borderId="7" xfId="0" applyFont="1" applyFill="1" applyBorder="1" applyAlignment="1">
      <alignment horizontal="center" vertical="center" wrapText="1"/>
    </xf>
    <xf numFmtId="0" fontId="17" fillId="23" borderId="2" xfId="0" applyFont="1" applyFill="1" applyBorder="1" applyAlignment="1">
      <alignment horizontal="center" vertical="center"/>
    </xf>
    <xf numFmtId="0" fontId="17" fillId="23" borderId="4" xfId="0" applyFont="1" applyFill="1" applyBorder="1" applyAlignment="1">
      <alignment horizontal="center" vertical="center"/>
    </xf>
    <xf numFmtId="0" fontId="17" fillId="23" borderId="5" xfId="0" applyFont="1" applyFill="1" applyBorder="1" applyAlignment="1">
      <alignment horizontal="center" vertical="center"/>
    </xf>
    <xf numFmtId="0" fontId="17" fillId="23" borderId="7" xfId="0" applyFont="1" applyFill="1" applyBorder="1" applyAlignment="1">
      <alignment horizontal="center" vertical="center"/>
    </xf>
    <xf numFmtId="0" fontId="18" fillId="19" borderId="2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0" fontId="18" fillId="19" borderId="5" xfId="0" applyFont="1" applyFill="1" applyBorder="1" applyAlignment="1">
      <alignment horizontal="center" vertical="center"/>
    </xf>
    <xf numFmtId="0" fontId="18" fillId="19" borderId="7" xfId="0" applyFont="1" applyFill="1" applyBorder="1" applyAlignment="1">
      <alignment horizontal="center" vertical="center"/>
    </xf>
    <xf numFmtId="0" fontId="18" fillId="19" borderId="2" xfId="0" applyFont="1" applyFill="1" applyBorder="1" applyAlignment="1">
      <alignment horizontal="center" vertical="center" wrapText="1"/>
    </xf>
    <xf numFmtId="0" fontId="18" fillId="19" borderId="4" xfId="0" applyFont="1" applyFill="1" applyBorder="1" applyAlignment="1">
      <alignment horizontal="center" vertical="center" wrapText="1"/>
    </xf>
    <xf numFmtId="0" fontId="18" fillId="19" borderId="5" xfId="0" applyFont="1" applyFill="1" applyBorder="1" applyAlignment="1">
      <alignment horizontal="center" vertical="center" wrapText="1"/>
    </xf>
    <xf numFmtId="0" fontId="18" fillId="19" borderId="7" xfId="0" applyFont="1" applyFill="1" applyBorder="1" applyAlignment="1">
      <alignment horizontal="center" vertical="center" wrapText="1"/>
    </xf>
    <xf numFmtId="0" fontId="17" fillId="19" borderId="2" xfId="0" applyFont="1" applyFill="1" applyBorder="1" applyAlignment="1">
      <alignment horizontal="center" vertical="center"/>
    </xf>
    <xf numFmtId="0" fontId="17" fillId="19" borderId="4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0" fontId="17" fillId="19" borderId="7" xfId="0" applyFont="1" applyFill="1" applyBorder="1" applyAlignment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  <protection locked="0"/>
    </xf>
    <xf numFmtId="0" fontId="10" fillId="13" borderId="4" xfId="0" applyFont="1" applyFill="1" applyBorder="1" applyAlignment="1" applyProtection="1">
      <alignment horizontal="center" vertical="center"/>
      <protection locked="0"/>
    </xf>
    <xf numFmtId="0" fontId="18" fillId="13" borderId="8" xfId="0" applyFont="1" applyFill="1" applyBorder="1" applyAlignment="1" applyProtection="1">
      <alignment horizontal="center" vertical="center" wrapText="1"/>
      <protection locked="0"/>
    </xf>
    <xf numFmtId="0" fontId="18" fillId="13" borderId="10" xfId="0" applyFont="1" applyFill="1" applyBorder="1" applyAlignment="1" applyProtection="1">
      <alignment horizontal="center" vertical="center" wrapText="1"/>
      <protection locked="0"/>
    </xf>
    <xf numFmtId="0" fontId="0" fillId="13" borderId="8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0" fillId="13" borderId="8" xfId="0" applyFont="1" applyFill="1" applyBorder="1" applyAlignment="1" applyProtection="1">
      <alignment horizontal="center" vertical="center"/>
      <protection locked="0"/>
    </xf>
    <xf numFmtId="0" fontId="10" fillId="13" borderId="10" xfId="0" applyFont="1" applyFill="1" applyBorder="1" applyAlignment="1" applyProtection="1">
      <alignment horizontal="center" vertical="center"/>
      <protection locked="0"/>
    </xf>
    <xf numFmtId="0" fontId="18" fillId="20" borderId="8" xfId="0" applyFont="1" applyFill="1" applyBorder="1" applyAlignment="1" applyProtection="1">
      <alignment horizontal="center" vertical="center" wrapText="1"/>
      <protection locked="0"/>
    </xf>
    <xf numFmtId="0" fontId="18" fillId="20" borderId="10" xfId="0" applyFont="1" applyFill="1" applyBorder="1" applyAlignment="1" applyProtection="1">
      <alignment horizontal="center" vertical="center" wrapText="1"/>
      <protection locked="0"/>
    </xf>
    <xf numFmtId="0" fontId="0" fillId="20" borderId="8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17" fillId="24" borderId="2" xfId="0" applyFont="1" applyFill="1" applyBorder="1" applyAlignment="1">
      <alignment horizontal="center" vertical="center"/>
    </xf>
    <xf numFmtId="0" fontId="17" fillId="24" borderId="3" xfId="0" applyFont="1" applyFill="1" applyBorder="1" applyAlignment="1">
      <alignment horizontal="center" vertical="center"/>
    </xf>
    <xf numFmtId="0" fontId="17" fillId="24" borderId="4" xfId="0" applyFont="1" applyFill="1" applyBorder="1" applyAlignment="1">
      <alignment horizontal="center" vertical="center"/>
    </xf>
    <xf numFmtId="0" fontId="17" fillId="24" borderId="5" xfId="0" applyFont="1" applyFill="1" applyBorder="1" applyAlignment="1">
      <alignment horizontal="center" vertical="center"/>
    </xf>
    <xf numFmtId="0" fontId="17" fillId="24" borderId="6" xfId="0" applyFont="1" applyFill="1" applyBorder="1" applyAlignment="1">
      <alignment horizontal="center" vertical="center"/>
    </xf>
    <xf numFmtId="0" fontId="17" fillId="24" borderId="7" xfId="0" applyFont="1" applyFill="1" applyBorder="1" applyAlignment="1">
      <alignment horizontal="center" vertical="center"/>
    </xf>
    <xf numFmtId="0" fontId="10" fillId="20" borderId="8" xfId="0" applyFont="1" applyFill="1" applyBorder="1" applyAlignment="1" applyProtection="1">
      <alignment horizontal="center" vertical="center"/>
      <protection locked="0"/>
    </xf>
    <xf numFmtId="0" fontId="10" fillId="20" borderId="10" xfId="0" applyFont="1" applyFill="1" applyBorder="1" applyAlignment="1" applyProtection="1">
      <alignment horizontal="center" vertical="center"/>
      <protection locked="0"/>
    </xf>
    <xf numFmtId="0" fontId="1" fillId="7" borderId="33" xfId="0" applyFont="1" applyFill="1" applyBorder="1" applyAlignment="1" applyProtection="1">
      <alignment horizontal="center" vertical="center" wrapText="1"/>
    </xf>
    <xf numFmtId="0" fontId="1" fillId="7" borderId="30" xfId="0" applyFont="1" applyFill="1" applyBorder="1" applyAlignment="1" applyProtection="1">
      <alignment horizontal="center" vertical="center" wrapText="1"/>
    </xf>
    <xf numFmtId="0" fontId="1" fillId="7" borderId="31" xfId="0" applyFont="1" applyFill="1" applyBorder="1" applyAlignment="1" applyProtection="1">
      <alignment horizontal="center" vertical="center" wrapText="1"/>
    </xf>
    <xf numFmtId="0" fontId="0" fillId="9" borderId="33" xfId="0" applyFont="1" applyFill="1" applyBorder="1" applyAlignment="1" applyProtection="1">
      <alignment horizontal="center" wrapText="1"/>
    </xf>
    <xf numFmtId="0" fontId="0" fillId="9" borderId="30" xfId="0" applyFont="1" applyFill="1" applyBorder="1" applyAlignment="1" applyProtection="1">
      <alignment horizontal="center" wrapText="1"/>
    </xf>
    <xf numFmtId="0" fontId="0" fillId="9" borderId="31" xfId="0" applyFont="1" applyFill="1" applyBorder="1" applyAlignment="1" applyProtection="1">
      <alignment horizontal="center" wrapText="1"/>
    </xf>
    <xf numFmtId="0" fontId="10" fillId="38" borderId="34" xfId="0" applyFont="1" applyFill="1" applyBorder="1" applyAlignment="1" applyProtection="1">
      <alignment horizontal="center" wrapText="1"/>
      <protection hidden="1"/>
    </xf>
    <xf numFmtId="0" fontId="10" fillId="38" borderId="17" xfId="0" applyFont="1" applyFill="1" applyBorder="1" applyAlignment="1" applyProtection="1">
      <alignment horizontal="center" wrapText="1"/>
      <protection hidden="1"/>
    </xf>
    <xf numFmtId="0" fontId="10" fillId="38" borderId="35" xfId="0" applyFont="1" applyFill="1" applyBorder="1" applyAlignment="1" applyProtection="1">
      <alignment horizontal="center" wrapText="1"/>
      <protection hidden="1"/>
    </xf>
    <xf numFmtId="0" fontId="10" fillId="38" borderId="33" xfId="0" applyFont="1" applyFill="1" applyBorder="1" applyAlignment="1" applyProtection="1">
      <alignment horizontal="center" wrapText="1"/>
      <protection hidden="1"/>
    </xf>
    <xf numFmtId="0" fontId="10" fillId="38" borderId="30" xfId="0" applyFont="1" applyFill="1" applyBorder="1" applyAlignment="1" applyProtection="1">
      <alignment horizontal="center" wrapText="1"/>
      <protection hidden="1"/>
    </xf>
    <xf numFmtId="0" fontId="10" fillId="38" borderId="31" xfId="0" applyFont="1" applyFill="1" applyBorder="1" applyAlignment="1" applyProtection="1">
      <alignment horizontal="center" wrapText="1"/>
      <protection hidden="1"/>
    </xf>
    <xf numFmtId="0" fontId="10" fillId="4" borderId="2" xfId="0" applyFont="1" applyFill="1" applyBorder="1" applyAlignment="1" applyProtection="1">
      <alignment horizontal="center" vertical="center"/>
      <protection locked="0"/>
    </xf>
    <xf numFmtId="0" fontId="10" fillId="4" borderId="4" xfId="0" applyFont="1" applyFill="1" applyBorder="1" applyAlignment="1" applyProtection="1">
      <alignment horizontal="center" vertical="center"/>
      <protection locked="0"/>
    </xf>
    <xf numFmtId="0" fontId="20" fillId="5" borderId="8" xfId="0" applyFont="1" applyFill="1" applyBorder="1" applyAlignment="1" applyProtection="1">
      <alignment horizontal="center" vertical="center" wrapText="1"/>
    </xf>
    <xf numFmtId="0" fontId="20" fillId="5" borderId="9" xfId="0" applyFont="1" applyFill="1" applyBorder="1" applyAlignment="1" applyProtection="1">
      <alignment horizontal="center" vertical="center" wrapText="1"/>
    </xf>
    <xf numFmtId="0" fontId="20" fillId="5" borderId="10" xfId="0" applyFont="1" applyFill="1" applyBorder="1" applyAlignment="1" applyProtection="1">
      <alignment horizontal="center" vertical="center" wrapText="1"/>
    </xf>
    <xf numFmtId="0" fontId="0" fillId="37" borderId="5" xfId="0" applyFont="1" applyFill="1" applyBorder="1" applyAlignment="1" applyProtection="1">
      <alignment horizontal="center" wrapText="1"/>
    </xf>
    <xf numFmtId="0" fontId="0" fillId="37" borderId="6" xfId="0" applyFont="1" applyFill="1" applyBorder="1" applyAlignment="1" applyProtection="1">
      <alignment horizontal="center" wrapText="1"/>
    </xf>
    <xf numFmtId="0" fontId="0" fillId="37" borderId="7" xfId="0" applyFont="1" applyFill="1" applyBorder="1" applyAlignment="1" applyProtection="1">
      <alignment horizontal="center" wrapText="1"/>
    </xf>
    <xf numFmtId="0" fontId="10" fillId="15" borderId="8" xfId="0" applyFont="1" applyFill="1" applyBorder="1" applyAlignment="1" applyProtection="1">
      <alignment horizontal="center" wrapText="1"/>
      <protection hidden="1"/>
    </xf>
    <xf numFmtId="0" fontId="10" fillId="15" borderId="9" xfId="0" applyFont="1" applyFill="1" applyBorder="1" applyAlignment="1" applyProtection="1">
      <alignment horizontal="center" wrapText="1"/>
      <protection hidden="1"/>
    </xf>
    <xf numFmtId="0" fontId="10" fillId="15" borderId="10" xfId="0" applyFont="1" applyFill="1" applyBorder="1" applyAlignment="1" applyProtection="1">
      <alignment horizontal="center" wrapText="1"/>
      <protection hidden="1"/>
    </xf>
    <xf numFmtId="0" fontId="0" fillId="9" borderId="0" xfId="0" applyFont="1" applyFill="1" applyBorder="1" applyAlignment="1" applyProtection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12" fillId="12" borderId="2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5" xfId="0" applyFont="1" applyFill="1" applyBorder="1" applyAlignment="1">
      <alignment horizontal="center" vertical="center" wrapText="1"/>
    </xf>
    <xf numFmtId="0" fontId="13" fillId="12" borderId="7" xfId="0" applyFont="1" applyFill="1" applyBorder="1" applyAlignment="1">
      <alignment horizontal="center" vertical="center" wrapText="1"/>
    </xf>
    <xf numFmtId="49" fontId="19" fillId="5" borderId="2" xfId="0" applyNumberFormat="1" applyFont="1" applyFill="1" applyBorder="1" applyAlignment="1" applyProtection="1">
      <alignment horizontal="center" vertical="center"/>
      <protection locked="0"/>
    </xf>
    <xf numFmtId="49" fontId="19" fillId="5" borderId="3" xfId="0" applyNumberFormat="1" applyFont="1" applyFill="1" applyBorder="1" applyAlignment="1" applyProtection="1">
      <alignment horizontal="center" vertical="center"/>
      <protection locked="0"/>
    </xf>
    <xf numFmtId="49" fontId="19" fillId="5" borderId="4" xfId="0" applyNumberFormat="1" applyFont="1" applyFill="1" applyBorder="1" applyAlignment="1" applyProtection="1">
      <alignment horizontal="center" vertical="center"/>
      <protection locked="0"/>
    </xf>
    <xf numFmtId="49" fontId="19" fillId="5" borderId="5" xfId="0" applyNumberFormat="1" applyFont="1" applyFill="1" applyBorder="1" applyAlignment="1" applyProtection="1">
      <alignment horizontal="center" vertical="center"/>
      <protection locked="0"/>
    </xf>
    <xf numFmtId="49" fontId="19" fillId="5" borderId="6" xfId="0" applyNumberFormat="1" applyFont="1" applyFill="1" applyBorder="1" applyAlignment="1" applyProtection="1">
      <alignment horizontal="center" vertical="center"/>
      <protection locked="0"/>
    </xf>
    <xf numFmtId="49" fontId="19" fillId="5" borderId="7" xfId="0" applyNumberFormat="1" applyFont="1" applyFill="1" applyBorder="1" applyAlignment="1" applyProtection="1">
      <alignment horizontal="center" vertical="center"/>
      <protection locked="0"/>
    </xf>
    <xf numFmtId="0" fontId="14" fillId="5" borderId="2" xfId="0" applyFont="1" applyFill="1" applyBorder="1" applyAlignment="1" applyProtection="1">
      <alignment horizontal="center" vertical="center"/>
      <protection locked="0"/>
    </xf>
    <xf numFmtId="0" fontId="14" fillId="5" borderId="3" xfId="0" applyFont="1" applyFill="1" applyBorder="1" applyAlignment="1" applyProtection="1">
      <alignment horizontal="center" vertical="center"/>
      <protection locked="0"/>
    </xf>
    <xf numFmtId="0" fontId="14" fillId="5" borderId="4" xfId="0" applyFont="1" applyFill="1" applyBorder="1" applyAlignment="1" applyProtection="1">
      <alignment horizontal="center" vertical="center"/>
      <protection locked="0"/>
    </xf>
    <xf numFmtId="0" fontId="14" fillId="5" borderId="5" xfId="0" applyFont="1" applyFill="1" applyBorder="1" applyAlignment="1" applyProtection="1">
      <alignment horizontal="center" vertical="center"/>
      <protection locked="0"/>
    </xf>
    <xf numFmtId="0" fontId="14" fillId="5" borderId="6" xfId="0" applyFont="1" applyFill="1" applyBorder="1" applyAlignment="1" applyProtection="1">
      <alignment horizontal="center" vertical="center"/>
      <protection locked="0"/>
    </xf>
    <xf numFmtId="0" fontId="14" fillId="5" borderId="7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12" fillId="51" borderId="2" xfId="0" applyFont="1" applyFill="1" applyBorder="1" applyAlignment="1">
      <alignment horizontal="center" vertical="center"/>
    </xf>
    <xf numFmtId="0" fontId="12" fillId="51" borderId="3" xfId="0" applyFont="1" applyFill="1" applyBorder="1" applyAlignment="1">
      <alignment horizontal="center" vertical="center"/>
    </xf>
    <xf numFmtId="0" fontId="12" fillId="51" borderId="4" xfId="0" applyFont="1" applyFill="1" applyBorder="1" applyAlignment="1">
      <alignment horizontal="center" vertical="center"/>
    </xf>
    <xf numFmtId="0" fontId="12" fillId="51" borderId="5" xfId="0" applyFont="1" applyFill="1" applyBorder="1" applyAlignment="1">
      <alignment horizontal="center" vertical="center"/>
    </xf>
    <xf numFmtId="0" fontId="12" fillId="51" borderId="6" xfId="0" applyFont="1" applyFill="1" applyBorder="1" applyAlignment="1">
      <alignment horizontal="center" vertical="center"/>
    </xf>
    <xf numFmtId="0" fontId="12" fillId="51" borderId="7" xfId="0" applyFont="1" applyFill="1" applyBorder="1" applyAlignment="1">
      <alignment horizontal="center" vertical="center"/>
    </xf>
    <xf numFmtId="0" fontId="19" fillId="5" borderId="2" xfId="0" applyFont="1" applyFill="1" applyBorder="1" applyAlignment="1" applyProtection="1">
      <alignment horizontal="center" vertical="center"/>
      <protection locked="0"/>
    </xf>
    <xf numFmtId="0" fontId="19" fillId="5" borderId="3" xfId="0" applyFont="1" applyFill="1" applyBorder="1" applyAlignment="1" applyProtection="1">
      <alignment horizontal="center" vertical="center"/>
      <protection locked="0"/>
    </xf>
    <xf numFmtId="0" fontId="19" fillId="5" borderId="4" xfId="0" applyFont="1" applyFill="1" applyBorder="1" applyAlignment="1" applyProtection="1">
      <alignment horizontal="center" vertical="center"/>
      <protection locked="0"/>
    </xf>
    <xf numFmtId="0" fontId="19" fillId="5" borderId="5" xfId="0" applyFont="1" applyFill="1" applyBorder="1" applyAlignment="1" applyProtection="1">
      <alignment horizontal="center" vertical="center"/>
      <protection locked="0"/>
    </xf>
    <xf numFmtId="0" fontId="19" fillId="5" borderId="6" xfId="0" applyFont="1" applyFill="1" applyBorder="1" applyAlignment="1" applyProtection="1">
      <alignment horizontal="center" vertical="center"/>
      <protection locked="0"/>
    </xf>
    <xf numFmtId="0" fontId="19" fillId="5" borderId="7" xfId="0" applyFont="1" applyFill="1" applyBorder="1" applyAlignment="1" applyProtection="1">
      <alignment horizontal="center" vertical="center"/>
      <protection locked="0"/>
    </xf>
    <xf numFmtId="0" fontId="12" fillId="51" borderId="11" xfId="0" applyFont="1" applyFill="1" applyBorder="1" applyAlignment="1">
      <alignment horizontal="center" vertical="center"/>
    </xf>
    <xf numFmtId="0" fontId="12" fillId="51" borderId="0" xfId="0" applyFont="1" applyFill="1" applyBorder="1" applyAlignment="1">
      <alignment horizontal="center" vertical="center"/>
    </xf>
    <xf numFmtId="0" fontId="12" fillId="51" borderId="27" xfId="0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 applyProtection="1">
      <alignment horizontal="center" vertical="center"/>
      <protection locked="0"/>
    </xf>
    <xf numFmtId="49" fontId="5" fillId="5" borderId="3" xfId="0" applyNumberFormat="1" applyFont="1" applyFill="1" applyBorder="1" applyAlignment="1" applyProtection="1">
      <alignment horizontal="center" vertical="center"/>
      <protection locked="0"/>
    </xf>
    <xf numFmtId="49" fontId="5" fillId="5" borderId="4" xfId="0" applyNumberFormat="1" applyFont="1" applyFill="1" applyBorder="1" applyAlignment="1" applyProtection="1">
      <alignment horizontal="center" vertical="center"/>
      <protection locked="0"/>
    </xf>
    <xf numFmtId="49" fontId="5" fillId="5" borderId="11" xfId="0" applyNumberFormat="1" applyFont="1" applyFill="1" applyBorder="1" applyAlignment="1" applyProtection="1">
      <alignment horizontal="center" vertical="center"/>
      <protection locked="0"/>
    </xf>
    <xf numFmtId="49" fontId="5" fillId="5" borderId="0" xfId="0" applyNumberFormat="1" applyFont="1" applyFill="1" applyBorder="1" applyAlignment="1" applyProtection="1">
      <alignment horizontal="center" vertical="center"/>
      <protection locked="0"/>
    </xf>
    <xf numFmtId="49" fontId="5" fillId="5" borderId="27" xfId="0" applyNumberFormat="1" applyFont="1" applyFill="1" applyBorder="1" applyAlignment="1" applyProtection="1">
      <alignment horizontal="center" vertical="center"/>
      <protection locked="0"/>
    </xf>
    <xf numFmtId="0" fontId="5" fillId="5" borderId="2" xfId="0" applyNumberFormat="1" applyFont="1" applyFill="1" applyBorder="1" applyAlignment="1" applyProtection="1">
      <alignment horizontal="center" vertical="center"/>
      <protection locked="0"/>
    </xf>
    <xf numFmtId="0" fontId="5" fillId="5" borderId="3" xfId="0" applyNumberFormat="1" applyFont="1" applyFill="1" applyBorder="1" applyAlignment="1" applyProtection="1">
      <alignment horizontal="center" vertical="center"/>
      <protection locked="0"/>
    </xf>
    <xf numFmtId="0" fontId="5" fillId="5" borderId="4" xfId="0" applyNumberFormat="1" applyFont="1" applyFill="1" applyBorder="1" applyAlignment="1" applyProtection="1">
      <alignment horizontal="center" vertical="center"/>
      <protection locked="0"/>
    </xf>
    <xf numFmtId="0" fontId="5" fillId="5" borderId="5" xfId="0" applyNumberFormat="1" applyFont="1" applyFill="1" applyBorder="1" applyAlignment="1" applyProtection="1">
      <alignment horizontal="center" vertical="center"/>
      <protection locked="0"/>
    </xf>
    <xf numFmtId="0" fontId="5" fillId="5" borderId="6" xfId="0" applyNumberFormat="1" applyFont="1" applyFill="1" applyBorder="1" applyAlignment="1" applyProtection="1">
      <alignment horizontal="center" vertical="center"/>
      <protection locked="0"/>
    </xf>
    <xf numFmtId="0" fontId="5" fillId="5" borderId="7" xfId="0" applyNumberFormat="1" applyFont="1" applyFill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5" fillId="5" borderId="3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 applyProtection="1">
      <alignment horizontal="center" vertical="center"/>
      <protection locked="0"/>
    </xf>
    <xf numFmtId="0" fontId="5" fillId="5" borderId="0" xfId="0" applyFont="1" applyFill="1" applyBorder="1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12" fillId="12" borderId="3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17" fillId="17" borderId="4" xfId="0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7" borderId="6" xfId="0" applyFont="1" applyFill="1" applyBorder="1" applyAlignment="1">
      <alignment horizontal="center" vertical="center"/>
    </xf>
    <xf numFmtId="0" fontId="17" fillId="17" borderId="7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/>
    </xf>
    <xf numFmtId="49" fontId="6" fillId="40" borderId="26" xfId="0" applyNumberFormat="1" applyFont="1" applyFill="1" applyBorder="1" applyAlignment="1">
      <alignment horizontal="center" vertical="center"/>
    </xf>
    <xf numFmtId="49" fontId="6" fillId="40" borderId="63" xfId="0" applyNumberFormat="1" applyFont="1" applyFill="1" applyBorder="1" applyAlignment="1">
      <alignment horizontal="center" vertical="center"/>
    </xf>
    <xf numFmtId="0" fontId="12" fillId="51" borderId="2" xfId="0" applyFont="1" applyFill="1" applyBorder="1" applyAlignment="1" applyProtection="1">
      <alignment horizontal="center" vertical="center"/>
      <protection hidden="1"/>
    </xf>
    <xf numFmtId="0" fontId="12" fillId="51" borderId="3" xfId="0" applyFont="1" applyFill="1" applyBorder="1" applyAlignment="1" applyProtection="1">
      <alignment horizontal="center" vertical="center"/>
      <protection hidden="1"/>
    </xf>
    <xf numFmtId="0" fontId="12" fillId="51" borderId="4" xfId="0" applyFont="1" applyFill="1" applyBorder="1" applyAlignment="1" applyProtection="1">
      <alignment horizontal="center" vertical="center"/>
      <protection hidden="1"/>
    </xf>
    <xf numFmtId="0" fontId="12" fillId="51" borderId="5" xfId="0" applyFont="1" applyFill="1" applyBorder="1" applyAlignment="1" applyProtection="1">
      <alignment horizontal="center" vertical="center"/>
      <protection hidden="1"/>
    </xf>
    <xf numFmtId="0" fontId="12" fillId="51" borderId="6" xfId="0" applyFont="1" applyFill="1" applyBorder="1" applyAlignment="1" applyProtection="1">
      <alignment horizontal="center" vertical="center"/>
      <protection hidden="1"/>
    </xf>
    <xf numFmtId="0" fontId="12" fillId="51" borderId="7" xfId="0" applyFont="1" applyFill="1" applyBorder="1" applyAlignment="1" applyProtection="1">
      <alignment horizontal="center" vertical="center"/>
      <protection hidden="1"/>
    </xf>
    <xf numFmtId="0" fontId="6" fillId="41" borderId="3" xfId="0" applyFont="1" applyFill="1" applyBorder="1" applyAlignment="1">
      <alignment horizontal="center" vertical="center"/>
    </xf>
    <xf numFmtId="0" fontId="6" fillId="41" borderId="0" xfId="0" applyFont="1" applyFill="1" applyBorder="1" applyAlignment="1">
      <alignment horizontal="center" vertical="center"/>
    </xf>
    <xf numFmtId="0" fontId="6" fillId="41" borderId="6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 applyProtection="1">
      <alignment horizontal="center" vertical="center"/>
      <protection locked="0"/>
    </xf>
    <xf numFmtId="49" fontId="5" fillId="5" borderId="6" xfId="0" applyNumberFormat="1" applyFont="1" applyFill="1" applyBorder="1" applyAlignment="1" applyProtection="1">
      <alignment horizontal="center" vertical="center"/>
      <protection locked="0"/>
    </xf>
    <xf numFmtId="49" fontId="5" fillId="5" borderId="7" xfId="0" applyNumberFormat="1" applyFont="1" applyFill="1" applyBorder="1" applyAlignment="1" applyProtection="1">
      <alignment horizontal="center" vertical="center"/>
      <protection locked="0"/>
    </xf>
    <xf numFmtId="0" fontId="13" fillId="51" borderId="3" xfId="0" applyFont="1" applyFill="1" applyBorder="1" applyAlignment="1">
      <alignment horizontal="center" vertical="center"/>
    </xf>
    <xf numFmtId="0" fontId="13" fillId="51" borderId="4" xfId="0" applyFont="1" applyFill="1" applyBorder="1" applyAlignment="1">
      <alignment horizontal="center" vertical="center"/>
    </xf>
    <xf numFmtId="0" fontId="13" fillId="51" borderId="0" xfId="0" applyFont="1" applyFill="1" applyBorder="1" applyAlignment="1">
      <alignment horizontal="center" vertical="center"/>
    </xf>
    <xf numFmtId="0" fontId="13" fillId="51" borderId="27" xfId="0" applyFont="1" applyFill="1" applyBorder="1" applyAlignment="1">
      <alignment horizontal="center" vertical="center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5" borderId="3" xfId="0" applyFont="1" applyFill="1" applyBorder="1" applyAlignment="1" applyProtection="1">
      <alignment horizontal="center" vertical="center"/>
      <protection locked="0"/>
    </xf>
    <xf numFmtId="0" fontId="15" fillId="5" borderId="4" xfId="0" applyFont="1" applyFill="1" applyBorder="1" applyAlignment="1" applyProtection="1">
      <alignment horizontal="center" vertical="center"/>
      <protection locked="0"/>
    </xf>
    <xf numFmtId="0" fontId="15" fillId="5" borderId="5" xfId="0" applyFont="1" applyFill="1" applyBorder="1" applyAlignment="1" applyProtection="1">
      <alignment horizontal="center" vertical="center"/>
      <protection locked="0"/>
    </xf>
    <xf numFmtId="0" fontId="15" fillId="5" borderId="6" xfId="0" applyFont="1" applyFill="1" applyBorder="1" applyAlignment="1" applyProtection="1">
      <alignment horizontal="center" vertical="center"/>
      <protection locked="0"/>
    </xf>
    <xf numFmtId="0" fontId="15" fillId="5" borderId="7" xfId="0" applyFont="1" applyFill="1" applyBorder="1" applyAlignment="1" applyProtection="1">
      <alignment horizontal="center" vertical="center"/>
      <protection locked="0"/>
    </xf>
    <xf numFmtId="0" fontId="13" fillId="51" borderId="2" xfId="0" applyFont="1" applyFill="1" applyBorder="1" applyAlignment="1">
      <alignment horizontal="center" vertical="center"/>
    </xf>
    <xf numFmtId="0" fontId="13" fillId="51" borderId="11" xfId="0" applyFont="1" applyFill="1" applyBorder="1" applyAlignment="1">
      <alignment horizontal="center" vertical="center"/>
    </xf>
    <xf numFmtId="0" fontId="16" fillId="51" borderId="2" xfId="0" applyFont="1" applyFill="1" applyBorder="1" applyAlignment="1">
      <alignment horizontal="center" vertical="center"/>
    </xf>
    <xf numFmtId="0" fontId="16" fillId="51" borderId="3" xfId="0" applyFont="1" applyFill="1" applyBorder="1" applyAlignment="1">
      <alignment horizontal="center" vertical="center"/>
    </xf>
    <xf numFmtId="0" fontId="16" fillId="51" borderId="4" xfId="0" applyFont="1" applyFill="1" applyBorder="1" applyAlignment="1">
      <alignment horizontal="center" vertical="center"/>
    </xf>
    <xf numFmtId="0" fontId="16" fillId="51" borderId="11" xfId="0" applyFont="1" applyFill="1" applyBorder="1" applyAlignment="1">
      <alignment horizontal="center" vertical="center"/>
    </xf>
    <xf numFmtId="0" fontId="16" fillId="51" borderId="0" xfId="0" applyFont="1" applyFill="1" applyBorder="1" applyAlignment="1">
      <alignment horizontal="center" vertical="center"/>
    </xf>
    <xf numFmtId="0" fontId="16" fillId="51" borderId="27" xfId="0" applyFont="1" applyFill="1" applyBorder="1" applyAlignment="1">
      <alignment horizontal="center" vertical="center"/>
    </xf>
    <xf numFmtId="0" fontId="17" fillId="5" borderId="2" xfId="0" applyFont="1" applyFill="1" applyBorder="1" applyAlignment="1" applyProtection="1">
      <alignment horizontal="center" vertical="center"/>
      <protection locked="0"/>
    </xf>
    <xf numFmtId="0" fontId="17" fillId="5" borderId="3" xfId="0" applyFont="1" applyFill="1" applyBorder="1" applyAlignment="1" applyProtection="1">
      <alignment horizontal="center" vertical="center"/>
      <protection locked="0"/>
    </xf>
    <xf numFmtId="0" fontId="17" fillId="5" borderId="4" xfId="0" applyFont="1" applyFill="1" applyBorder="1" applyAlignment="1" applyProtection="1">
      <alignment horizontal="center" vertical="center"/>
      <protection locked="0"/>
    </xf>
    <xf numFmtId="0" fontId="17" fillId="5" borderId="5" xfId="0" applyFont="1" applyFill="1" applyBorder="1" applyAlignment="1" applyProtection="1">
      <alignment horizontal="center" vertical="center"/>
      <protection locked="0"/>
    </xf>
    <xf numFmtId="0" fontId="17" fillId="5" borderId="6" xfId="0" applyFont="1" applyFill="1" applyBorder="1" applyAlignment="1" applyProtection="1">
      <alignment horizontal="center" vertical="center"/>
      <protection locked="0"/>
    </xf>
    <xf numFmtId="0" fontId="17" fillId="5" borderId="7" xfId="0" applyFont="1" applyFill="1" applyBorder="1" applyAlignment="1" applyProtection="1">
      <alignment horizontal="center" vertical="center"/>
      <protection locked="0"/>
    </xf>
    <xf numFmtId="0" fontId="18" fillId="6" borderId="2" xfId="0" applyFont="1" applyFill="1" applyBorder="1" applyAlignment="1" applyProtection="1">
      <alignment horizontal="center" vertical="center"/>
      <protection locked="0"/>
    </xf>
    <xf numFmtId="0" fontId="18" fillId="6" borderId="4" xfId="0" applyFont="1" applyFill="1" applyBorder="1" applyAlignment="1" applyProtection="1">
      <alignment horizontal="center" vertical="center"/>
      <protection locked="0"/>
    </xf>
    <xf numFmtId="0" fontId="18" fillId="6" borderId="5" xfId="0" applyFont="1" applyFill="1" applyBorder="1" applyAlignment="1" applyProtection="1">
      <alignment horizontal="center" vertical="center"/>
      <protection locked="0"/>
    </xf>
    <xf numFmtId="0" fontId="18" fillId="6" borderId="7" xfId="0" applyFont="1" applyFill="1" applyBorder="1" applyAlignment="1" applyProtection="1">
      <alignment horizontal="center" vertical="center"/>
      <protection locked="0"/>
    </xf>
    <xf numFmtId="0" fontId="26" fillId="41" borderId="26" xfId="0" applyFont="1" applyFill="1" applyBorder="1" applyAlignment="1">
      <alignment horizontal="center" vertical="center"/>
    </xf>
    <xf numFmtId="0" fontId="26" fillId="41" borderId="63" xfId="0" applyFont="1" applyFill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4" fillId="5" borderId="66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3" fillId="0" borderId="61" xfId="0" applyFont="1" applyBorder="1" applyAlignment="1">
      <alignment horizontal="center"/>
    </xf>
  </cellXfs>
  <cellStyles count="1">
    <cellStyle name="Обычный" xfId="0" builtinId="0"/>
  </cellStyles>
  <dxfs count="219"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59999389629810485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textRotation="0" wrapTex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top style="thin">
          <color indexed="64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border outline="0">
        <right style="thin">
          <color theme="4" tint="0.39997558519241921"/>
        </righ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12" formatCode="#,##0.00\ &quot;₽&quot;;[Red]\-#,##0.00\ &quot;₽&quot;"/>
      <alignment horizontal="righ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numFmt numFmtId="164" formatCode="#,##0.00\ &quot;₽&quot;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numFmt numFmtId="11" formatCode="#,##0.00\ &quot;₽&quot;;\-#,##0.00\ &quot;₽&quot;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164" formatCode="#,##0.00\ &quot;₽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₽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1" tint="0.34998626667073579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ST type 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gradientFill degree="45">
          <stop position="0">
            <color rgb="FFFFFF00"/>
          </stop>
          <stop position="0.5">
            <color rgb="FF00B050"/>
          </stop>
          <stop position="1">
            <color rgb="FFFFFF00"/>
          </stop>
        </gradientFill>
      </fill>
    </dxf>
    <dxf>
      <fill>
        <patternFill>
          <bgColor rgb="FFFF0000"/>
        </patternFill>
      </fill>
    </dxf>
    <dxf>
      <fill>
        <gradientFill degree="45">
          <stop position="0">
            <color rgb="FFFFFF00"/>
          </stop>
          <stop position="0.5">
            <color rgb="FF00B050"/>
          </stop>
          <stop position="1">
            <color rgb="FFFFFF00"/>
          </stop>
        </gradientFill>
      </fill>
    </dxf>
    <dxf>
      <fill>
        <patternFill>
          <bgColor rgb="FFFF0000"/>
        </patternFill>
      </fill>
    </dxf>
    <dxf>
      <fill>
        <gradientFill degree="45">
          <stop position="0">
            <color rgb="FFFFFF00"/>
          </stop>
          <stop position="0.5">
            <color rgb="FF00B050"/>
          </stop>
          <stop position="1">
            <color rgb="FFFFFF00"/>
          </stop>
        </gradientFill>
      </fill>
    </dxf>
    <dxf>
      <fill>
        <patternFill>
          <bgColor rgb="FFFF0000"/>
        </patternFill>
      </fill>
    </dxf>
    <dxf>
      <fill>
        <gradientFill degree="45">
          <stop position="0">
            <color rgb="FFFFFF00"/>
          </stop>
          <stop position="0.5">
            <color rgb="FF00B050"/>
          </stop>
          <stop position="1">
            <color rgb="FFFFFF00"/>
          </stop>
        </gradient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degree="45">
          <stop position="0">
            <color rgb="FFFFFF00"/>
          </stop>
          <stop position="0.5">
            <color rgb="FF00B050"/>
          </stop>
          <stop position="1">
            <color rgb="FFFFFF00"/>
          </stop>
        </gradientFill>
      </fill>
    </dxf>
    <dxf>
      <fill>
        <patternFill>
          <bgColor rgb="FFFF0000"/>
        </patternFill>
      </fill>
    </dxf>
    <dxf>
      <fill>
        <gradientFill degree="45">
          <stop position="0">
            <color rgb="FFFFFF00"/>
          </stop>
          <stop position="0.5">
            <color rgb="FF00B050"/>
          </stop>
          <stop position="1">
            <color rgb="FFFFFF00"/>
          </stop>
        </gradientFill>
      </fill>
    </dxf>
    <dxf>
      <fill>
        <patternFill>
          <bgColor rgb="FFFF0000"/>
        </patternFill>
      </fill>
    </dxf>
    <dxf>
      <fill>
        <gradientFill degree="45">
          <stop position="0">
            <color rgb="FFFFFF00"/>
          </stop>
          <stop position="0.5">
            <color rgb="FF00B050"/>
          </stop>
          <stop position="1">
            <color rgb="FFFFFF00"/>
          </stop>
        </gradient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degree="45">
          <stop position="0">
            <color rgb="FFFFFF00"/>
          </stop>
          <stop position="0.5">
            <color rgb="FF00B050"/>
          </stop>
          <stop position="1">
            <color rgb="FFFFFF00"/>
          </stop>
        </gradientFill>
      </fill>
    </dxf>
    <dxf>
      <fill>
        <patternFill>
          <bgColor rgb="FFFF0000"/>
        </patternFill>
      </fill>
    </dxf>
    <dxf>
      <fill>
        <gradientFill degree="45">
          <stop position="0">
            <color rgb="FFFFFF00"/>
          </stop>
          <stop position="0.5">
            <color rgb="FF00B050"/>
          </stop>
          <stop position="1">
            <color rgb="FFFFFF00"/>
          </stop>
        </gradient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gradientFill degree="45">
          <stop position="0">
            <color rgb="FFFFFF00"/>
          </stop>
          <stop position="0.5">
            <color rgb="FF00B050"/>
          </stop>
          <stop position="1">
            <color rgb="FFFFFF00"/>
          </stop>
        </gradientFill>
      </fill>
    </dxf>
    <dxf>
      <fill>
        <patternFill>
          <bgColor rgb="FF50F729"/>
        </patternFill>
      </fill>
    </dxf>
    <dxf>
      <fill>
        <patternFill>
          <bgColor rgb="FF002060"/>
        </patternFill>
      </fill>
    </dxf>
    <dxf>
      <fill>
        <patternFill>
          <bgColor rgb="FFFF5050"/>
        </patternFill>
      </fill>
    </dxf>
    <dxf>
      <fill>
        <patternFill>
          <bgColor theme="8" tint="0.39994506668294322"/>
        </patternFill>
      </fill>
    </dxf>
    <dxf>
      <fill>
        <patternFill>
          <bgColor rgb="FF2AF50F"/>
        </patternFill>
      </fill>
    </dxf>
  </dxfs>
  <tableStyles count="0" defaultTableStyle="TableStyleMedium2" defaultPivotStyle="PivotStyleLight16"/>
  <colors>
    <mruColors>
      <color rgb="FF60DA60"/>
      <color rgb="FF50F729"/>
      <color rgb="FF2AF50F"/>
      <color rgb="FF00FF00"/>
      <color rgb="FF66FF33"/>
      <color rgb="FF71DAFF"/>
      <color rgb="FFEC7656"/>
      <color rgb="FFFF505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9526</xdr:colOff>
      <xdr:row>20</xdr:row>
      <xdr:rowOff>12284</xdr:rowOff>
    </xdr:from>
    <xdr:to>
      <xdr:col>20</xdr:col>
      <xdr:colOff>2409266</xdr:colOff>
      <xdr:row>34</xdr:row>
      <xdr:rowOff>190500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6526" y="3979166"/>
          <a:ext cx="2399740" cy="2957275"/>
        </a:xfrm>
        <a:prstGeom prst="rect">
          <a:avLst/>
        </a:prstGeom>
      </xdr:spPr>
    </xdr:pic>
    <xdr:clientData/>
  </xdr:twoCellAnchor>
  <xdr:twoCellAnchor editAs="oneCell">
    <xdr:from>
      <xdr:col>20</xdr:col>
      <xdr:colOff>11209</xdr:colOff>
      <xdr:row>2</xdr:row>
      <xdr:rowOff>22412</xdr:rowOff>
    </xdr:from>
    <xdr:to>
      <xdr:col>20</xdr:col>
      <xdr:colOff>2409265</xdr:colOff>
      <xdr:row>13</xdr:row>
      <xdr:rowOff>68147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8209" y="381000"/>
          <a:ext cx="2398056" cy="2230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16</xdr:row>
      <xdr:rowOff>142875</xdr:rowOff>
    </xdr:from>
    <xdr:to>
      <xdr:col>7</xdr:col>
      <xdr:colOff>16901</xdr:colOff>
      <xdr:row>20</xdr:row>
      <xdr:rowOff>38100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314700"/>
          <a:ext cx="4284100" cy="69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_spb\&#1051;&#1080;&#1095;&#1085;&#1099;&#1077;%20&#1087;&#1072;&#1087;&#1082;&#1080;\Users\Test\Desktop\&#1050;&#1086;&#1084;&#1087;&#1083;&#1077;&#1082;&#1090;&#1086;&#1074;&#1097;&#1080;&#1082;_23.11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242\&#1074;&#1079;&#1086;&#1088;\Users\a.kuhtin\Downloads\&#1065;&#1044;.385726-22.2049.01%20(81200-LBR-001)_&#1085;&#1086;&#1074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242\&#1074;&#1079;&#1086;&#1088;\Users\a.kuhtin\Desktop\&#1062;&#1077;&#1085;&#1099;%20&#1076;&#1083;&#1103;%20&#1082;&#1086;&#1084;&#1087;&#1083;&#1077;&#1082;&#1090;&#1086;&#1074;&#1097;&#1080;&#1082;&#1072;%2030.05.202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242\&#1074;&#1079;&#1086;&#1088;\%23&#1054;&#1043;&#1050;\&#1056;&#1072;&#1073;&#1086;&#1090;&#1072;%20&#1054;&#1043;&#1050;\&#1047;&#1072;&#1087;&#1088;&#1086;&#1089;&#1099;\2021\1523_&#1053;&#1050;&#1052;&#1047;-&#1057;&#1058;\&#1055;&#1086;&#1076;&#1073;&#1086;&#1088;\&#1055;&#1086;&#1079;.2%20&#1041;&#1055;&#1080;&#1054;&#1056;\&#1087;.2-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242\&#1074;&#1079;&#1086;&#1088;\Users\a.kuhtin\Desktop\&#1062;&#1077;&#1085;&#1099;%20&#1076;&#1083;&#1103;%20&#1082;&#1086;&#1084;&#1087;&#1083;&#1077;&#1082;&#1090;&#1086;&#1074;&#1097;&#1080;&#1082;&#1072;%2003.06.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верка ID"/>
      <sheetName val="Формирование ТЗ"/>
      <sheetName val="УТ Клеммы"/>
      <sheetName val="УТ КВ"/>
      <sheetName val="УТ Серия_марк"/>
      <sheetName val="Опции и метизы"/>
      <sheetName val="УТ Оболочки"/>
      <sheetName val="ЦЕНЫ"/>
      <sheetName val="PRICE_КВ"/>
      <sheetName val="PRICE_ROSE"/>
      <sheetName val="Столбцы цен"/>
      <sheetName val="УТ Элементы управления"/>
      <sheetName val="PRICE_УПР.ЕХЕ"/>
      <sheetName val="PRICE_КЛЕММЫ"/>
      <sheetName val="Номенклатура_1С_Exd"/>
      <sheetName val="Номенклатура_1С_Exe"/>
      <sheetName val="Трудоемкости"/>
      <sheetName val="Промежуточная таблица"/>
      <sheetName val="ФИНАЛ КП"/>
      <sheetName val="Нормы_сборки"/>
      <sheetName val="РАСЧЁТ"/>
      <sheetName val="Реестр правок"/>
      <sheetName val="Курсы EU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6">
          <cell r="BC16" t="str">
            <v>8 отв.</v>
          </cell>
          <cell r="BD16" t="str">
            <v>ШНИ-6х9-8-Д-С</v>
          </cell>
          <cell r="BE16" t="str">
            <v>Шина нулевая на DIN-изоляторе ШНИ-6х9-8-Д-С</v>
          </cell>
          <cell r="BF16">
            <v>37.341666666666669</v>
          </cell>
        </row>
        <row r="17">
          <cell r="BC17" t="str">
            <v>10 отв.</v>
          </cell>
          <cell r="BD17" t="str">
            <v>ШНИ-6х9-10-Д-С</v>
          </cell>
          <cell r="BE17" t="str">
            <v>Шина нулевая на DIN-изоляторе ШНИ-6х9-10-Д-С</v>
          </cell>
          <cell r="BF17">
            <v>43.158333333333331</v>
          </cell>
        </row>
        <row r="18">
          <cell r="BC18" t="str">
            <v>12 отв.</v>
          </cell>
          <cell r="BD18" t="str">
            <v>ШНИ-6х9-12-Д-С</v>
          </cell>
          <cell r="BE18" t="str">
            <v>Шина нулевая на DIN-изоляторе ШНИ-6х9-12-Д-С</v>
          </cell>
          <cell r="BF18">
            <v>49.591666666666669</v>
          </cell>
        </row>
        <row r="19">
          <cell r="BC19" t="str">
            <v>14 отв.</v>
          </cell>
          <cell r="BD19" t="str">
            <v>ШНИ-6х9-14-Д-С</v>
          </cell>
          <cell r="BE19" t="str">
            <v>Шина нулевая на DIN-изоляторе ШНИ-6х9-14-Д-С</v>
          </cell>
          <cell r="BF19">
            <v>54.80833333333333</v>
          </cell>
        </row>
        <row r="20">
          <cell r="BC20" t="str">
            <v>16 отв.</v>
          </cell>
          <cell r="BD20" t="str">
            <v>ШНИ-6х9-16-Д-С</v>
          </cell>
          <cell r="BE20" t="str">
            <v>Шина нулевая на DIN-изоляторе ШНИ-6х9-16-Д-С</v>
          </cell>
          <cell r="BF20">
            <v>61.816666666666677</v>
          </cell>
        </row>
        <row r="21">
          <cell r="BC21" t="str">
            <v>18 отв.</v>
          </cell>
          <cell r="BD21" t="str">
            <v>ШНИ-6х9-18-Д-С</v>
          </cell>
          <cell r="BE21" t="str">
            <v>Шина нулевая на DIN-изоляторе ШНИ-6х9-18-Д-С</v>
          </cell>
          <cell r="BF21">
            <v>67.641666666666666</v>
          </cell>
        </row>
        <row r="22">
          <cell r="BC22" t="str">
            <v xml:space="preserve">20 отв. </v>
          </cell>
          <cell r="BD22" t="str">
            <v>ШНИ-6х9-20-Д-С</v>
          </cell>
          <cell r="BE22" t="str">
            <v>Шина нулевая на DIN-изоляторе ШНИ-6х9-20-Д-С</v>
          </cell>
          <cell r="BF22">
            <v>75.8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 стол"/>
      <sheetName val="Спецификация"/>
      <sheetName val="Цены"/>
      <sheetName val="Клеммы"/>
      <sheetName val="Вводы"/>
      <sheetName val="Типы изделий"/>
      <sheetName val="Элементы управления"/>
      <sheetName val="Таблы"/>
      <sheetName val="Справочные материалы"/>
      <sheetName val="предоставленные цены"/>
      <sheetName val="ЩД.385726-22.2049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9">
          <cell r="I29" t="str">
            <v>Столбец1</v>
          </cell>
          <cell r="J29" t="str">
            <v>Столбец2</v>
          </cell>
        </row>
        <row r="30">
          <cell r="I30" t="str">
            <v>ВЗ-Н12</v>
          </cell>
          <cell r="J30" t="str">
            <v>2-6</v>
          </cell>
        </row>
        <row r="31">
          <cell r="I31" t="str">
            <v>ВЗ-Н16</v>
          </cell>
          <cell r="J31" t="str">
            <v>3-8</v>
          </cell>
        </row>
        <row r="32">
          <cell r="I32" t="str">
            <v>ВЗ-Н20</v>
          </cell>
          <cell r="J32" t="str">
            <v>6-14</v>
          </cell>
        </row>
        <row r="33">
          <cell r="I33" t="str">
            <v>ВЗ-Н25</v>
          </cell>
          <cell r="J33" t="str">
            <v>12-18</v>
          </cell>
        </row>
        <row r="34">
          <cell r="I34" t="str">
            <v>ВЗ-Н32</v>
          </cell>
          <cell r="J34" t="str">
            <v>18-25</v>
          </cell>
        </row>
        <row r="35">
          <cell r="I35" t="str">
            <v>ВЗ-Н40</v>
          </cell>
          <cell r="J35" t="str">
            <v>25-31</v>
          </cell>
        </row>
        <row r="36">
          <cell r="I36" t="str">
            <v>ВЗ-Н50</v>
          </cell>
          <cell r="J36" t="str">
            <v>31-39</v>
          </cell>
        </row>
        <row r="37">
          <cell r="I37" t="str">
            <v>ВЗ-Н63</v>
          </cell>
          <cell r="J37" t="str">
            <v>39-47</v>
          </cell>
        </row>
        <row r="38">
          <cell r="I38" t="str">
            <v>ВЗ-Н75</v>
          </cell>
          <cell r="J38" t="str">
            <v>47-55</v>
          </cell>
        </row>
        <row r="39">
          <cell r="I39" t="str">
            <v>ВЗ-Н75А</v>
          </cell>
          <cell r="J39" t="str">
            <v>55-63</v>
          </cell>
        </row>
        <row r="40">
          <cell r="I40" t="str">
            <v>ВЗ-Н90</v>
          </cell>
          <cell r="J40" t="str">
            <v>63-71</v>
          </cell>
        </row>
        <row r="41">
          <cell r="I41" t="str">
            <v>ВЗ-Н90А</v>
          </cell>
          <cell r="J41" t="str">
            <v>71-79</v>
          </cell>
        </row>
        <row r="42">
          <cell r="I42" t="str">
            <v>ВЗ-Н90В</v>
          </cell>
          <cell r="J42" t="str">
            <v>63-71</v>
          </cell>
        </row>
        <row r="43">
          <cell r="I43" t="str">
            <v>ВЗ-Н90С</v>
          </cell>
          <cell r="J43" t="str">
            <v>71-79</v>
          </cell>
        </row>
        <row r="44">
          <cell r="I44" t="str">
            <v>ВЗ-Н100</v>
          </cell>
          <cell r="J44" t="str">
            <v>79-87</v>
          </cell>
        </row>
        <row r="45">
          <cell r="I45" t="str">
            <v>ВЗ-Н100А</v>
          </cell>
          <cell r="J45" t="str">
            <v>84-92</v>
          </cell>
        </row>
        <row r="46">
          <cell r="I46" t="str">
            <v>ВЗ-Н100В</v>
          </cell>
          <cell r="J46" t="str">
            <v>79-87</v>
          </cell>
        </row>
        <row r="47">
          <cell r="I47" t="str">
            <v>ВЗ-Н100С</v>
          </cell>
          <cell r="J47" t="str">
            <v>84-92</v>
          </cell>
        </row>
        <row r="48">
          <cell r="I48" t="str">
            <v>ВЗ-Б12</v>
          </cell>
          <cell r="J48" t="str">
            <v>2-6</v>
          </cell>
        </row>
        <row r="49">
          <cell r="I49" t="str">
            <v>ВЗ-Б16</v>
          </cell>
          <cell r="J49" t="str">
            <v>3-8</v>
          </cell>
        </row>
        <row r="50">
          <cell r="I50" t="str">
            <v>ВЗ-Б20</v>
          </cell>
          <cell r="J50" t="str">
            <v>6-14</v>
          </cell>
        </row>
        <row r="51">
          <cell r="I51" t="str">
            <v>ВЗ-Б25</v>
          </cell>
          <cell r="J51" t="str">
            <v>12-18</v>
          </cell>
        </row>
        <row r="52">
          <cell r="I52" t="str">
            <v>ВЗ-Б32</v>
          </cell>
          <cell r="J52" t="str">
            <v>18-25</v>
          </cell>
        </row>
        <row r="53">
          <cell r="I53" t="str">
            <v>ВЗ-Б40</v>
          </cell>
          <cell r="J53" t="str">
            <v>25-31</v>
          </cell>
        </row>
        <row r="54">
          <cell r="I54" t="str">
            <v>ВЗ-Б50</v>
          </cell>
          <cell r="J54" t="str">
            <v>31-39</v>
          </cell>
        </row>
        <row r="55">
          <cell r="I55" t="str">
            <v>ВЗ-Б63</v>
          </cell>
          <cell r="J55" t="str">
            <v>39-47</v>
          </cell>
        </row>
        <row r="56">
          <cell r="I56" t="str">
            <v>ВЗ-Н12</v>
          </cell>
          <cell r="J56" t="str">
            <v>2-6</v>
          </cell>
        </row>
        <row r="57">
          <cell r="I57" t="str">
            <v>ВЗ-Н16</v>
          </cell>
          <cell r="J57" t="str">
            <v>3-8</v>
          </cell>
        </row>
        <row r="58">
          <cell r="I58" t="str">
            <v>ВЗ-Н20</v>
          </cell>
          <cell r="J58" t="str">
            <v>6-14</v>
          </cell>
        </row>
        <row r="59">
          <cell r="I59" t="str">
            <v>ВЗ-Н25</v>
          </cell>
          <cell r="J59" t="str">
            <v>12-18</v>
          </cell>
        </row>
        <row r="60">
          <cell r="I60" t="str">
            <v>ВЗ-Н32</v>
          </cell>
          <cell r="J60" t="str">
            <v>18-25</v>
          </cell>
        </row>
        <row r="61">
          <cell r="I61" t="str">
            <v>ВЗ-Н40</v>
          </cell>
          <cell r="J61" t="str">
            <v>25-31</v>
          </cell>
        </row>
        <row r="62">
          <cell r="I62" t="str">
            <v>ВЗ-Н16-МР12</v>
          </cell>
          <cell r="J62" t="str">
            <v>3-8</v>
          </cell>
        </row>
        <row r="63">
          <cell r="I63" t="str">
            <v>ВЗ-Н20-МР15</v>
          </cell>
          <cell r="J63" t="str">
            <v>6-14</v>
          </cell>
        </row>
        <row r="64">
          <cell r="I64" t="str">
            <v>ВЗ-Н20-МР16</v>
          </cell>
          <cell r="J64" t="str">
            <v>6-14</v>
          </cell>
        </row>
        <row r="65">
          <cell r="I65" t="str">
            <v>ВЗ-Н20-МР18</v>
          </cell>
          <cell r="J65" t="str">
            <v>6-14</v>
          </cell>
        </row>
        <row r="66">
          <cell r="I66" t="str">
            <v>ВЗ-Н20-МР20</v>
          </cell>
          <cell r="J66" t="str">
            <v>6-14</v>
          </cell>
        </row>
        <row r="67">
          <cell r="I67" t="str">
            <v>ВЗ-Н20-МР22</v>
          </cell>
          <cell r="J67" t="str">
            <v>6-14</v>
          </cell>
        </row>
        <row r="68">
          <cell r="I68" t="str">
            <v>ВЗ-Н20-МР25</v>
          </cell>
          <cell r="J68" t="str">
            <v>6-14</v>
          </cell>
        </row>
        <row r="69">
          <cell r="I69" t="str">
            <v>ВЗ-Н25-МР18</v>
          </cell>
          <cell r="J69" t="str">
            <v>12-18</v>
          </cell>
        </row>
        <row r="70">
          <cell r="I70" t="str">
            <v>ВЗ-Н25-МР20</v>
          </cell>
          <cell r="J70" t="str">
            <v>12-18</v>
          </cell>
        </row>
        <row r="71">
          <cell r="I71" t="str">
            <v>ВЗ-Н25-МР22</v>
          </cell>
          <cell r="J71" t="str">
            <v>12-18</v>
          </cell>
        </row>
        <row r="72">
          <cell r="I72" t="str">
            <v>ВЗ-Н25-МР25</v>
          </cell>
          <cell r="J72" t="str">
            <v>12-18</v>
          </cell>
        </row>
        <row r="73">
          <cell r="I73" t="str">
            <v>ВЗ-Н25-МР32</v>
          </cell>
          <cell r="J73" t="str">
            <v>12-18</v>
          </cell>
        </row>
        <row r="74">
          <cell r="I74" t="str">
            <v>ВЗ-Н32-МР25</v>
          </cell>
          <cell r="J74" t="str">
            <v>18-25</v>
          </cell>
        </row>
        <row r="75">
          <cell r="I75" t="str">
            <v>ВЗ-Н32-МР32</v>
          </cell>
          <cell r="J75" t="str">
            <v>18-25</v>
          </cell>
        </row>
        <row r="76">
          <cell r="I76" t="str">
            <v>ВЗ-Н32-МР38</v>
          </cell>
          <cell r="J76" t="str">
            <v>18-25</v>
          </cell>
        </row>
        <row r="77">
          <cell r="I77" t="str">
            <v>ВЗ-Н40-МР32</v>
          </cell>
          <cell r="J77" t="str">
            <v>25-31</v>
          </cell>
        </row>
        <row r="78">
          <cell r="I78" t="str">
            <v>ВЗ-Н40-МР38</v>
          </cell>
          <cell r="J78" t="str">
            <v>25-31</v>
          </cell>
        </row>
        <row r="79">
          <cell r="I79" t="str">
            <v>ВЗ-Б20-Т1/2G(Н)/МР15</v>
          </cell>
          <cell r="J79" t="str">
            <v>9-17</v>
          </cell>
        </row>
        <row r="80">
          <cell r="I80" t="str">
            <v>ВЗ-Б20-Т3/4G(Н)/МР20</v>
          </cell>
          <cell r="J80" t="str">
            <v>9-17</v>
          </cell>
        </row>
        <row r="81">
          <cell r="I81" t="str">
            <v>ВЗ-Б20-Т1G(Н)/МР25</v>
          </cell>
          <cell r="J81" t="str">
            <v>9-17</v>
          </cell>
        </row>
        <row r="82">
          <cell r="I82" t="str">
            <v>ВЗ-Б25-Т3/4G(Н)/МР20</v>
          </cell>
          <cell r="J82" t="str">
            <v>15-25</v>
          </cell>
        </row>
        <row r="83">
          <cell r="I83" t="str">
            <v>ВЗ-Б25-Т1G(Н)/МР25</v>
          </cell>
          <cell r="J83" t="str">
            <v>15-25</v>
          </cell>
        </row>
        <row r="84">
          <cell r="I84" t="str">
            <v>ВЗ-Б25-Т1.1/4G(Н)/МР32</v>
          </cell>
          <cell r="J84" t="str">
            <v>15-25</v>
          </cell>
        </row>
        <row r="85">
          <cell r="I85" t="str">
            <v>ВЗ-Б32-Т1G(Н)/МР25</v>
          </cell>
          <cell r="J85" t="str">
            <v>21-31</v>
          </cell>
        </row>
        <row r="86">
          <cell r="I86" t="str">
            <v>ВЗ-Б32-Т1.1/4G(Н)/МР32</v>
          </cell>
          <cell r="J86" t="str">
            <v>21-31</v>
          </cell>
        </row>
        <row r="87">
          <cell r="I87" t="str">
            <v>ВЗ-Б32-Т1.1/2G(Н)/МР38</v>
          </cell>
          <cell r="J87" t="str">
            <v>21-31</v>
          </cell>
        </row>
        <row r="88">
          <cell r="I88" t="str">
            <v>ВЗ-Н16-Т3/8G(В)</v>
          </cell>
          <cell r="J88" t="str">
            <v>3-8</v>
          </cell>
        </row>
        <row r="89">
          <cell r="I89" t="str">
            <v>ВЗ-Н16-Т1/2G(В)</v>
          </cell>
          <cell r="J89" t="str">
            <v>3-8</v>
          </cell>
        </row>
        <row r="90">
          <cell r="I90" t="str">
            <v>ВЗ-Н20-Т1/2G(В)</v>
          </cell>
          <cell r="J90" t="str">
            <v>6-14</v>
          </cell>
        </row>
        <row r="91">
          <cell r="I91" t="str">
            <v>ВЗ-Н20-Т3/4G(В)</v>
          </cell>
          <cell r="J91" t="str">
            <v>6-14</v>
          </cell>
        </row>
        <row r="92">
          <cell r="I92" t="str">
            <v>ВЗ-Н25-Т3/4G(В)</v>
          </cell>
          <cell r="J92" t="str">
            <v>12-18</v>
          </cell>
        </row>
        <row r="93">
          <cell r="I93" t="str">
            <v>ВЗ-Н25-Т1G(В)</v>
          </cell>
          <cell r="J93" t="str">
            <v>12-18</v>
          </cell>
        </row>
        <row r="94">
          <cell r="I94" t="str">
            <v>ВЗ-Н32-Т1G(В)</v>
          </cell>
          <cell r="J94" t="str">
            <v>18-25</v>
          </cell>
        </row>
        <row r="95">
          <cell r="I95" t="str">
            <v>ВЗ-Н32-Т1.1/4G(В)</v>
          </cell>
          <cell r="J95" t="str">
            <v>18-25</v>
          </cell>
        </row>
        <row r="96">
          <cell r="I96" t="str">
            <v>ВЗ-Н40-Т1.1/4G(В)</v>
          </cell>
          <cell r="J96" t="str">
            <v>25-31</v>
          </cell>
        </row>
        <row r="97">
          <cell r="I97" t="str">
            <v>ВЗ-Н40-Т1.1/2G(В)</v>
          </cell>
          <cell r="J97" t="str">
            <v>25-31</v>
          </cell>
        </row>
        <row r="98">
          <cell r="I98" t="str">
            <v>ВЗ-Н50-Т1.1/2G(В)</v>
          </cell>
          <cell r="J98" t="str">
            <v>31-39</v>
          </cell>
        </row>
        <row r="99">
          <cell r="I99" t="str">
            <v>ВЗ-Н50-Т2G(В)</v>
          </cell>
          <cell r="J99" t="str">
            <v>31-39</v>
          </cell>
        </row>
        <row r="100">
          <cell r="I100" t="str">
            <v>ВЗ-Н16-Т3/8G(В)</v>
          </cell>
          <cell r="J100" t="str">
            <v>3-8</v>
          </cell>
        </row>
        <row r="101">
          <cell r="I101" t="str">
            <v>ВЗ-Н16-Т1/2G(В)</v>
          </cell>
          <cell r="J101" t="str">
            <v>3-8</v>
          </cell>
        </row>
        <row r="102">
          <cell r="I102" t="str">
            <v>ВЗ-Н20-Т1/2G(В)</v>
          </cell>
          <cell r="J102" t="str">
            <v>6-14</v>
          </cell>
        </row>
        <row r="103">
          <cell r="I103" t="str">
            <v>ВЗ-Н20-Т3/4G(В)</v>
          </cell>
          <cell r="J103" t="str">
            <v>6-14</v>
          </cell>
        </row>
        <row r="104">
          <cell r="I104" t="str">
            <v>ВЗ-Н25-Т3/4G(В)</v>
          </cell>
          <cell r="J104" t="str">
            <v>12-18</v>
          </cell>
        </row>
        <row r="105">
          <cell r="I105" t="str">
            <v>ВЗ-Н25-Т1G(В)</v>
          </cell>
          <cell r="J105" t="str">
            <v>12-18</v>
          </cell>
        </row>
        <row r="106">
          <cell r="I106" t="str">
            <v>ВЗ-Н32-Т1G(В)</v>
          </cell>
          <cell r="J106" t="str">
            <v>18-25</v>
          </cell>
        </row>
        <row r="107">
          <cell r="I107" t="str">
            <v>ВЗ-Н32-Т1.1/4G(В)</v>
          </cell>
          <cell r="J107" t="str">
            <v>18-25</v>
          </cell>
        </row>
        <row r="108">
          <cell r="I108" t="str">
            <v>ВЗ-Н40-Т1.1/4G(В)</v>
          </cell>
          <cell r="J108" t="str">
            <v>25-31</v>
          </cell>
        </row>
        <row r="109">
          <cell r="I109" t="str">
            <v>ВЗ-Н40-Т1.1/2G(В)</v>
          </cell>
          <cell r="J109" t="str">
            <v>25-31</v>
          </cell>
        </row>
        <row r="110">
          <cell r="I110" t="str">
            <v>ВЗ-Н50-Т1.1/2G(В)</v>
          </cell>
          <cell r="J110" t="str">
            <v>31-39</v>
          </cell>
        </row>
        <row r="111">
          <cell r="I111" t="str">
            <v>ВЗ-Н50-Т2G(В)</v>
          </cell>
          <cell r="J111" t="str">
            <v>31-39</v>
          </cell>
        </row>
        <row r="112">
          <cell r="I112" t="str">
            <v>ВЗ-Н16-Т3/8(В)</v>
          </cell>
          <cell r="J112" t="str">
            <v>3-8</v>
          </cell>
        </row>
        <row r="113">
          <cell r="I113" t="str">
            <v>ВЗ-Н16-Т1/2(В)</v>
          </cell>
          <cell r="J113" t="str">
            <v>3-8</v>
          </cell>
        </row>
        <row r="114">
          <cell r="I114" t="str">
            <v>ВЗ-Н20-Т1/2(В)</v>
          </cell>
          <cell r="J114" t="str">
            <v>6-14</v>
          </cell>
        </row>
        <row r="115">
          <cell r="I115" t="str">
            <v>ВЗ-Н20-Т3/4(В)</v>
          </cell>
          <cell r="J115" t="str">
            <v>6-14</v>
          </cell>
        </row>
        <row r="116">
          <cell r="I116" t="str">
            <v>ВЗ-Н25-Т3/4(В)</v>
          </cell>
          <cell r="J116" t="str">
            <v>12-18</v>
          </cell>
        </row>
        <row r="117">
          <cell r="I117" t="str">
            <v>ВЗ-Н25-Т1(В)</v>
          </cell>
          <cell r="J117" t="str">
            <v>12-18</v>
          </cell>
        </row>
        <row r="118">
          <cell r="I118" t="str">
            <v>ВЗ-Н32-Т1(В)</v>
          </cell>
          <cell r="J118" t="str">
            <v>18-25</v>
          </cell>
        </row>
        <row r="119">
          <cell r="I119" t="str">
            <v>ВЗ-Н32-Т1.1/4(В)</v>
          </cell>
          <cell r="J119" t="str">
            <v>18-25</v>
          </cell>
        </row>
        <row r="120">
          <cell r="I120" t="str">
            <v>ВЗ-Н40-Т1.1/4(В)</v>
          </cell>
          <cell r="J120" t="str">
            <v>25-31</v>
          </cell>
        </row>
        <row r="121">
          <cell r="I121" t="str">
            <v>ВЗ-Н40-Т1.1/2(В)</v>
          </cell>
          <cell r="J121" t="str">
            <v>25-31</v>
          </cell>
        </row>
        <row r="122">
          <cell r="I122" t="str">
            <v>ВЗ-Н50-Т1.1/2(В)</v>
          </cell>
          <cell r="J122" t="str">
            <v>31-39</v>
          </cell>
        </row>
        <row r="123">
          <cell r="I123" t="str">
            <v>ВЗ-Н50-Т2(В)</v>
          </cell>
          <cell r="J123" t="str">
            <v>31-39</v>
          </cell>
        </row>
        <row r="124">
          <cell r="I124" t="str">
            <v>ВЗ-Н16-Т3/8G(Н)</v>
          </cell>
          <cell r="J124" t="str">
            <v>3-8</v>
          </cell>
        </row>
        <row r="125">
          <cell r="I125" t="str">
            <v>ВЗ-Н16-Т1/2G(Н)</v>
          </cell>
          <cell r="J125" t="str">
            <v>3-8</v>
          </cell>
        </row>
        <row r="126">
          <cell r="I126" t="str">
            <v>ВЗ-Н20-Т1/2G(Н)</v>
          </cell>
          <cell r="J126" t="str">
            <v>6-14</v>
          </cell>
        </row>
        <row r="127">
          <cell r="I127" t="str">
            <v>ВЗ-Н20-Т3/4G(Н)</v>
          </cell>
          <cell r="J127" t="str">
            <v>6-14</v>
          </cell>
        </row>
        <row r="128">
          <cell r="I128" t="str">
            <v>ВЗ-Н25-Т3/4G(Н)</v>
          </cell>
          <cell r="J128" t="str">
            <v>12-18</v>
          </cell>
        </row>
        <row r="129">
          <cell r="I129" t="str">
            <v>ВЗ-Н25-Т1G(Н)</v>
          </cell>
          <cell r="J129" t="str">
            <v>12-18</v>
          </cell>
        </row>
        <row r="130">
          <cell r="I130" t="str">
            <v>ВЗ-Н32-Т1G(Н)</v>
          </cell>
          <cell r="J130" t="str">
            <v>18-25</v>
          </cell>
        </row>
        <row r="131">
          <cell r="I131" t="str">
            <v>ВЗ-Н32-Т1.1/4G(Н)</v>
          </cell>
          <cell r="J131" t="str">
            <v>18-25</v>
          </cell>
        </row>
        <row r="132">
          <cell r="I132" t="str">
            <v>ВЗ-Н40-Т1.1/4G(Н)</v>
          </cell>
          <cell r="J132" t="str">
            <v>25-31</v>
          </cell>
        </row>
        <row r="133">
          <cell r="I133" t="str">
            <v>ВЗ-Н40-Т1.1/2G(Н)</v>
          </cell>
          <cell r="J133" t="str">
            <v>25-31</v>
          </cell>
        </row>
        <row r="134">
          <cell r="I134" t="str">
            <v>ВЗ-Н50-Т1.1/2G(Н)</v>
          </cell>
          <cell r="J134" t="str">
            <v>31-39</v>
          </cell>
        </row>
        <row r="135">
          <cell r="I135" t="str">
            <v>ВЗ-Н50-Т2G(Н)</v>
          </cell>
          <cell r="J135" t="str">
            <v>31-39</v>
          </cell>
        </row>
        <row r="136">
          <cell r="I136" t="str">
            <v>ВЗ-Н16-Т3/8(Н)</v>
          </cell>
          <cell r="J136" t="str">
            <v>3-8</v>
          </cell>
        </row>
        <row r="137">
          <cell r="I137" t="str">
            <v>ВЗ-Н16-Т1/2(Н)</v>
          </cell>
          <cell r="J137" t="str">
            <v>3-8</v>
          </cell>
        </row>
        <row r="138">
          <cell r="I138" t="str">
            <v>ВЗ-Н20-Т1/2(Н)</v>
          </cell>
          <cell r="J138" t="str">
            <v>6-14</v>
          </cell>
        </row>
        <row r="139">
          <cell r="I139" t="str">
            <v>ВЗ-Н20-Т3/4(Н)</v>
          </cell>
          <cell r="J139" t="str">
            <v>6-14</v>
          </cell>
        </row>
        <row r="140">
          <cell r="I140" t="str">
            <v>ВЗ-Н25-Т3/4(Н)</v>
          </cell>
          <cell r="J140" t="str">
            <v>12-18</v>
          </cell>
        </row>
        <row r="141">
          <cell r="I141" t="str">
            <v>ВЗ-Н25-Т1(Н)</v>
          </cell>
          <cell r="J141" t="str">
            <v>12-18</v>
          </cell>
        </row>
        <row r="142">
          <cell r="I142" t="str">
            <v>ВЗ-Н32-Т1(Н)</v>
          </cell>
          <cell r="J142" t="str">
            <v>18-25</v>
          </cell>
        </row>
        <row r="143">
          <cell r="I143" t="str">
            <v>ВЗ-Н32-Т1.1/4(Н)</v>
          </cell>
          <cell r="J143" t="str">
            <v>18-25</v>
          </cell>
        </row>
        <row r="144">
          <cell r="I144" t="str">
            <v>ВЗ-Н40-Т1.1/4(Н)</v>
          </cell>
          <cell r="J144" t="str">
            <v>25-31</v>
          </cell>
        </row>
        <row r="145">
          <cell r="I145" t="str">
            <v>ВЗ-Н40-Т1.1/2(Н)</v>
          </cell>
          <cell r="J145" t="str">
            <v>25-31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четные цены на материалы"/>
      <sheetName val="Расчет себес оболочек"/>
      <sheetName val="Расчет себес каб вводы"/>
      <sheetName val="Расчет себес клемники"/>
      <sheetName val="Световая индикация"/>
      <sheetName val="Расчет стоимости кронштейнов"/>
    </sheetNames>
    <sheetDataSet>
      <sheetData sheetId="0" refreshError="1"/>
      <sheetData sheetId="1" refreshError="1">
        <row r="3">
          <cell r="A3" t="str">
            <v>ВП.110806</v>
          </cell>
          <cell r="B3">
            <v>319.7</v>
          </cell>
          <cell r="C3">
            <v>86.24436</v>
          </cell>
          <cell r="D3">
            <v>1050</v>
          </cell>
          <cell r="E3">
            <v>1485.0632472</v>
          </cell>
        </row>
        <row r="4">
          <cell r="A4" t="str">
            <v>ВП.150807</v>
          </cell>
          <cell r="B4">
            <v>396.5</v>
          </cell>
          <cell r="C4">
            <v>130.81864000000002</v>
          </cell>
          <cell r="D4">
            <v>1050</v>
          </cell>
          <cell r="E4">
            <v>1608.8650127999999</v>
          </cell>
        </row>
        <row r="5">
          <cell r="A5" t="str">
            <v>ВП.121209</v>
          </cell>
          <cell r="B5">
            <v>554.5</v>
          </cell>
          <cell r="C5">
            <v>183.146096</v>
          </cell>
          <cell r="D5">
            <v>1050</v>
          </cell>
          <cell r="E5">
            <v>1823.39901792</v>
          </cell>
        </row>
        <row r="6">
          <cell r="A6" t="str">
            <v>ВП.122209</v>
          </cell>
          <cell r="B6">
            <v>735.4</v>
          </cell>
          <cell r="C6">
            <v>130.81864000000002</v>
          </cell>
          <cell r="D6">
            <v>1050</v>
          </cell>
          <cell r="E6">
            <v>1954.5430128</v>
          </cell>
        </row>
        <row r="7">
          <cell r="A7" t="str">
            <v>ВП.161610</v>
          </cell>
          <cell r="B7">
            <v>756.6</v>
          </cell>
          <cell r="C7">
            <v>183.146096</v>
          </cell>
          <cell r="D7">
            <v>1050</v>
          </cell>
          <cell r="E7">
            <v>2029.5410179199998</v>
          </cell>
        </row>
        <row r="8">
          <cell r="A8" t="str">
            <v>ВП.261609</v>
          </cell>
          <cell r="B8">
            <v>968.3</v>
          </cell>
          <cell r="C8">
            <v>130.81864000000002</v>
          </cell>
          <cell r="D8">
            <v>1050</v>
          </cell>
          <cell r="E8">
            <v>2192.1010127999998</v>
          </cell>
        </row>
        <row r="9">
          <cell r="A9" t="str">
            <v>ВП.197575</v>
          </cell>
          <cell r="B9">
            <v>1783</v>
          </cell>
          <cell r="C9">
            <v>130.81864000000002</v>
          </cell>
          <cell r="D9">
            <v>1050</v>
          </cell>
          <cell r="E9">
            <v>3023.0950127999999</v>
          </cell>
        </row>
        <row r="10">
          <cell r="A10" t="str">
            <v>ВП.262516</v>
          </cell>
          <cell r="B10">
            <v>38304</v>
          </cell>
          <cell r="C10">
            <v>130.81864000000002</v>
          </cell>
          <cell r="D10">
            <v>1050</v>
          </cell>
          <cell r="E10">
            <v>40274.515012799995</v>
          </cell>
        </row>
        <row r="11">
          <cell r="A11" t="str">
            <v>ВП.262512</v>
          </cell>
          <cell r="B11">
            <v>5833</v>
          </cell>
          <cell r="C11">
            <v>130.81864000000002</v>
          </cell>
          <cell r="D11">
            <v>1050</v>
          </cell>
          <cell r="E11">
            <v>7154.0950127999995</v>
          </cell>
        </row>
        <row r="12">
          <cell r="A12" t="str">
            <v>ВП.402512</v>
          </cell>
          <cell r="B12">
            <v>9373</v>
          </cell>
          <cell r="C12">
            <v>150.47428000000005</v>
          </cell>
          <cell r="D12">
            <v>2170</v>
          </cell>
          <cell r="E12">
            <v>11927.343765600001</v>
          </cell>
        </row>
        <row r="13">
          <cell r="A13" t="str">
            <v>ВП.402516</v>
          </cell>
          <cell r="B13">
            <v>8469</v>
          </cell>
          <cell r="C13">
            <v>150.47428000000005</v>
          </cell>
          <cell r="D13">
            <v>2170</v>
          </cell>
          <cell r="E13">
            <v>11005.263765600001</v>
          </cell>
        </row>
        <row r="14">
          <cell r="A14" t="str">
            <v>ВП.404020</v>
          </cell>
          <cell r="B14">
            <v>16619</v>
          </cell>
          <cell r="C14">
            <v>150.47428000000005</v>
          </cell>
          <cell r="D14">
            <v>2170</v>
          </cell>
          <cell r="E14">
            <v>19318.263765600001</v>
          </cell>
        </row>
        <row r="15">
          <cell r="A15" t="str">
            <v>ВП.602512</v>
          </cell>
          <cell r="B15">
            <v>33453</v>
          </cell>
          <cell r="C15">
            <v>178.67228000000003</v>
          </cell>
          <cell r="D15">
            <v>2275</v>
          </cell>
          <cell r="E15">
            <v>36624.805725600003</v>
          </cell>
        </row>
        <row r="16">
          <cell r="A16" t="str">
            <v>ВА.121209</v>
          </cell>
          <cell r="B16">
            <v>1330.4</v>
          </cell>
          <cell r="C16">
            <v>222.21964000000003</v>
          </cell>
          <cell r="D16">
            <v>1750</v>
          </cell>
          <cell r="E16">
            <v>3368.6720328000001</v>
          </cell>
        </row>
        <row r="17">
          <cell r="A17" t="str">
            <v>ВА.122209</v>
          </cell>
          <cell r="B17">
            <v>7660</v>
          </cell>
          <cell r="C17">
            <v>222.21964000000003</v>
          </cell>
          <cell r="D17">
            <v>1750</v>
          </cell>
          <cell r="E17">
            <v>9824.8640328000001</v>
          </cell>
        </row>
        <row r="18">
          <cell r="A18" t="str">
            <v>ВА.161609</v>
          </cell>
          <cell r="B18">
            <v>3841</v>
          </cell>
          <cell r="C18">
            <v>222.21964000000003</v>
          </cell>
          <cell r="D18">
            <v>1750</v>
          </cell>
          <cell r="E18">
            <v>5929.4840328</v>
          </cell>
        </row>
        <row r="19">
          <cell r="A19" t="str">
            <v>ВА.121211</v>
          </cell>
          <cell r="B19">
            <v>6623</v>
          </cell>
          <cell r="C19">
            <v>222.21964000000003</v>
          </cell>
          <cell r="D19">
            <v>1750</v>
          </cell>
          <cell r="E19">
            <v>8767.1240328000004</v>
          </cell>
        </row>
        <row r="20">
          <cell r="A20" t="str">
            <v>ВА.281810</v>
          </cell>
          <cell r="B20">
            <v>5709</v>
          </cell>
          <cell r="C20">
            <v>222.21964000000003</v>
          </cell>
          <cell r="D20">
            <v>1750</v>
          </cell>
          <cell r="E20">
            <v>7834.8440328000006</v>
          </cell>
        </row>
        <row r="21">
          <cell r="A21" t="str">
            <v>ВА.332311</v>
          </cell>
          <cell r="B21">
            <v>9660</v>
          </cell>
          <cell r="C21">
            <v>271.56614000000002</v>
          </cell>
          <cell r="D21">
            <v>2170</v>
          </cell>
          <cell r="E21">
            <v>12343.597462799999</v>
          </cell>
        </row>
        <row r="22">
          <cell r="A22" t="str">
            <v>ВА.402323</v>
          </cell>
          <cell r="B22">
            <v>28236</v>
          </cell>
          <cell r="C22">
            <v>271.56614000000002</v>
          </cell>
          <cell r="D22">
            <v>2170</v>
          </cell>
          <cell r="E22">
            <v>31291.117462800001</v>
          </cell>
        </row>
        <row r="23">
          <cell r="A23" t="str">
            <v>ВА.603118</v>
          </cell>
          <cell r="B23">
            <v>39843</v>
          </cell>
          <cell r="C23">
            <v>298.92414000000002</v>
          </cell>
          <cell r="D23">
            <v>2170</v>
          </cell>
          <cell r="E23">
            <v>43158.162622800002</v>
          </cell>
        </row>
        <row r="24">
          <cell r="A24" t="str">
            <v>ВА.606020</v>
          </cell>
          <cell r="B24">
            <v>67962</v>
          </cell>
          <cell r="C24">
            <v>298.92414000000002</v>
          </cell>
          <cell r="D24">
            <v>2450</v>
          </cell>
          <cell r="E24">
            <v>72125.142622800005</v>
          </cell>
        </row>
        <row r="25">
          <cell r="A25" t="str">
            <v>ВО.233223</v>
          </cell>
          <cell r="B25">
            <v>25740</v>
          </cell>
          <cell r="C25">
            <v>384.96914000000004</v>
          </cell>
          <cell r="D25">
            <v>2800</v>
          </cell>
          <cell r="E25">
            <v>29503.468522800002</v>
          </cell>
        </row>
        <row r="26">
          <cell r="A26" t="str">
            <v>ВО.324226</v>
          </cell>
          <cell r="B26">
            <v>47450</v>
          </cell>
          <cell r="C26">
            <v>384.96914000000004</v>
          </cell>
          <cell r="D26">
            <v>3500</v>
          </cell>
          <cell r="E26">
            <v>52361.668522799999</v>
          </cell>
        </row>
        <row r="27">
          <cell r="A27" t="str">
            <v>ВО.385726</v>
          </cell>
          <cell r="B27">
            <v>50030</v>
          </cell>
          <cell r="C27">
            <v>384.96914000000004</v>
          </cell>
          <cell r="D27">
            <v>3850.0000000000005</v>
          </cell>
          <cell r="E27">
            <v>55350.268522800005</v>
          </cell>
        </row>
        <row r="28">
          <cell r="A28" t="str">
            <v>ВОС.171714</v>
          </cell>
          <cell r="B28">
            <v>10060</v>
          </cell>
          <cell r="C28">
            <v>314.47414000000003</v>
          </cell>
          <cell r="D28">
            <v>2800</v>
          </cell>
          <cell r="E28">
            <v>13437.9636228</v>
          </cell>
        </row>
        <row r="29">
          <cell r="A29" t="str">
            <v>ВОС.202015</v>
          </cell>
          <cell r="B29">
            <v>11370</v>
          </cell>
          <cell r="C29">
            <v>314.47414000000003</v>
          </cell>
          <cell r="D29">
            <v>2800</v>
          </cell>
          <cell r="E29">
            <v>14774.163622800001</v>
          </cell>
        </row>
        <row r="30">
          <cell r="A30" t="str">
            <v>ВОС.242417</v>
          </cell>
          <cell r="B30">
            <v>14650</v>
          </cell>
          <cell r="C30">
            <v>314.47414000000003</v>
          </cell>
          <cell r="D30">
            <v>2800</v>
          </cell>
          <cell r="E30">
            <v>18119.763622799997</v>
          </cell>
        </row>
        <row r="31">
          <cell r="A31" t="str">
            <v>ВОС.282822</v>
          </cell>
          <cell r="B31">
            <v>27260</v>
          </cell>
          <cell r="C31">
            <v>314.47414000000003</v>
          </cell>
          <cell r="D31">
            <v>2800</v>
          </cell>
          <cell r="E31">
            <v>30981.963622799998</v>
          </cell>
        </row>
        <row r="32">
          <cell r="A32" t="str">
            <v>ВН.151509</v>
          </cell>
          <cell r="B32">
            <v>12180</v>
          </cell>
          <cell r="C32">
            <v>686.00333333333344</v>
          </cell>
          <cell r="D32">
            <v>1925.0000000000002</v>
          </cell>
          <cell r="E32">
            <v>15086.823400000001</v>
          </cell>
        </row>
        <row r="33">
          <cell r="A33" t="str">
            <v>ВН.303015</v>
          </cell>
          <cell r="B33">
            <v>27260</v>
          </cell>
          <cell r="C33">
            <v>686.00333333333344</v>
          </cell>
          <cell r="D33">
            <v>1925.0000000000002</v>
          </cell>
          <cell r="E33">
            <v>30468.4234</v>
          </cell>
        </row>
        <row r="34">
          <cell r="A34" t="str">
            <v>ВН.383816</v>
          </cell>
          <cell r="B34">
            <v>33700</v>
          </cell>
          <cell r="C34">
            <v>686.00333333333344</v>
          </cell>
          <cell r="D34">
            <v>1925.0000000000002</v>
          </cell>
          <cell r="E34">
            <v>37037.223400000003</v>
          </cell>
        </row>
        <row r="35">
          <cell r="A35" t="str">
            <v>ВН.605018</v>
          </cell>
          <cell r="B35">
            <v>47660</v>
          </cell>
          <cell r="C35">
            <v>686.00333333333344</v>
          </cell>
          <cell r="D35">
            <v>1925.0000000000002</v>
          </cell>
          <cell r="E35">
            <v>51276.4234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ирование цен"/>
      <sheetName val="Коммерческое предложение"/>
      <sheetName val="Маркировка"/>
      <sheetName val="Расчет себес окон"/>
      <sheetName val="Трудоемкость"/>
      <sheetName val="Расчет стоимости кронштейнов"/>
      <sheetName val="Оболочки"/>
      <sheetName val="Расчетный коэффициент"/>
      <sheetName val="Учетные цены на материалы"/>
      <sheetName val="Промежуточная таблица"/>
      <sheetName val="Для спецификации"/>
      <sheetName val="Расчет себес оболочек"/>
      <sheetName val="Кабельные вводы EXE"/>
      <sheetName val="Расчет себес каб вводы"/>
      <sheetName val="Клемники"/>
      <sheetName val="Расчет себес клемники"/>
      <sheetName val="Световая индикац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AE6">
            <v>5133.33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четные цены на материалы"/>
      <sheetName val="Расчет себес оболочек"/>
      <sheetName val="Расчет себес каб вводы"/>
      <sheetName val="Расчет себес клемники"/>
      <sheetName val="Световая индикация"/>
      <sheetName val="Расчет стоимости кронштейнов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D3">
            <v>846.98555999999996</v>
          </cell>
        </row>
      </sheetData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0000000}" name="Таблица38" displayName="Таблица38" ref="AX4:BD77" totalsRowShown="0" headerRowDxfId="185" headerRowBorderDxfId="184" tableBorderDxfId="183" totalsRowBorderDxfId="182">
  <autoFilter ref="AX4:BD77" xr:uid="{00000000-0009-0000-0100-000026000000}"/>
  <tableColumns count="7">
    <tableColumn id="1" xr3:uid="{00000000-0010-0000-0000-000001000000}" name="№" dataDxfId="181"/>
    <tableColumn id="2" xr3:uid="{00000000-0010-0000-0000-000002000000}" name="Артикул/обозначение" dataDxfId="180"/>
    <tableColumn id="3" xr3:uid="{00000000-0010-0000-0000-000003000000}" name="Наименование" dataDxfId="179"/>
    <tableColumn id="4" xr3:uid="{00000000-0010-0000-0000-000004000000}" name="Кол-во" dataDxfId="178"/>
    <tableColumn id="5" xr3:uid="{00000000-0010-0000-0000-000005000000}" name="Цена" dataDxfId="177"/>
    <tableColumn id="9" xr3:uid="{00000000-0010-0000-0000-000009000000}" name="Точек подключения" dataDxfId="176"/>
    <tableColumn id="6" xr3:uid="{00000000-0010-0000-0000-000006000000}" name="Стоимость" dataDxfId="175">
      <calculatedColumnFormula>BA5*BB5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9000000}" name="ВЗНМР_таб" displayName="ВЗНМР_таб" ref="O5:P23" totalsRowShown="0" headerRowDxfId="105" dataDxfId="104" tableBorderDxfId="103">
  <autoFilter ref="O5:P23" xr:uid="{00000000-0009-0000-0100-00000F000000}"/>
  <tableColumns count="2">
    <tableColumn id="1" xr3:uid="{00000000-0010-0000-0900-000001000000}" name="Столбец1" dataDxfId="102"/>
    <tableColumn id="2" xr3:uid="{00000000-0010-0000-0900-000002000000}" name="Столбец2" dataDxfId="1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A000000}" name="ВЗБМР" displayName="ВЗБМР" ref="R2:R11" totalsRowShown="0" headerRowDxfId="100" dataDxfId="99">
  <autoFilter ref="R2:R11" xr:uid="{00000000-0009-0000-0100-00001A000000}"/>
  <tableColumns count="1">
    <tableColumn id="1" xr3:uid="{00000000-0010-0000-0A00-000001000000}" name="Столбец1" dataDxfId="9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B000000}" name="ВЗБМР28" displayName="ВЗБМР28" ref="R16:S25" totalsRowShown="0" headerRowDxfId="97" dataDxfId="96">
  <autoFilter ref="R16:S25" xr:uid="{00000000-0009-0000-0100-00001B000000}"/>
  <tableColumns count="2">
    <tableColumn id="1" xr3:uid="{00000000-0010-0000-0B00-000001000000}" name="Столбец1" dataDxfId="95"/>
    <tableColumn id="2" xr3:uid="{00000000-0010-0000-0B00-000002000000}" name="Столбец2" dataDxfId="9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C000000}" name="Таблица28" displayName="Таблица28" ref="O30:O78" totalsRowShown="0" headerRowDxfId="93" dataDxfId="92">
  <autoFilter ref="O30:O78" xr:uid="{00000000-0009-0000-0100-00001C000000}"/>
  <tableColumns count="1">
    <tableColumn id="1" xr3:uid="{00000000-0010-0000-0C00-000001000000}" name="Столбец1" dataDxfId="9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ВЗР" displayName="ВЗР" ref="R30:R43" totalsRowShown="0" headerRowDxfId="90" dataDxfId="89">
  <autoFilter ref="R30:R43" xr:uid="{00000000-0009-0000-0100-000027000000}"/>
  <tableColumns count="1">
    <tableColumn id="1" xr3:uid="{00000000-0010-0000-0D00-000001000000}" name="ВЗР" dataDxfId="8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E000000}" name="Таблица1142" displayName="Таблица1142" ref="B31:B40" totalsRowShown="0" headerRowDxfId="87" dataDxfId="86">
  <autoFilter ref="B31:B40" xr:uid="{00000000-0009-0000-0100-000029000000}"/>
  <tableColumns count="1">
    <tableColumn id="1" xr3:uid="{00000000-0010-0000-0E00-000001000000}" name="Список выбора" dataDxfId="8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F000000}" name="Тип_изделий" displayName="Тип_изделий" ref="B4:B15" totalsRowShown="0" headerRowDxfId="84">
  <autoFilter ref="B4:B15" xr:uid="{00000000-0009-0000-0100-000001000000}"/>
  <tableColumns count="1">
    <tableColumn id="1" xr3:uid="{00000000-0010-0000-0F00-000001000000}" name="Тип изделия" dataDxfId="8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0000000}" name="ВЗКВПКВА" displayName="ВЗКВПКВА" ref="D14:D20" totalsRowShown="0" headerRowDxfId="82" dataDxfId="81" tableBorderDxfId="80">
  <autoFilter ref="D14:D20" xr:uid="{00000000-0009-0000-0100-000002000000}"/>
  <tableColumns count="1">
    <tableColumn id="1" xr3:uid="{00000000-0010-0000-1000-000001000000}" name="ВЗКВПКВА" dataDxfId="7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1000000}" name="Таблица5" displayName="Таблица5" ref="H4:J16" totalsRowShown="0" headerRowDxfId="78" dataDxfId="77">
  <autoFilter ref="H4:J16" xr:uid="{00000000-0009-0000-0100-000005000000}"/>
  <tableColumns count="3">
    <tableColumn id="1" xr3:uid="{00000000-0010-0000-1100-000001000000}" name="Иднф" dataDxfId="76"/>
    <tableColumn id="2" xr3:uid="{00000000-0010-0000-1100-000002000000}" name="Столбец1" dataDxfId="75"/>
    <tableColumn id="3" xr3:uid="{00000000-0010-0000-1100-000003000000}" name="Столбец2" dataDxfId="7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2000000}" name="ВЗКДЩДПУД" displayName="ВЗКДЩДПУД" ref="D4:D12" totalsRowShown="0" headerRowDxfId="73" dataDxfId="72" tableBorderDxfId="71">
  <autoFilter ref="D4:D12" xr:uid="{00000000-0009-0000-0100-000006000000}"/>
  <tableColumns count="1">
    <tableColumn id="1" xr3:uid="{00000000-0010-0000-1200-000001000000}" name="ВЗКДЩДПУД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1000000}" name="Таблица40" displayName="Таблица40" ref="B1:H186" totalsRowShown="0" headerRowDxfId="165" tableBorderDxfId="164">
  <autoFilter ref="B1:H186" xr:uid="{00000000-0009-0000-0100-000028000000}"/>
  <sortState ref="B2:I97">
    <sortCondition ref="B1:B97"/>
  </sortState>
  <tableColumns count="7">
    <tableColumn id="1" xr3:uid="{00000000-0010-0000-0100-000001000000}" name="Поз." dataDxfId="163"/>
    <tableColumn id="2" xr3:uid="{00000000-0010-0000-0100-000002000000}" name="Обозначение" dataDxfId="162"/>
    <tableColumn id="3" xr3:uid="{00000000-0010-0000-0100-000003000000}" name="Наименование" dataDxfId="161"/>
    <tableColumn id="4" xr3:uid="{00000000-0010-0000-0100-000004000000}" name="Цена" dataDxfId="160"/>
    <tableColumn id="5" xr3:uid="{00000000-0010-0000-0100-000005000000}" name="Количество" dataDxfId="159"/>
    <tableColumn id="6" xr3:uid="{00000000-0010-0000-0100-000006000000}" name="Стоимость" dataDxfId="158">
      <calculatedColumnFormula>E2*F2</calculatedColumnFormula>
    </tableColumn>
    <tableColumn id="7" xr3:uid="{00000000-0010-0000-0100-000007000000}" name="Трудозатраты" dataDxfId="157">
      <calculatedColumnFormula>_xlfn.IFNA(VLOOKUP(C2,Таблица37[],7,0),0)*Таблица40[[#This Row],[Количество]]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3000000}" name="ВЗКДС" displayName="ВЗКДС" ref="D43:D45" totalsRowShown="0" headerRowDxfId="69" dataDxfId="68" tableBorderDxfId="67">
  <autoFilter ref="D43:D45" xr:uid="{00000000-0009-0000-0100-000008000000}"/>
  <tableColumns count="1">
    <tableColumn id="1" xr3:uid="{00000000-0010-0000-1300-000001000000}" name="ВЗКДС" dataDxfId="6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4000000}" name="TK" displayName="TK" ref="B25:B32" totalsRowShown="0" headerRowDxfId="65" dataDxfId="64">
  <autoFilter ref="B25:B32" xr:uid="{00000000-0009-0000-0100-000009000000}"/>
  <tableColumns count="1">
    <tableColumn id="1" xr3:uid="{00000000-0010-0000-1400-000001000000}" name="TK" dataDxfId="6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5000000}" name="оболочки_серия_КД" displayName="оболочки_серия_КД" ref="B50:F60" totalsRowShown="0" headerRowDxfId="62" dataDxfId="60" headerRowBorderDxfId="61" tableBorderDxfId="59" totalsRowBorderDxfId="58">
  <autoFilter ref="B50:F60" xr:uid="{00000000-0009-0000-0100-00000C000000}"/>
  <sortState ref="B51:E64">
    <sortCondition ref="B4:B18"/>
  </sortState>
  <tableColumns count="5">
    <tableColumn id="1" xr3:uid="{00000000-0010-0000-1500-000001000000}" name="Артикул" dataDxfId="57"/>
    <tableColumn id="2" xr3:uid="{00000000-0010-0000-1500-000002000000}" name="Габарит" dataDxfId="56"/>
    <tableColumn id="4" xr3:uid="{00000000-0010-0000-1500-000004000000}" name="Масса, кг" dataDxfId="55"/>
    <tableColumn id="3" xr3:uid="{00000000-0010-0000-1500-000003000000}" name="Цена" dataDxfId="54"/>
    <tableColumn id="5" xr3:uid="{00000000-0010-0000-1500-000005000000}" name="Столбец1" dataDxfId="5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6000000}" name="КДС_О" displayName="КДС_О" ref="L29:L34" totalsRowShown="0" dataDxfId="52" tableBorderDxfId="51">
  <autoFilter ref="L29:L34" xr:uid="{00000000-0009-0000-0100-00000E000000}"/>
  <tableColumns count="1">
    <tableColumn id="1" xr3:uid="{00000000-0010-0000-1600-000001000000}" name="КДС_О" dataDxfId="5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7000000}" name="ПУД_О" displayName="ПУД_О" ref="L61:L71" totalsRowShown="0" dataDxfId="49" tableBorderDxfId="48">
  <autoFilter ref="L61:L71" xr:uid="{00000000-0009-0000-0100-000012000000}"/>
  <tableColumns count="1">
    <tableColumn id="1" xr3:uid="{00000000-0010-0000-1700-000001000000}" name="ПУД_О" dataDxfId="4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8000000}" name="КВП_О" displayName="КВП_О" ref="L37:L45" totalsRowShown="0" dataDxfId="46">
  <autoFilter ref="L37:L45" xr:uid="{00000000-0009-0000-0100-000013000000}"/>
  <tableColumns count="1">
    <tableColumn id="1" xr3:uid="{00000000-0010-0000-1800-000001000000}" name="КВП_О" dataDxfId="4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9000000}" name="КВА_О" displayName="КВА_О" ref="L48:L58" totalsRowShown="0" dataDxfId="44">
  <autoFilter ref="L48:L58" xr:uid="{00000000-0009-0000-0100-000014000000}"/>
  <tableColumns count="1">
    <tableColumn id="1" xr3:uid="{00000000-0010-0000-1900-000001000000}" name="КВА_О" dataDxfId="4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A000000}" name="КД_О" displayName="КД_О" ref="L15:L26" totalsRowShown="0" dataDxfId="42" tableBorderDxfId="41">
  <autoFilter ref="L15:L26" xr:uid="{00000000-0009-0000-0100-000015000000}"/>
  <tableColumns count="1">
    <tableColumn id="1" xr3:uid="{00000000-0010-0000-1A00-000001000000}" name="ОБОЛОЧКИ КД" dataDxfId="4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B000000}" name="ЩД_О" displayName="ЩД_О" ref="L4:L12" totalsRowShown="0" headerRowDxfId="39" dataDxfId="38" tableBorderDxfId="37">
  <autoFilter ref="L4:L12" xr:uid="{00000000-0009-0000-0100-000007000000}"/>
  <tableColumns count="1">
    <tableColumn id="1" xr3:uid="{00000000-0010-0000-1B00-000001000000}" name="ОБОЛОЧКИ ЩД" dataDxfId="3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C000000}" name="ВЗПУВППУВА" displayName="ВЗПУВППУВА" ref="D22:D41" totalsRowShown="0" headerRowDxfId="35" dataDxfId="34" tableBorderDxfId="33">
  <autoFilter ref="D22:D41" xr:uid="{00000000-0009-0000-0100-000016000000}"/>
  <tableColumns count="1">
    <tableColumn id="1" xr3:uid="{00000000-0010-0000-1C00-000001000000}" name="ВЗПУВППУВА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2000000}" name="Таблица37" displayName="Таблица37" ref="B2:I1247" totalsRowShown="0" headerRowDxfId="153" dataDxfId="151" headerRowBorderDxfId="152">
  <autoFilter ref="B2:I1247" xr:uid="{00000000-0009-0000-0100-000025000000}"/>
  <tableColumns count="8">
    <tableColumn id="1" xr3:uid="{00000000-0010-0000-0200-000001000000}" name="Оболочки" dataDxfId="150"/>
    <tableColumn id="2" xr3:uid="{00000000-0010-0000-0200-000002000000}" name="Столбец1" dataDxfId="149"/>
    <tableColumn id="3" xr3:uid="{00000000-0010-0000-0200-000003000000}" name="Столбец2" dataDxfId="148"/>
    <tableColumn id="4" xr3:uid="{00000000-0010-0000-0200-000004000000}" name="Цена" dataDxfId="147"/>
    <tableColumn id="5" xr3:uid="{00000000-0010-0000-0200-000005000000}" name="Вес, кг" dataDxfId="146"/>
    <tableColumn id="6" xr3:uid="{00000000-0010-0000-0200-000006000000}" name="Работы" dataDxfId="145"/>
    <tableColumn id="7" xr3:uid="{00000000-0010-0000-0200-000007000000}" name="Трудозатраты" dataDxfId="144"/>
    <tableColumn id="8" xr3:uid="{00000000-0010-0000-0200-000008000000}" name="Общая стоимость элемента" dataDxfId="143">
      <calculatedColumnFormula>Таблица37[[#This Row],[Цена]]+Таблица37[[#This Row],[Трудозатраты]]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D000000}" name="Таблица24" displayName="Таблица24" ref="L79:L82" totalsRowShown="0" dataDxfId="31" tableBorderDxfId="30">
  <autoFilter ref="L79:L82" xr:uid="{00000000-0009-0000-0100-000018000000}"/>
  <tableColumns count="1">
    <tableColumn id="1" xr3:uid="{00000000-0010-0000-1D00-000001000000}" name="ЩДК_О" dataDxfId="2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E000000}" name="Таблица25" displayName="Таблица25" ref="L74:L76" totalsRowShown="0" dataDxfId="28">
  <autoFilter ref="L74:L76" xr:uid="{00000000-0009-0000-0100-000019000000}"/>
  <tableColumns count="1">
    <tableColumn id="1" xr3:uid="{00000000-0010-0000-1E00-000001000000}" name="ЩДН_О" dataDxfId="2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820FD00-89F6-4635-BA5B-956B15BE72FE}" name="IP" displayName="IP" ref="B18:B22" totalsRowShown="0" headerRowDxfId="26" dataDxfId="25">
  <autoFilter ref="B18:B22" xr:uid="{C00A37AE-E580-4213-AB6B-D30A92E160CC}"/>
  <tableColumns count="1">
    <tableColumn id="1" xr3:uid="{D5F88C47-9C48-4D94-8B00-9199AAB14487}" name="IP" dataDxfId="24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A967975-552B-426F-9DF4-8367CD906443}" name="Темп_до" displayName="Темп_до" ref="F4:F19" totalsRowShown="0" headerRowDxfId="23" dataDxfId="22">
  <autoFilter ref="F4:F19" xr:uid="{C4A99321-7E27-4341-9F67-79DB315B2BC3}"/>
  <tableColumns count="1">
    <tableColumn id="1" xr3:uid="{2E3015D3-B994-4118-B6AB-55C3BE206CA3}" name="Темп_до" dataDxfId="2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F4CA3C3-8569-4D83-9B02-EEE377B57147}" name="Темп_от" displayName="Темп_от" ref="F22:F31" totalsRowShown="0" headerRowDxfId="20" dataDxfId="19">
  <autoFilter ref="F22:F31" xr:uid="{FF0EDE12-E01C-4716-9F9C-208CE5F8F80B}"/>
  <tableColumns count="1">
    <tableColumn id="1" xr3:uid="{0F51C225-F2B3-4BCB-99D7-B00B6D6921B4}" name="Темп_от" dataDxfId="18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F000000}" name="Таблица23" displayName="Таблица23" ref="O77:O88" totalsRowShown="0">
  <autoFilter ref="O77:O88" xr:uid="{00000000-0009-0000-0100-000017000000}"/>
  <tableColumns count="1">
    <tableColumn id="1" xr3:uid="{00000000-0010-0000-1F00-000001000000}" name="Лампа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20000000}" name="Таблица29" displayName="Таблица29" ref="C3:D11" totalsRowShown="0">
  <autoFilter ref="C3:D11" xr:uid="{00000000-0009-0000-0100-00001D000000}"/>
  <tableColumns count="2">
    <tableColumn id="1" xr3:uid="{00000000-0010-0000-2000-000001000000}" name="Элементы"/>
    <tableColumn id="2" xr3:uid="{00000000-0010-0000-2000-000002000000}" name="Столбец1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21000000}" name="Таблица30" displayName="Таблица30" ref="O3:O16" totalsRowShown="0" headerRowDxfId="17" headerRowBorderDxfId="16" tableBorderDxfId="15">
  <autoFilter ref="O3:O16" xr:uid="{00000000-0009-0000-0100-00001E000000}"/>
  <tableColumns count="1">
    <tableColumn id="1" xr3:uid="{00000000-0010-0000-2100-000001000000}" name="Окно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2000000}" name="Таблица31" displayName="Таблица31" ref="O21:P24" totalsRowShown="0" headerRowDxfId="14" headerRowBorderDxfId="13" tableBorderDxfId="12">
  <autoFilter ref="O21:P24" xr:uid="{00000000-0009-0000-0100-00001F000000}"/>
  <tableColumns count="2">
    <tableColumn id="1" xr3:uid="{00000000-0010-0000-2200-000001000000}" name="Переключатель (АВ)"/>
    <tableColumn id="2" xr3:uid="{00000000-0010-0000-2200-000002000000}" name="Столбец1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3000000}" name="Таблица32" displayName="Таблица32" ref="G3:G15" totalsRowShown="0">
  <autoFilter ref="G3:G15" xr:uid="{00000000-0009-0000-0100-000020000000}"/>
  <tableColumns count="1">
    <tableColumn id="1" xr3:uid="{00000000-0010-0000-2300-000001000000}" name="Идентификатор">
      <calculatedColumnFormula>VLOOKUP('Рабочий стол'!AG25,Таблица29[#All],2,0)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Таблица10" displayName="Таблица10" ref="N2:O32" totalsRowShown="0" headerRowDxfId="142" dataDxfId="140" headerRowBorderDxfId="141" tableBorderDxfId="139" totalsRowBorderDxfId="138">
  <autoFilter ref="N2:O32" xr:uid="{00000000-0009-0000-0100-00000A000000}"/>
  <tableColumns count="2">
    <tableColumn id="1" xr3:uid="{00000000-0010-0000-0300-000001000000}" name="Вид работ" dataDxfId="137"/>
    <tableColumn id="2" xr3:uid="{00000000-0010-0000-0300-000002000000}" name="Стоимость" dataDxfId="13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4000000}" name="Таблица33" displayName="Таблица33" ref="O28:O30" totalsRowShown="0">
  <autoFilter ref="O28:O30" xr:uid="{00000000-0009-0000-0100-000021000000}"/>
  <tableColumns count="1">
    <tableColumn id="1" xr3:uid="{00000000-0010-0000-2400-000001000000}" name="ПКП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5000000}" name="Таблица34" displayName="Таблица34" ref="O33:O58" totalsRowShown="0" dataDxfId="11">
  <autoFilter ref="O33:O58" xr:uid="{00000000-0009-0000-0100-000022000000}"/>
  <tableColumns count="1">
    <tableColumn id="1" xr3:uid="{00000000-0010-0000-2500-000001000000}" name="КП" dataDxfId="1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6000000}" name="Таблица35" displayName="Таблица35" ref="O60:O65" totalsRowShown="0" dataDxfId="9">
  <autoFilter ref="O60:O65" xr:uid="{00000000-0009-0000-0100-000023000000}"/>
  <tableColumns count="1">
    <tableColumn id="1" xr3:uid="{00000000-0010-0000-2600-000001000000}" name="КСГ" dataDxfId="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27000000}" name="Таблица16" displayName="Таблица16" ref="E3:E6" totalsRowShown="0">
  <autoFilter ref="E3:E6" xr:uid="{00000000-0009-0000-0100-000010000000}"/>
  <tableColumns count="1">
    <tableColumn id="1" xr3:uid="{00000000-0010-0000-2700-000001000000}" name="Столбец1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8000000}" name="Таблица36" displayName="Таблица36" ref="B18:D269" totalsRowShown="0" headerRowDxfId="7" dataDxfId="5" headerRowBorderDxfId="6" tableBorderDxfId="4" totalsRowBorderDxfId="3">
  <autoFilter ref="B18:D269" xr:uid="{00000000-0009-0000-0100-000024000000}"/>
  <tableColumns count="3">
    <tableColumn id="1" xr3:uid="{00000000-0010-0000-2800-000001000000}" name="Сводная1" dataDxfId="2"/>
    <tableColumn id="2" xr3:uid="{00000000-0010-0000-2800-000002000000}" name="Столбец1" dataDxfId="1"/>
    <tableColumn id="3" xr3:uid="{00000000-0010-0000-2800-000003000000}" name="Столбец2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4000000}" name="Таблица17" displayName="Таблица17" ref="F3:R128" totalsRowShown="0" headerRowDxfId="134" dataDxfId="133">
  <autoFilter ref="F3:R128" xr:uid="{00000000-0009-0000-0100-000011000000}"/>
  <tableColumns count="13">
    <tableColumn id="1" xr3:uid="{00000000-0010-0000-0400-000001000000}" name="ИФКР" dataDxfId="132">
      <calculatedColumnFormula>CONCATENATE(Таблица17[[#This Row],[Вид]],Таблица17[[#This Row],[Тип]],Таблица17[[#This Row],[Производитель]],Таблица17[[#This Row],[Тип2]],Таблица17[[#This Row],[сечение ]])</calculatedColumnFormula>
    </tableColumn>
    <tableColumn id="2" xr3:uid="{00000000-0010-0000-0400-000002000000}" name="Вид" dataDxfId="131"/>
    <tableColumn id="3" xr3:uid="{00000000-0010-0000-0400-000003000000}" name="Тип" dataDxfId="130"/>
    <tableColumn id="4" xr3:uid="{00000000-0010-0000-0400-000004000000}" name="Производитель" dataDxfId="129"/>
    <tableColumn id="5" xr3:uid="{00000000-0010-0000-0400-000005000000}" name="Тип2" dataDxfId="128"/>
    <tableColumn id="6" xr3:uid="{00000000-0010-0000-0400-000006000000}" name="сечение " dataDxfId="127"/>
    <tableColumn id="7" xr3:uid="{00000000-0010-0000-0400-000007000000}" name="артикул" dataDxfId="126"/>
    <tableColumn id="8" xr3:uid="{00000000-0010-0000-0400-000008000000}" name="Столбец1" dataDxfId="125"/>
    <tableColumn id="9" xr3:uid="{00000000-0010-0000-0400-000009000000}" name="Столбец2" dataDxfId="124"/>
    <tableColumn id="10" xr3:uid="{00000000-0010-0000-0400-00000A000000}" name="Клемма" dataDxfId="123"/>
    <tableColumn id="11" xr3:uid="{00000000-0010-0000-0400-00000B000000}" name="Столбец3" dataDxfId="122"/>
    <tableColumn id="12" xr3:uid="{00000000-0010-0000-0400-00000C000000}" name="Столбец4" dataDxfId="121"/>
    <tableColumn id="13" xr3:uid="{00000000-0010-0000-0400-00000D000000}" name="Столбец5" dataDxfId="1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Таблица11" displayName="Таблица11" ref="B2:B11" totalsRowShown="0" headerRowDxfId="119" dataDxfId="118">
  <autoFilter ref="B2:B11" xr:uid="{00000000-0009-0000-0100-00000B000000}"/>
  <tableColumns count="1">
    <tableColumn id="1" xr3:uid="{00000000-0010-0000-0500-000001000000}" name="Список выбора" dataDxfId="1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ВЗН" displayName="ВЗН" ref="K5:K24" totalsRowShown="0" headerRowDxfId="116" dataDxfId="115">
  <autoFilter ref="K5:K24" xr:uid="{00000000-0009-0000-0100-00000D000000}"/>
  <tableColumns count="1">
    <tableColumn id="1" xr3:uid="{00000000-0010-0000-0600-000001000000}" name="ВЗН" dataDxfId="1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ВЗБ" displayName="ВЗБ" ref="M5:M18" totalsRowShown="0" headerRowDxfId="113" dataDxfId="112" tableBorderDxfId="111">
  <autoFilter ref="M5:M18" xr:uid="{00000000-0009-0000-0100-000003000000}"/>
  <tableColumns count="1">
    <tableColumn id="1" xr3:uid="{00000000-0010-0000-0700-000001000000}" name="ВЗБ" dataDxfId="1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Таблица4" displayName="Таблица4" ref="I29:J151" totalsRowShown="0" headerRowDxfId="109" dataDxfId="108">
  <autoFilter ref="I29:J151" xr:uid="{00000000-0009-0000-0100-000004000000}"/>
  <tableColumns count="2">
    <tableColumn id="1" xr3:uid="{00000000-0010-0000-0800-000001000000}" name="Столбец1" dataDxfId="107"/>
    <tableColumn id="2" xr3:uid="{00000000-0010-0000-0800-000002000000}" name="Столбец2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18" Type="http://schemas.openxmlformats.org/officeDocument/2006/relationships/table" Target="../tables/table3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17" Type="http://schemas.openxmlformats.org/officeDocument/2006/relationships/table" Target="../tables/table32.xml"/><Relationship Id="rId2" Type="http://schemas.openxmlformats.org/officeDocument/2006/relationships/table" Target="../tables/table17.xml"/><Relationship Id="rId16" Type="http://schemas.openxmlformats.org/officeDocument/2006/relationships/table" Target="../tables/table31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19" Type="http://schemas.openxmlformats.org/officeDocument/2006/relationships/table" Target="../tables/table34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2.xml"/><Relationship Id="rId3" Type="http://schemas.openxmlformats.org/officeDocument/2006/relationships/table" Target="../tables/table37.xml"/><Relationship Id="rId7" Type="http://schemas.openxmlformats.org/officeDocument/2006/relationships/table" Target="../tables/table41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6" Type="http://schemas.openxmlformats.org/officeDocument/2006/relationships/table" Target="../tables/table40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BO77"/>
  <sheetViews>
    <sheetView topLeftCell="AQ1" zoomScale="85" zoomScaleNormal="85" zoomScaleSheetLayoutView="85" workbookViewId="0">
      <selection activeCell="BB17" sqref="BB17"/>
    </sheetView>
  </sheetViews>
  <sheetFormatPr defaultRowHeight="15" x14ac:dyDescent="0.25"/>
  <cols>
    <col min="1" max="1" width="5.28515625" style="18" customWidth="1"/>
    <col min="2" max="2" width="18.85546875" style="18" customWidth="1"/>
    <col min="3" max="3" width="22.42578125" style="18" customWidth="1"/>
    <col min="4" max="5" width="17.28515625" style="18" customWidth="1"/>
    <col min="6" max="6" width="5" style="18" hidden="1" customWidth="1"/>
    <col min="7" max="7" width="5.5703125" style="18" hidden="1" customWidth="1"/>
    <col min="8" max="8" width="0.5703125" style="18" hidden="1" customWidth="1"/>
    <col min="9" max="9" width="0.140625" style="18" hidden="1" customWidth="1"/>
    <col min="10" max="10" width="0.28515625" style="18" hidden="1" customWidth="1"/>
    <col min="11" max="11" width="0.140625" style="18" hidden="1" customWidth="1"/>
    <col min="12" max="12" width="7.7109375" style="18" hidden="1" customWidth="1"/>
    <col min="13" max="13" width="9.140625" style="18" customWidth="1"/>
    <col min="14" max="20" width="9.140625" style="18"/>
    <col min="21" max="21" width="36.28515625" style="34" customWidth="1"/>
    <col min="22" max="24" width="9.140625" style="18"/>
    <col min="25" max="25" width="9.5703125" style="18" customWidth="1"/>
    <col min="26" max="26" width="10.140625" style="18" customWidth="1"/>
    <col min="27" max="28" width="9.140625" style="18"/>
    <col min="29" max="29" width="10.85546875" style="18" customWidth="1"/>
    <col min="30" max="30" width="2.28515625" style="30" customWidth="1"/>
    <col min="31" max="32" width="0.140625" style="18" customWidth="1"/>
    <col min="33" max="33" width="7.42578125" style="18" customWidth="1"/>
    <col min="34" max="34" width="9.42578125" style="18" customWidth="1"/>
    <col min="35" max="35" width="3.140625" style="18" customWidth="1"/>
    <col min="36" max="36" width="18.7109375" style="18" customWidth="1"/>
    <col min="37" max="37" width="9.140625" style="18"/>
    <col min="38" max="38" width="16.5703125" style="18" customWidth="1"/>
    <col min="39" max="39" width="18.85546875" style="18" customWidth="1"/>
    <col min="40" max="40" width="11.85546875" style="18" customWidth="1"/>
    <col min="41" max="41" width="12" style="18" customWidth="1"/>
    <col min="42" max="42" width="9.85546875" style="282" customWidth="1"/>
    <col min="43" max="43" width="11.140625" style="18" customWidth="1"/>
    <col min="44" max="44" width="9.42578125" style="18" customWidth="1"/>
    <col min="45" max="45" width="9.140625" style="18"/>
    <col min="46" max="46" width="9.42578125" style="282" customWidth="1"/>
    <col min="47" max="47" width="13.140625" style="282" customWidth="1"/>
    <col min="48" max="48" width="3.140625" style="30" customWidth="1"/>
    <col min="49" max="49" width="8.28515625" style="18" customWidth="1"/>
    <col min="50" max="50" width="5.42578125" style="18" customWidth="1"/>
    <col min="51" max="51" width="18.42578125" style="18" customWidth="1"/>
    <col min="52" max="52" width="77.140625" style="18" customWidth="1"/>
    <col min="53" max="53" width="12.42578125" style="114" customWidth="1"/>
    <col min="54" max="55" width="19.42578125" style="18" customWidth="1"/>
    <col min="56" max="56" width="18" style="18" customWidth="1"/>
    <col min="57" max="57" width="2.28515625" style="143" customWidth="1"/>
    <col min="58" max="58" width="1.85546875" style="143" customWidth="1"/>
    <col min="59" max="59" width="11.7109375" style="18" customWidth="1"/>
    <col min="60" max="60" width="9.140625" style="18"/>
    <col min="61" max="61" width="5" style="18" customWidth="1"/>
    <col min="62" max="62" width="10.5703125" style="18" customWidth="1"/>
    <col min="63" max="63" width="9.140625" style="18"/>
    <col min="64" max="64" width="5.140625" style="18" customWidth="1"/>
    <col min="65" max="65" width="11.28515625" style="18" customWidth="1"/>
    <col min="66" max="66" width="9.140625" style="18"/>
    <col min="67" max="67" width="4.5703125" style="18" customWidth="1"/>
    <col min="68" max="16384" width="9.140625" style="18"/>
  </cols>
  <sheetData>
    <row r="1" spans="1:67" ht="12.75" customHeight="1" thickBot="1" x14ac:dyDescent="0.3">
      <c r="A1" s="634" t="s">
        <v>0</v>
      </c>
      <c r="B1" s="635"/>
      <c r="C1" s="636"/>
      <c r="D1" s="566" t="s">
        <v>2567</v>
      </c>
      <c r="E1" s="567"/>
      <c r="F1" s="567"/>
      <c r="G1" s="568"/>
      <c r="I1" s="38" t="s">
        <v>454</v>
      </c>
      <c r="J1" s="35"/>
      <c r="K1" s="30"/>
      <c r="M1" s="558" t="s">
        <v>153</v>
      </c>
      <c r="N1" s="618"/>
      <c r="O1" s="618"/>
      <c r="P1" s="618"/>
      <c r="Q1" s="618"/>
      <c r="R1" s="618"/>
      <c r="S1" s="618"/>
      <c r="T1" s="559"/>
      <c r="U1" s="632" t="s">
        <v>613</v>
      </c>
      <c r="V1" s="626" t="s">
        <v>206</v>
      </c>
      <c r="W1" s="627"/>
      <c r="X1" s="627"/>
      <c r="Y1" s="627"/>
      <c r="Z1" s="627"/>
      <c r="AA1" s="627"/>
      <c r="AB1" s="627"/>
      <c r="AC1" s="628"/>
      <c r="AG1" s="432" t="s">
        <v>487</v>
      </c>
      <c r="AH1" s="433"/>
      <c r="AI1" s="433"/>
      <c r="AJ1" s="433"/>
      <c r="AK1" s="433"/>
      <c r="AL1" s="433"/>
      <c r="AM1" s="433"/>
      <c r="AN1" s="433"/>
      <c r="AO1" s="433"/>
      <c r="AP1" s="433"/>
      <c r="AQ1" s="433"/>
      <c r="AR1" s="433"/>
      <c r="AS1" s="433"/>
      <c r="AT1" s="433"/>
      <c r="AU1" s="434"/>
      <c r="AW1" s="423" t="s">
        <v>618</v>
      </c>
      <c r="AX1" s="424"/>
      <c r="AY1" s="424"/>
      <c r="AZ1" s="424"/>
      <c r="BA1" s="424"/>
      <c r="BB1" s="424"/>
      <c r="BC1" s="424"/>
      <c r="BD1" s="425"/>
      <c r="BE1" s="144"/>
      <c r="BF1" s="144"/>
      <c r="BG1" s="429" t="s">
        <v>2546</v>
      </c>
      <c r="BH1" s="429"/>
      <c r="BI1" s="429"/>
      <c r="BJ1" s="429"/>
      <c r="BK1" s="429"/>
      <c r="BL1" s="429"/>
      <c r="BM1" s="429"/>
      <c r="BN1" s="429"/>
      <c r="BO1" s="143"/>
    </row>
    <row r="2" spans="1:67" ht="15.75" customHeight="1" thickBot="1" x14ac:dyDescent="0.3">
      <c r="A2" s="637"/>
      <c r="B2" s="638"/>
      <c r="C2" s="639"/>
      <c r="D2" s="569"/>
      <c r="E2" s="570"/>
      <c r="F2" s="570"/>
      <c r="G2" s="571"/>
      <c r="I2" s="30" t="str">
        <f>VLOOKUP(M5,Вводы!B21:C28,2,0)</f>
        <v>ВЗБ</v>
      </c>
      <c r="J2" s="35"/>
      <c r="K2" s="30"/>
      <c r="M2" s="560"/>
      <c r="N2" s="619"/>
      <c r="O2" s="619"/>
      <c r="P2" s="619"/>
      <c r="Q2" s="619"/>
      <c r="R2" s="619"/>
      <c r="S2" s="619"/>
      <c r="T2" s="561"/>
      <c r="U2" s="633"/>
      <c r="V2" s="629"/>
      <c r="W2" s="630"/>
      <c r="X2" s="630"/>
      <c r="Y2" s="630"/>
      <c r="Z2" s="630"/>
      <c r="AA2" s="630"/>
      <c r="AB2" s="630"/>
      <c r="AC2" s="631"/>
      <c r="AG2" s="450" t="s">
        <v>486</v>
      </c>
      <c r="AH2" s="448" t="s">
        <v>264</v>
      </c>
      <c r="AI2" s="465" t="s">
        <v>232</v>
      </c>
      <c r="AJ2" s="466"/>
      <c r="AK2" s="465" t="s">
        <v>233</v>
      </c>
      <c r="AL2" s="469"/>
      <c r="AM2" s="448" t="s">
        <v>263</v>
      </c>
      <c r="AN2" s="463" t="s">
        <v>262</v>
      </c>
      <c r="AO2" s="464"/>
      <c r="AP2" s="461" t="s">
        <v>532</v>
      </c>
      <c r="AQ2" s="462"/>
      <c r="AR2" s="440" t="s">
        <v>484</v>
      </c>
      <c r="AS2" s="441"/>
      <c r="AT2" s="430" t="s">
        <v>533</v>
      </c>
      <c r="AU2" s="431"/>
      <c r="AW2" s="426"/>
      <c r="AX2" s="427"/>
      <c r="AY2" s="427"/>
      <c r="AZ2" s="427"/>
      <c r="BA2" s="427"/>
      <c r="BB2" s="427"/>
      <c r="BC2" s="427"/>
      <c r="BD2" s="428"/>
      <c r="BE2" s="144"/>
      <c r="BF2" s="144"/>
      <c r="BG2" s="429"/>
      <c r="BH2" s="429"/>
      <c r="BI2" s="429"/>
      <c r="BJ2" s="429"/>
      <c r="BK2" s="429"/>
      <c r="BL2" s="429"/>
      <c r="BM2" s="429"/>
      <c r="BN2" s="429"/>
      <c r="BO2" s="143"/>
    </row>
    <row r="3" spans="1:67" ht="15" customHeight="1" thickBot="1" x14ac:dyDescent="0.3">
      <c r="A3" s="584" t="s">
        <v>382</v>
      </c>
      <c r="B3" s="585"/>
      <c r="C3" s="586"/>
      <c r="D3" s="599" t="s">
        <v>2568</v>
      </c>
      <c r="E3" s="600"/>
      <c r="F3" s="600"/>
      <c r="G3" s="601"/>
      <c r="I3" s="30" t="e">
        <f>VLOOKUP(M8,Вводы!B21:C28,2,0)</f>
        <v>#N/A</v>
      </c>
      <c r="J3" s="35"/>
      <c r="K3" s="30"/>
      <c r="M3" s="411" t="s">
        <v>154</v>
      </c>
      <c r="N3" s="412"/>
      <c r="O3" s="411" t="s">
        <v>197</v>
      </c>
      <c r="P3" s="412"/>
      <c r="Q3" s="562" t="s">
        <v>393</v>
      </c>
      <c r="R3" s="563"/>
      <c r="S3" s="558" t="s">
        <v>155</v>
      </c>
      <c r="T3" s="559"/>
      <c r="U3" s="109"/>
      <c r="V3" s="415" t="s">
        <v>154</v>
      </c>
      <c r="W3" s="416"/>
      <c r="X3" s="415" t="s">
        <v>197</v>
      </c>
      <c r="Y3" s="416"/>
      <c r="Z3" s="419" t="s">
        <v>393</v>
      </c>
      <c r="AA3" s="420"/>
      <c r="AB3" s="520" t="s">
        <v>155</v>
      </c>
      <c r="AC3" s="521"/>
      <c r="AG3" s="451"/>
      <c r="AH3" s="449"/>
      <c r="AI3" s="467"/>
      <c r="AJ3" s="468"/>
      <c r="AK3" s="467"/>
      <c r="AL3" s="470"/>
      <c r="AM3" s="449"/>
      <c r="AN3" s="99" t="s">
        <v>379</v>
      </c>
      <c r="AO3" s="99" t="s">
        <v>60</v>
      </c>
      <c r="AP3" s="283" t="s">
        <v>379</v>
      </c>
      <c r="AQ3" s="281" t="s">
        <v>60</v>
      </c>
      <c r="AR3" s="274" t="s">
        <v>379</v>
      </c>
      <c r="AS3" s="275" t="s">
        <v>60</v>
      </c>
      <c r="AT3" s="288" t="s">
        <v>379</v>
      </c>
      <c r="AU3" s="289" t="s">
        <v>60</v>
      </c>
      <c r="BG3" s="367" t="str">
        <f>A25</f>
        <v>ЩД.324226-23.2876.01.</v>
      </c>
      <c r="BH3" s="368"/>
      <c r="BI3" s="368"/>
      <c r="BJ3" s="368"/>
      <c r="BK3" s="368"/>
      <c r="BL3" s="368"/>
      <c r="BM3" s="368"/>
      <c r="BN3" s="369"/>
      <c r="BO3" s="143"/>
    </row>
    <row r="4" spans="1:67" ht="15" customHeight="1" thickBot="1" x14ac:dyDescent="0.3">
      <c r="A4" s="596"/>
      <c r="B4" s="597"/>
      <c r="C4" s="598"/>
      <c r="D4" s="602"/>
      <c r="E4" s="603"/>
      <c r="F4" s="603"/>
      <c r="G4" s="604"/>
      <c r="I4" s="30" t="e">
        <f>VLOOKUP(M11,Вводы!B21:C28,2,0)</f>
        <v>#N/A</v>
      </c>
      <c r="J4" s="35"/>
      <c r="K4" s="30"/>
      <c r="M4" s="413"/>
      <c r="N4" s="414"/>
      <c r="O4" s="413"/>
      <c r="P4" s="414"/>
      <c r="Q4" s="564"/>
      <c r="R4" s="565"/>
      <c r="S4" s="560"/>
      <c r="T4" s="561"/>
      <c r="U4" s="109"/>
      <c r="V4" s="417"/>
      <c r="W4" s="418"/>
      <c r="X4" s="417"/>
      <c r="Y4" s="418"/>
      <c r="Z4" s="421"/>
      <c r="AA4" s="422"/>
      <c r="AB4" s="522"/>
      <c r="AC4" s="523"/>
      <c r="AG4" s="100">
        <v>1</v>
      </c>
      <c r="AH4" s="121" t="s">
        <v>258</v>
      </c>
      <c r="AI4" s="442" t="s">
        <v>242</v>
      </c>
      <c r="AJ4" s="443"/>
      <c r="AK4" s="442" t="s">
        <v>239</v>
      </c>
      <c r="AL4" s="443"/>
      <c r="AM4" s="122">
        <v>35</v>
      </c>
      <c r="AN4" s="123">
        <v>10</v>
      </c>
      <c r="AO4" s="103" t="str">
        <f>IF('Рабочий стол'!AN4&lt;&gt;0,VLOOKUP(Клеммы!E3,Таблица17[],7,0)," ")</f>
        <v>WDU 35</v>
      </c>
      <c r="AP4" s="284"/>
      <c r="AQ4" s="269" t="str">
        <f>IF(AP4&lt;&gt;0,VLOOKUP(Клеммы!E4,Таблица17[],7,0),"")</f>
        <v/>
      </c>
      <c r="AR4" s="131"/>
      <c r="AS4" s="276" t="str">
        <f>IF(AR4&lt;&gt;0,VLOOKUP(Клеммы!E5,Таблица17[],7,0),"")</f>
        <v/>
      </c>
      <c r="AT4" s="290"/>
      <c r="AU4" s="291" t="str">
        <f>IF(AT4,VLOOKUP(Клеммы!E6,Таблица17[],7,0),"")</f>
        <v/>
      </c>
      <c r="AX4" s="258" t="s">
        <v>614</v>
      </c>
      <c r="AY4" s="259" t="s">
        <v>616</v>
      </c>
      <c r="AZ4" s="259" t="s">
        <v>64</v>
      </c>
      <c r="BA4" s="260" t="s">
        <v>379</v>
      </c>
      <c r="BB4" s="259" t="s">
        <v>63</v>
      </c>
      <c r="BC4" s="259" t="s">
        <v>2360</v>
      </c>
      <c r="BD4" s="261" t="s">
        <v>462</v>
      </c>
      <c r="BG4" s="370"/>
      <c r="BH4" s="371"/>
      <c r="BI4" s="371"/>
      <c r="BJ4" s="371"/>
      <c r="BK4" s="371"/>
      <c r="BL4" s="371"/>
      <c r="BM4" s="371"/>
      <c r="BN4" s="372"/>
      <c r="BO4" s="143"/>
    </row>
    <row r="5" spans="1:67" ht="19.5" thickBot="1" x14ac:dyDescent="0.3">
      <c r="A5" s="584" t="s">
        <v>2</v>
      </c>
      <c r="B5" s="585"/>
      <c r="C5" s="586"/>
      <c r="D5" s="599" t="s">
        <v>2569</v>
      </c>
      <c r="E5" s="600"/>
      <c r="F5" s="600"/>
      <c r="G5" s="601"/>
      <c r="I5" s="30" t="e">
        <f>VLOOKUP(M14,Вводы!B21:C28,2,0)</f>
        <v>#N/A</v>
      </c>
      <c r="J5" s="35"/>
      <c r="K5" s="30"/>
      <c r="M5" s="403" t="s">
        <v>157</v>
      </c>
      <c r="N5" s="404"/>
      <c r="O5" s="403" t="s">
        <v>1096</v>
      </c>
      <c r="P5" s="404"/>
      <c r="Q5" s="399" t="str">
        <f>_xlfn.IFNA(VLOOKUP(O5,Вводы!I27:J148,2,0),"-")</f>
        <v>-</v>
      </c>
      <c r="R5" s="400"/>
      <c r="S5" s="401">
        <v>2</v>
      </c>
      <c r="T5" s="402"/>
      <c r="U5" s="109"/>
      <c r="V5" s="407"/>
      <c r="W5" s="408"/>
      <c r="X5" s="407"/>
      <c r="Y5" s="408"/>
      <c r="Z5" s="409" t="str">
        <f>_xlfn.IFNA(VLOOKUP(X5,Вводы!I27:J148,2,0),"-")</f>
        <v>-</v>
      </c>
      <c r="AA5" s="410"/>
      <c r="AB5" s="544"/>
      <c r="AC5" s="545"/>
      <c r="AG5" s="101">
        <v>2</v>
      </c>
      <c r="AH5" s="124" t="s">
        <v>258</v>
      </c>
      <c r="AI5" s="452" t="s">
        <v>242</v>
      </c>
      <c r="AJ5" s="453"/>
      <c r="AK5" s="444" t="s">
        <v>239</v>
      </c>
      <c r="AL5" s="445"/>
      <c r="AM5" s="125">
        <v>6</v>
      </c>
      <c r="AN5" s="126">
        <v>5</v>
      </c>
      <c r="AO5" s="104" t="str">
        <f>IF('Рабочий стол'!AN5&lt;&gt;0,VLOOKUP(Клеммы!E13,Таблица17[],7,0)," ")</f>
        <v>WDU 6</v>
      </c>
      <c r="AP5" s="285"/>
      <c r="AQ5" s="270" t="str">
        <f>IF(AP5&lt;&gt;0,VLOOKUP(Клеммы!E14,Таблица17[],7,0),"")</f>
        <v/>
      </c>
      <c r="AR5" s="130"/>
      <c r="AS5" s="277" t="str">
        <f>IF(AR5&lt;&gt;0,VLOOKUP(Клеммы!E15,Таблица17[],7,0),"")</f>
        <v/>
      </c>
      <c r="AT5" s="292"/>
      <c r="AU5" s="293" t="str">
        <f>IF(AT5,VLOOKUP(Клеммы!E16,Таблица17[],7,0),"")</f>
        <v/>
      </c>
      <c r="AX5" s="262">
        <v>1</v>
      </c>
      <c r="AY5" s="196"/>
      <c r="AZ5" s="197"/>
      <c r="BA5" s="198"/>
      <c r="BB5" s="158"/>
      <c r="BC5" s="158"/>
      <c r="BD5" s="263">
        <f t="shared" ref="BD5:BD36" si="0">BA5*BB5</f>
        <v>0</v>
      </c>
      <c r="BG5" s="367" t="str">
        <f>A30</f>
        <v>ЩД.324226-23.2876.01. Взрывонепроницаемое устройство управления из алюминиевого сплава серии ЩД, 320x420x270 мм, 1Ex db IIB Gb T5, IP66, (-60°C..+40°C), в комплектации согласно чертежа</v>
      </c>
      <c r="BH5" s="368"/>
      <c r="BI5" s="368"/>
      <c r="BJ5" s="368"/>
      <c r="BK5" s="368"/>
      <c r="BL5" s="368"/>
      <c r="BM5" s="368"/>
      <c r="BN5" s="369"/>
      <c r="BO5" s="143"/>
    </row>
    <row r="6" spans="1:67" ht="14.25" customHeight="1" thickBot="1" x14ac:dyDescent="0.3">
      <c r="A6" s="596"/>
      <c r="B6" s="597"/>
      <c r="C6" s="598"/>
      <c r="D6" s="648"/>
      <c r="E6" s="649"/>
      <c r="F6" s="649"/>
      <c r="G6" s="650"/>
      <c r="I6" s="30" t="e">
        <f>VLOOKUP(M17,Вводы!B21:C28,2,0)</f>
        <v>#N/A</v>
      </c>
      <c r="J6" s="35"/>
      <c r="K6" s="30"/>
      <c r="M6" s="411" t="s">
        <v>154</v>
      </c>
      <c r="N6" s="412"/>
      <c r="O6" s="411" t="s">
        <v>197</v>
      </c>
      <c r="P6" s="412"/>
      <c r="Q6" s="562" t="s">
        <v>393</v>
      </c>
      <c r="R6" s="563"/>
      <c r="S6" s="558" t="s">
        <v>155</v>
      </c>
      <c r="T6" s="559"/>
      <c r="U6" s="109"/>
      <c r="V6" s="415" t="s">
        <v>154</v>
      </c>
      <c r="W6" s="416"/>
      <c r="X6" s="415" t="s">
        <v>197</v>
      </c>
      <c r="Y6" s="416"/>
      <c r="Z6" s="419" t="s">
        <v>393</v>
      </c>
      <c r="AA6" s="420"/>
      <c r="AB6" s="520" t="s">
        <v>155</v>
      </c>
      <c r="AC6" s="521"/>
      <c r="AG6" s="101">
        <v>3</v>
      </c>
      <c r="AH6" s="124" t="s">
        <v>258</v>
      </c>
      <c r="AI6" s="452" t="s">
        <v>242</v>
      </c>
      <c r="AJ6" s="453"/>
      <c r="AK6" s="444" t="s">
        <v>239</v>
      </c>
      <c r="AL6" s="445"/>
      <c r="AM6" s="125"/>
      <c r="AN6" s="126"/>
      <c r="AO6" s="104"/>
      <c r="AP6" s="285"/>
      <c r="AQ6" s="270" t="str">
        <f>IF(AP6&lt;&gt;0,VLOOKUP(Клеммы!E19,Таблица17[],7,0),"")</f>
        <v/>
      </c>
      <c r="AR6" s="130"/>
      <c r="AS6" s="277" t="str">
        <f>IF(AR6&lt;&gt;0,VLOOKUP(Клеммы!E20,Таблица17[],7,0),"")</f>
        <v/>
      </c>
      <c r="AT6" s="292"/>
      <c r="AU6" s="293" t="str">
        <f>IF(AT6&lt;&gt;0,VLOOKUP(Клеммы!E21,Таблица17[],7,0),"")</f>
        <v/>
      </c>
      <c r="AX6" s="262">
        <v>2</v>
      </c>
      <c r="AY6" s="161" t="s">
        <v>2570</v>
      </c>
      <c r="AZ6" s="161" t="s">
        <v>2571</v>
      </c>
      <c r="BA6" s="195">
        <v>1</v>
      </c>
      <c r="BB6" s="158">
        <v>1330</v>
      </c>
      <c r="BC6" s="158">
        <v>6</v>
      </c>
      <c r="BD6" s="263">
        <f t="shared" si="0"/>
        <v>1330</v>
      </c>
      <c r="BG6" s="370"/>
      <c r="BH6" s="371"/>
      <c r="BI6" s="371"/>
      <c r="BJ6" s="371"/>
      <c r="BK6" s="371"/>
      <c r="BL6" s="371"/>
      <c r="BM6" s="371"/>
      <c r="BN6" s="372"/>
      <c r="BO6" s="143"/>
    </row>
    <row r="7" spans="1:67" ht="15" customHeight="1" thickBot="1" x14ac:dyDescent="0.3">
      <c r="A7" s="584" t="s">
        <v>483</v>
      </c>
      <c r="B7" s="585"/>
      <c r="C7" s="586"/>
      <c r="D7" s="605"/>
      <c r="E7" s="606"/>
      <c r="F7" s="606"/>
      <c r="G7" s="607"/>
      <c r="I7" s="30" t="e">
        <f>VLOOKUP(V5,Вводы!B21:C28,2,0)</f>
        <v>#N/A</v>
      </c>
      <c r="J7" s="35"/>
      <c r="K7" s="30"/>
      <c r="M7" s="413"/>
      <c r="N7" s="414"/>
      <c r="O7" s="413"/>
      <c r="P7" s="414"/>
      <c r="Q7" s="564"/>
      <c r="R7" s="565"/>
      <c r="S7" s="560"/>
      <c r="T7" s="561"/>
      <c r="U7" s="109"/>
      <c r="V7" s="417"/>
      <c r="W7" s="418"/>
      <c r="X7" s="417"/>
      <c r="Y7" s="418"/>
      <c r="Z7" s="421"/>
      <c r="AA7" s="422"/>
      <c r="AB7" s="522"/>
      <c r="AC7" s="523"/>
      <c r="AG7" s="101">
        <v>4</v>
      </c>
      <c r="AH7" s="124" t="s">
        <v>258</v>
      </c>
      <c r="AI7" s="452" t="s">
        <v>242</v>
      </c>
      <c r="AJ7" s="453"/>
      <c r="AK7" s="444" t="s">
        <v>239</v>
      </c>
      <c r="AL7" s="445"/>
      <c r="AM7" s="125"/>
      <c r="AN7" s="126"/>
      <c r="AO7" s="104" t="str">
        <f>IF(AN7&lt;&gt;0,VLOOKUP(Клеммы!E22,Таблица17[],7,0),"")</f>
        <v/>
      </c>
      <c r="AP7" s="285"/>
      <c r="AQ7" s="270" t="str">
        <f>IF(AP7&lt;&gt;0,VLOOKUP(Клеммы!E23,Таблица17[],7,0),"")</f>
        <v/>
      </c>
      <c r="AR7" s="130"/>
      <c r="AS7" s="277" t="str">
        <f>IF(AR7&lt;&gt;0,VLOOKUP(Клеммы!E24,Таблица17[],7,0),"")</f>
        <v/>
      </c>
      <c r="AT7" s="292"/>
      <c r="AU7" s="293" t="str">
        <f>IF(AT7&lt;&gt;0,VLOOKUP(Клеммы!E25,Таблица17[],7,0),"")</f>
        <v/>
      </c>
      <c r="AX7" s="262">
        <v>3</v>
      </c>
      <c r="AY7" s="141"/>
      <c r="AZ7" s="161"/>
      <c r="BA7" s="195"/>
      <c r="BB7" s="158"/>
      <c r="BC7" s="158"/>
      <c r="BD7" s="263">
        <f t="shared" si="0"/>
        <v>0</v>
      </c>
      <c r="BG7" s="370"/>
      <c r="BH7" s="371"/>
      <c r="BI7" s="371"/>
      <c r="BJ7" s="371"/>
      <c r="BK7" s="371"/>
      <c r="BL7" s="371"/>
      <c r="BM7" s="371"/>
      <c r="BN7" s="372"/>
      <c r="BO7" s="143"/>
    </row>
    <row r="8" spans="1:67" ht="15" customHeight="1" thickBot="1" x14ac:dyDescent="0.3">
      <c r="A8" s="596"/>
      <c r="B8" s="597"/>
      <c r="C8" s="598"/>
      <c r="D8" s="608"/>
      <c r="E8" s="609"/>
      <c r="F8" s="609"/>
      <c r="G8" s="610"/>
      <c r="I8" s="30" t="e">
        <f>VLOOKUP(V8,Вводы!B21:C28,2,0)</f>
        <v>#N/A</v>
      </c>
      <c r="J8" s="35"/>
      <c r="K8" s="30"/>
      <c r="M8" s="403"/>
      <c r="N8" s="404"/>
      <c r="O8" s="403"/>
      <c r="P8" s="404"/>
      <c r="Q8" s="399" t="str">
        <f>_xlfn.IFNA(VLOOKUP(O8,Вводы!I30:J151,2,0),"-")</f>
        <v>-</v>
      </c>
      <c r="R8" s="400"/>
      <c r="S8" s="401"/>
      <c r="T8" s="402"/>
      <c r="U8" s="109"/>
      <c r="V8" s="407"/>
      <c r="W8" s="408"/>
      <c r="X8" s="407"/>
      <c r="Y8" s="408"/>
      <c r="Z8" s="409" t="str">
        <f>_xlfn.IFNA(VLOOKUP(X8,Вводы!I30:J151,2,0),"-")</f>
        <v>-</v>
      </c>
      <c r="AA8" s="410"/>
      <c r="AB8" s="544"/>
      <c r="AC8" s="545"/>
      <c r="AG8" s="101">
        <v>5</v>
      </c>
      <c r="AH8" s="124" t="s">
        <v>258</v>
      </c>
      <c r="AI8" s="452" t="s">
        <v>242</v>
      </c>
      <c r="AJ8" s="453"/>
      <c r="AK8" s="444" t="s">
        <v>239</v>
      </c>
      <c r="AL8" s="445"/>
      <c r="AM8" s="125"/>
      <c r="AN8" s="126"/>
      <c r="AO8" s="104" t="str">
        <f>IF(AN8&lt;&gt;0,VLOOKUP(Клеммы!E26,Таблица17[],7,0),"")</f>
        <v/>
      </c>
      <c r="AP8" s="285"/>
      <c r="AQ8" s="270" t="str">
        <f>IF(AP8&lt;&gt;0,VLOOKUP(Клеммы!E27,Таблица17[],7,0),"")</f>
        <v/>
      </c>
      <c r="AR8" s="130"/>
      <c r="AS8" s="277" t="str">
        <f>IF(AR8&lt;&gt;0,VLOOKUP(Клеммы!E28,Таблица17[],7,0),"")</f>
        <v/>
      </c>
      <c r="AT8" s="292"/>
      <c r="AU8" s="293" t="str">
        <f>IF(AT8&lt;&gt;0,VLOOKUP(Клеммы!E29,Таблица17[],7,0),"")</f>
        <v/>
      </c>
      <c r="AX8" s="262">
        <v>4</v>
      </c>
      <c r="AY8" s="141"/>
      <c r="AZ8" s="161" t="s">
        <v>2572</v>
      </c>
      <c r="BA8" s="195">
        <v>1</v>
      </c>
      <c r="BB8" s="158">
        <v>8000</v>
      </c>
      <c r="BC8" s="158"/>
      <c r="BD8" s="263">
        <f t="shared" si="0"/>
        <v>8000</v>
      </c>
      <c r="BG8" s="370"/>
      <c r="BH8" s="371"/>
      <c r="BI8" s="371"/>
      <c r="BJ8" s="371"/>
      <c r="BK8" s="371"/>
      <c r="BL8" s="371"/>
      <c r="BM8" s="371"/>
      <c r="BN8" s="372"/>
      <c r="BO8" s="143"/>
    </row>
    <row r="9" spans="1:67" ht="15" customHeight="1" thickBot="1" x14ac:dyDescent="0.3">
      <c r="A9" s="584" t="s">
        <v>1</v>
      </c>
      <c r="B9" s="585"/>
      <c r="C9" s="586"/>
      <c r="D9" s="611" t="s">
        <v>10</v>
      </c>
      <c r="E9" s="612"/>
      <c r="F9" s="612"/>
      <c r="G9" s="613"/>
      <c r="I9" s="30" t="e">
        <f>VLOOKUP(V11,Вводы!B21:C28,2,0)</f>
        <v>#N/A</v>
      </c>
      <c r="J9" s="35"/>
      <c r="K9" s="30"/>
      <c r="M9" s="411" t="s">
        <v>154</v>
      </c>
      <c r="N9" s="412"/>
      <c r="O9" s="411" t="s">
        <v>197</v>
      </c>
      <c r="P9" s="412"/>
      <c r="Q9" s="562" t="s">
        <v>393</v>
      </c>
      <c r="R9" s="563"/>
      <c r="S9" s="558" t="s">
        <v>155</v>
      </c>
      <c r="T9" s="559"/>
      <c r="U9" s="109"/>
      <c r="V9" s="415" t="s">
        <v>154</v>
      </c>
      <c r="W9" s="416"/>
      <c r="X9" s="415" t="s">
        <v>197</v>
      </c>
      <c r="Y9" s="416"/>
      <c r="Z9" s="419" t="s">
        <v>393</v>
      </c>
      <c r="AA9" s="420"/>
      <c r="AB9" s="520" t="s">
        <v>155</v>
      </c>
      <c r="AC9" s="521"/>
      <c r="AG9" s="101">
        <v>6</v>
      </c>
      <c r="AH9" s="124" t="s">
        <v>258</v>
      </c>
      <c r="AI9" s="444" t="s">
        <v>242</v>
      </c>
      <c r="AJ9" s="445"/>
      <c r="AK9" s="444" t="s">
        <v>239</v>
      </c>
      <c r="AL9" s="445"/>
      <c r="AM9" s="125"/>
      <c r="AN9" s="126"/>
      <c r="AO9" s="104" t="str">
        <f>IF(AN9&lt;&gt;0,VLOOKUP(Клеммы!E31,Таблица17[],7,0),"")</f>
        <v/>
      </c>
      <c r="AP9" s="286"/>
      <c r="AQ9" s="271" t="str">
        <f>IF(AP9&lt;&gt;0,VLOOKUP(Клеммы!E32,Таблица17[],7,0),"")</f>
        <v/>
      </c>
      <c r="AR9" s="130"/>
      <c r="AS9" s="277" t="str">
        <f>IF(AR9&lt;&gt;0,VLOOKUP(Клеммы!E33,Таблица17[],7,0),"")</f>
        <v/>
      </c>
      <c r="AT9" s="292"/>
      <c r="AU9" s="293" t="str">
        <f>IF(AT9&lt;&gt;0,VLOOKUP(Клеммы!E34,Таблица17[],7,0),"")</f>
        <v/>
      </c>
      <c r="AX9" s="262">
        <v>5</v>
      </c>
      <c r="AY9" s="141"/>
      <c r="AZ9" s="161"/>
      <c r="BA9" s="195"/>
      <c r="BB9" s="158"/>
      <c r="BC9" s="158"/>
      <c r="BD9" s="263">
        <f t="shared" si="0"/>
        <v>0</v>
      </c>
      <c r="BG9" s="373"/>
      <c r="BH9" s="374"/>
      <c r="BI9" s="374"/>
      <c r="BJ9" s="374"/>
      <c r="BK9" s="374"/>
      <c r="BL9" s="374"/>
      <c r="BM9" s="374"/>
      <c r="BN9" s="375"/>
      <c r="BO9" s="143"/>
    </row>
    <row r="10" spans="1:67" ht="15.75" customHeight="1" thickBot="1" x14ac:dyDescent="0.3">
      <c r="A10" s="596"/>
      <c r="B10" s="597"/>
      <c r="C10" s="598"/>
      <c r="D10" s="614"/>
      <c r="E10" s="615"/>
      <c r="F10" s="616"/>
      <c r="G10" s="617"/>
      <c r="I10" s="30" t="e">
        <f>VLOOKUP(V14,Вводы!B21:C28,2,0)</f>
        <v>#N/A</v>
      </c>
      <c r="J10" s="35"/>
      <c r="K10" s="30"/>
      <c r="M10" s="413"/>
      <c r="N10" s="414"/>
      <c r="O10" s="413"/>
      <c r="P10" s="414"/>
      <c r="Q10" s="564"/>
      <c r="R10" s="565"/>
      <c r="S10" s="560"/>
      <c r="T10" s="561"/>
      <c r="U10" s="109"/>
      <c r="V10" s="417"/>
      <c r="W10" s="418"/>
      <c r="X10" s="417"/>
      <c r="Y10" s="418"/>
      <c r="Z10" s="421"/>
      <c r="AA10" s="422"/>
      <c r="AB10" s="522"/>
      <c r="AC10" s="523"/>
      <c r="AG10" s="102">
        <v>7</v>
      </c>
      <c r="AH10" s="127" t="s">
        <v>258</v>
      </c>
      <c r="AI10" s="446" t="s">
        <v>242</v>
      </c>
      <c r="AJ10" s="447"/>
      <c r="AK10" s="446" t="s">
        <v>239</v>
      </c>
      <c r="AL10" s="447"/>
      <c r="AM10" s="128"/>
      <c r="AN10" s="129"/>
      <c r="AO10" s="105" t="str">
        <f>IF(AN10&lt;&gt;0,VLOOKUP(Клеммы!E35,Таблица17[],7,0),"")</f>
        <v/>
      </c>
      <c r="AP10" s="287"/>
      <c r="AQ10" s="272" t="str">
        <f>IF(AP10&lt;&gt;0,VLOOKUP(Клеммы!E36,Таблица17[],7,0),"")</f>
        <v/>
      </c>
      <c r="AR10" s="278"/>
      <c r="AS10" s="279" t="str">
        <f>IF(AR10&lt;&gt;0,VLOOKUP(Клеммы!E37,Таблица17[],7,0),"")</f>
        <v/>
      </c>
      <c r="AT10" s="294"/>
      <c r="AU10" s="295" t="str">
        <f>IF(AT10&lt;&gt;0,VLOOKUP(Клеммы!E38,Таблица17[],7,0),"")</f>
        <v/>
      </c>
      <c r="AX10" s="262">
        <v>6</v>
      </c>
      <c r="AY10" s="141"/>
      <c r="AZ10" s="141"/>
      <c r="BA10" s="195"/>
      <c r="BB10" s="158"/>
      <c r="BC10" s="158"/>
      <c r="BD10" s="263">
        <f t="shared" ref="BD10:BD11" si="1">BA10*BB10</f>
        <v>0</v>
      </c>
      <c r="BO10" s="143"/>
    </row>
    <row r="11" spans="1:67" ht="15.75" customHeight="1" thickBot="1" x14ac:dyDescent="0.3">
      <c r="A11" s="584" t="s">
        <v>13</v>
      </c>
      <c r="B11" s="585"/>
      <c r="C11" s="586"/>
      <c r="D11" s="572" t="s">
        <v>2537</v>
      </c>
      <c r="E11" s="573"/>
      <c r="F11" s="573"/>
      <c r="G11" s="574"/>
      <c r="I11" s="30" t="e">
        <f>VLOOKUP(V17,Вводы!B21:C28,2,0)</f>
        <v>#N/A</v>
      </c>
      <c r="J11" s="35"/>
      <c r="K11" s="30"/>
      <c r="M11" s="403"/>
      <c r="N11" s="404"/>
      <c r="O11" s="403"/>
      <c r="P11" s="404"/>
      <c r="Q11" s="399" t="str">
        <f>_xlfn.IFNA(VLOOKUP(O11,Вводы!I30:J151,2,0),"-")</f>
        <v>-</v>
      </c>
      <c r="R11" s="400"/>
      <c r="S11" s="401"/>
      <c r="T11" s="402"/>
      <c r="U11" s="110"/>
      <c r="V11" s="407"/>
      <c r="W11" s="408"/>
      <c r="X11" s="407"/>
      <c r="Y11" s="408"/>
      <c r="Z11" s="409" t="str">
        <f>_xlfn.IFNA(VLOOKUP(X11,Вводы!I30:J151,2,0),"-")</f>
        <v>-</v>
      </c>
      <c r="AA11" s="410"/>
      <c r="AB11" s="544"/>
      <c r="AC11" s="545"/>
      <c r="AG11" s="460"/>
      <c r="AH11" s="460"/>
      <c r="AI11" s="460"/>
      <c r="AJ11" s="460"/>
      <c r="AK11" s="460"/>
      <c r="AL11" s="460"/>
      <c r="AM11" s="460"/>
      <c r="AN11" s="460"/>
      <c r="AO11" s="460"/>
      <c r="AP11" s="460"/>
      <c r="AQ11" s="460"/>
      <c r="AR11" s="460"/>
      <c r="AS11" s="460"/>
      <c r="AT11" s="460"/>
      <c r="AU11" s="460"/>
      <c r="AX11" s="262">
        <v>7</v>
      </c>
      <c r="AY11" s="141"/>
      <c r="AZ11" s="141"/>
      <c r="BA11" s="195"/>
      <c r="BB11" s="158"/>
      <c r="BC11" s="158"/>
      <c r="BD11" s="263">
        <f t="shared" si="1"/>
        <v>0</v>
      </c>
      <c r="BG11" s="384" t="s">
        <v>2359</v>
      </c>
      <c r="BH11" s="385"/>
      <c r="BJ11" s="376" t="s">
        <v>2364</v>
      </c>
      <c r="BK11" s="377"/>
      <c r="BM11" s="391" t="s">
        <v>2351</v>
      </c>
      <c r="BN11" s="392"/>
      <c r="BO11" s="143"/>
    </row>
    <row r="12" spans="1:67" ht="16.5" customHeight="1" thickBot="1" x14ac:dyDescent="0.3">
      <c r="A12" s="596"/>
      <c r="B12" s="597"/>
      <c r="C12" s="598"/>
      <c r="D12" s="575"/>
      <c r="E12" s="576"/>
      <c r="F12" s="576"/>
      <c r="G12" s="577"/>
      <c r="I12" s="30" t="str">
        <f>VLOOKUP(M23,Вводы!B21:C28,2,0)</f>
        <v>ВЗБ</v>
      </c>
      <c r="J12" s="35"/>
      <c r="K12" s="30"/>
      <c r="M12" s="411" t="s">
        <v>154</v>
      </c>
      <c r="N12" s="412"/>
      <c r="O12" s="411" t="s">
        <v>197</v>
      </c>
      <c r="P12" s="412"/>
      <c r="Q12" s="562" t="s">
        <v>393</v>
      </c>
      <c r="R12" s="563"/>
      <c r="S12" s="558" t="s">
        <v>155</v>
      </c>
      <c r="T12" s="559"/>
      <c r="U12" s="110"/>
      <c r="V12" s="675" t="s">
        <v>154</v>
      </c>
      <c r="W12" s="676"/>
      <c r="X12" s="415" t="s">
        <v>197</v>
      </c>
      <c r="Y12" s="416"/>
      <c r="Z12" s="419" t="s">
        <v>393</v>
      </c>
      <c r="AA12" s="420"/>
      <c r="AB12" s="520" t="s">
        <v>155</v>
      </c>
      <c r="AC12" s="521"/>
      <c r="AG12" s="546" t="s">
        <v>455</v>
      </c>
      <c r="AH12" s="547"/>
      <c r="AI12" s="547"/>
      <c r="AJ12" s="547"/>
      <c r="AK12" s="547"/>
      <c r="AL12" s="548"/>
      <c r="AM12" s="556"/>
      <c r="AN12" s="460"/>
      <c r="AO12" s="557"/>
      <c r="AP12" s="532" t="s">
        <v>459</v>
      </c>
      <c r="AQ12" s="533"/>
      <c r="AR12" s="533"/>
      <c r="AS12" s="533"/>
      <c r="AT12" s="533"/>
      <c r="AU12" s="534"/>
      <c r="AX12" s="262">
        <v>8</v>
      </c>
      <c r="AY12" s="141"/>
      <c r="AZ12" s="161"/>
      <c r="BA12" s="195"/>
      <c r="BB12" s="158"/>
      <c r="BC12" s="158"/>
      <c r="BD12" s="263">
        <f t="shared" si="0"/>
        <v>0</v>
      </c>
      <c r="BG12" s="386"/>
      <c r="BH12" s="387"/>
      <c r="BJ12" s="378"/>
      <c r="BK12" s="379"/>
      <c r="BM12" s="393"/>
      <c r="BN12" s="394"/>
      <c r="BO12" s="143"/>
    </row>
    <row r="13" spans="1:67" ht="15" customHeight="1" thickBot="1" x14ac:dyDescent="0.3">
      <c r="A13" s="651" t="s">
        <v>234</v>
      </c>
      <c r="B13" s="651"/>
      <c r="C13" s="652"/>
      <c r="D13" s="655" t="s">
        <v>2520</v>
      </c>
      <c r="E13" s="656"/>
      <c r="F13" s="656"/>
      <c r="G13" s="657"/>
      <c r="H13" s="28"/>
      <c r="I13" s="30" t="e">
        <f>VLOOKUP(M26,Вводы!B21:C28,2,0)</f>
        <v>#N/A</v>
      </c>
      <c r="J13" s="36"/>
      <c r="K13" s="31"/>
      <c r="L13" s="28"/>
      <c r="M13" s="413"/>
      <c r="N13" s="414"/>
      <c r="O13" s="413"/>
      <c r="P13" s="414"/>
      <c r="Q13" s="564"/>
      <c r="R13" s="565"/>
      <c r="S13" s="560"/>
      <c r="T13" s="561"/>
      <c r="U13" s="110"/>
      <c r="V13" s="677"/>
      <c r="W13" s="678"/>
      <c r="X13" s="417"/>
      <c r="Y13" s="418"/>
      <c r="Z13" s="421"/>
      <c r="AA13" s="422"/>
      <c r="AB13" s="522"/>
      <c r="AC13" s="523"/>
      <c r="AG13" s="107" t="s">
        <v>379</v>
      </c>
      <c r="AH13" s="108" t="s">
        <v>456</v>
      </c>
      <c r="AI13" s="549" t="s">
        <v>457</v>
      </c>
      <c r="AJ13" s="550"/>
      <c r="AK13" s="550"/>
      <c r="AL13" s="551"/>
      <c r="AM13" s="556"/>
      <c r="AN13" s="460"/>
      <c r="AO13" s="557"/>
      <c r="AP13" s="41" t="s">
        <v>379</v>
      </c>
      <c r="AQ13" s="41" t="s">
        <v>456</v>
      </c>
      <c r="AR13" s="535" t="s">
        <v>457</v>
      </c>
      <c r="AS13" s="536"/>
      <c r="AT13" s="536"/>
      <c r="AU13" s="537"/>
      <c r="AX13" s="262">
        <v>9</v>
      </c>
      <c r="AY13" s="196"/>
      <c r="AZ13" s="197"/>
      <c r="BA13" s="198"/>
      <c r="BB13" s="158"/>
      <c r="BC13" s="158"/>
      <c r="BD13" s="263">
        <f t="shared" si="0"/>
        <v>0</v>
      </c>
      <c r="BG13" s="380">
        <f>SUM(BD5:BD77)</f>
        <v>9330</v>
      </c>
      <c r="BH13" s="388"/>
      <c r="BJ13" s="380">
        <f>Спецификация!L6</f>
        <v>2079.63</v>
      </c>
      <c r="BK13" s="381"/>
      <c r="BM13" s="395">
        <f>Спецификация!J10</f>
        <v>66304.475416799993</v>
      </c>
      <c r="BN13" s="396"/>
      <c r="BO13" s="143"/>
    </row>
    <row r="14" spans="1:67" ht="15.75" customHeight="1" thickBot="1" x14ac:dyDescent="0.3">
      <c r="A14" s="653"/>
      <c r="B14" s="653"/>
      <c r="C14" s="654"/>
      <c r="D14" s="658"/>
      <c r="E14" s="659"/>
      <c r="F14" s="659"/>
      <c r="G14" s="660"/>
      <c r="H14" s="28"/>
      <c r="I14" s="30" t="e">
        <f>VLOOKUP(M29,Вводы!B21:C28,2,0)</f>
        <v>#N/A</v>
      </c>
      <c r="J14" s="36"/>
      <c r="K14" s="31"/>
      <c r="L14" s="28"/>
      <c r="M14" s="403"/>
      <c r="N14" s="404"/>
      <c r="O14" s="403"/>
      <c r="P14" s="404"/>
      <c r="Q14" s="399" t="str">
        <f>_xlfn.IFNA(VLOOKUP(O14,Вводы!I30:J151,2,0),"-")</f>
        <v>-</v>
      </c>
      <c r="R14" s="400"/>
      <c r="S14" s="401"/>
      <c r="T14" s="402"/>
      <c r="U14" s="111"/>
      <c r="V14" s="405"/>
      <c r="W14" s="406"/>
      <c r="X14" s="407"/>
      <c r="Y14" s="408"/>
      <c r="Z14" s="409" t="str">
        <f>_xlfn.IFNA(VLOOKUP(X14,Вводы!I30:J151,2,0),"-")</f>
        <v>-</v>
      </c>
      <c r="AA14" s="410"/>
      <c r="AB14" s="544"/>
      <c r="AC14" s="545"/>
      <c r="AG14" s="40"/>
      <c r="AH14" s="140"/>
      <c r="AI14" s="552"/>
      <c r="AJ14" s="553"/>
      <c r="AK14" s="553"/>
      <c r="AL14" s="554"/>
      <c r="AM14" s="556"/>
      <c r="AN14" s="460"/>
      <c r="AO14" s="557"/>
      <c r="AP14" s="97"/>
      <c r="AQ14" s="97"/>
      <c r="AR14" s="538" t="e">
        <f>VLOOKUP(AQ14,[1]PRICE_КЛЕММЫ!$BC$16:$BG$22,2,0)</f>
        <v>#N/A</v>
      </c>
      <c r="AS14" s="539"/>
      <c r="AT14" s="539"/>
      <c r="AU14" s="540"/>
      <c r="AX14" s="262">
        <v>10</v>
      </c>
      <c r="AY14" s="196"/>
      <c r="AZ14" s="197"/>
      <c r="BA14" s="198"/>
      <c r="BB14" s="158"/>
      <c r="BC14" s="158"/>
      <c r="BD14" s="263">
        <f t="shared" si="0"/>
        <v>0</v>
      </c>
      <c r="BG14" s="389"/>
      <c r="BH14" s="390"/>
      <c r="BJ14" s="382"/>
      <c r="BK14" s="383"/>
      <c r="BM14" s="397"/>
      <c r="BN14" s="398"/>
      <c r="BO14" s="143"/>
    </row>
    <row r="15" spans="1:67" ht="17.25" customHeight="1" thickBot="1" x14ac:dyDescent="0.3">
      <c r="A15" s="661" t="s">
        <v>235</v>
      </c>
      <c r="B15" s="651"/>
      <c r="C15" s="652"/>
      <c r="D15" s="655" t="s">
        <v>2512</v>
      </c>
      <c r="E15" s="656"/>
      <c r="F15" s="656"/>
      <c r="G15" s="657"/>
      <c r="H15" s="29"/>
      <c r="I15" s="30" t="e">
        <f>VLOOKUP(M32,Вводы!B21:C28,2,0)</f>
        <v>#N/A</v>
      </c>
      <c r="J15" s="37"/>
      <c r="K15" s="30"/>
      <c r="L15" s="28"/>
      <c r="M15" s="411" t="s">
        <v>154</v>
      </c>
      <c r="N15" s="412"/>
      <c r="O15" s="411" t="s">
        <v>197</v>
      </c>
      <c r="P15" s="412"/>
      <c r="Q15" s="562" t="s">
        <v>393</v>
      </c>
      <c r="R15" s="563"/>
      <c r="S15" s="558" t="s">
        <v>155</v>
      </c>
      <c r="T15" s="559"/>
      <c r="U15" s="111"/>
      <c r="V15" s="415" t="s">
        <v>154</v>
      </c>
      <c r="W15" s="416"/>
      <c r="X15" s="415" t="s">
        <v>197</v>
      </c>
      <c r="Y15" s="416"/>
      <c r="Z15" s="419" t="s">
        <v>393</v>
      </c>
      <c r="AA15" s="420"/>
      <c r="AB15" s="520" t="s">
        <v>155</v>
      </c>
      <c r="AC15" s="521"/>
      <c r="AG15" s="40"/>
      <c r="AH15" s="140"/>
      <c r="AI15" s="552" t="str">
        <f>_xlfn.IFNA(VLOOKUP(AH15,Клеммы!W3:Y9,2,0),"")</f>
        <v/>
      </c>
      <c r="AJ15" s="553"/>
      <c r="AK15" s="553"/>
      <c r="AL15" s="554"/>
      <c r="AM15" s="556"/>
      <c r="AN15" s="460"/>
      <c r="AO15" s="557"/>
      <c r="AP15" s="98"/>
      <c r="AQ15" s="98"/>
      <c r="AR15" s="541" t="e">
        <f>VLOOKUP(AQ15,[1]PRICE_КЛЕММЫ!$BC$16:$BG$22,2,0)</f>
        <v>#N/A</v>
      </c>
      <c r="AS15" s="542"/>
      <c r="AT15" s="542"/>
      <c r="AU15" s="543"/>
      <c r="AX15" s="262">
        <v>11</v>
      </c>
      <c r="AY15" s="196"/>
      <c r="AZ15" s="197"/>
      <c r="BA15" s="198"/>
      <c r="BB15" s="199"/>
      <c r="BC15" s="158"/>
      <c r="BD15" s="263">
        <f t="shared" si="0"/>
        <v>0</v>
      </c>
      <c r="BJ15" s="106"/>
      <c r="BK15" s="106"/>
      <c r="BO15" s="143"/>
    </row>
    <row r="16" spans="1:67" ht="15" customHeight="1" thickBot="1" x14ac:dyDescent="0.3">
      <c r="A16" s="662"/>
      <c r="B16" s="653"/>
      <c r="C16" s="654"/>
      <c r="D16" s="658"/>
      <c r="E16" s="659"/>
      <c r="F16" s="659"/>
      <c r="G16" s="660"/>
      <c r="H16" s="28"/>
      <c r="I16" s="30" t="e">
        <f>VLOOKUP(M35,Вводы!B21:C28,2,0)</f>
        <v>#N/A</v>
      </c>
      <c r="J16" s="36"/>
      <c r="K16" s="31"/>
      <c r="L16" s="28"/>
      <c r="M16" s="413"/>
      <c r="N16" s="414"/>
      <c r="O16" s="413"/>
      <c r="P16" s="414"/>
      <c r="Q16" s="564"/>
      <c r="R16" s="565"/>
      <c r="S16" s="560"/>
      <c r="T16" s="561"/>
      <c r="U16" s="111"/>
      <c r="V16" s="417"/>
      <c r="W16" s="418"/>
      <c r="X16" s="417"/>
      <c r="Y16" s="418"/>
      <c r="Z16" s="421"/>
      <c r="AA16" s="422"/>
      <c r="AB16" s="522"/>
      <c r="AC16" s="523"/>
      <c r="AG16" s="555"/>
      <c r="AH16" s="555"/>
      <c r="AI16" s="555"/>
      <c r="AJ16" s="555"/>
      <c r="AK16" s="555"/>
      <c r="AL16" s="555"/>
      <c r="AM16" s="555"/>
      <c r="AN16" s="555"/>
      <c r="AO16" s="555"/>
      <c r="AP16" s="555"/>
      <c r="AQ16" s="555"/>
      <c r="AR16" s="555"/>
      <c r="AS16" s="555"/>
      <c r="AT16" s="555"/>
      <c r="AU16" s="555"/>
      <c r="AX16" s="262">
        <v>12</v>
      </c>
      <c r="AY16" s="200"/>
      <c r="AZ16" s="200"/>
      <c r="BA16" s="201"/>
      <c r="BB16" s="202"/>
      <c r="BC16" s="158"/>
      <c r="BD16" s="263">
        <f t="shared" si="0"/>
        <v>0</v>
      </c>
      <c r="BG16" s="18" t="str">
        <f>BG3</f>
        <v>ЩД.324226-23.2876.01.</v>
      </c>
      <c r="BO16" s="143"/>
    </row>
    <row r="17" spans="1:67" ht="15" customHeight="1" x14ac:dyDescent="0.25">
      <c r="A17" s="585" t="s">
        <v>43</v>
      </c>
      <c r="B17" s="585"/>
      <c r="C17" s="586"/>
      <c r="D17" s="611" t="s">
        <v>2526</v>
      </c>
      <c r="E17" s="612"/>
      <c r="F17" s="612"/>
      <c r="G17" s="613"/>
      <c r="H17" s="28"/>
      <c r="I17" s="30" t="e">
        <f>VLOOKUP(V23,Вводы!B21:C28,2,0)</f>
        <v>#N/A</v>
      </c>
      <c r="J17" s="36"/>
      <c r="K17" s="31"/>
      <c r="L17" s="28"/>
      <c r="M17" s="403"/>
      <c r="N17" s="404"/>
      <c r="O17" s="403"/>
      <c r="P17" s="404"/>
      <c r="Q17" s="399" t="str">
        <f>_xlfn.IFNA(VLOOKUP(O17,Вводы!I30:J151,2,0),"-")</f>
        <v>-</v>
      </c>
      <c r="R17" s="400"/>
      <c r="S17" s="401"/>
      <c r="T17" s="402"/>
      <c r="U17" s="111"/>
      <c r="V17" s="407"/>
      <c r="W17" s="408"/>
      <c r="X17" s="407"/>
      <c r="Y17" s="408"/>
      <c r="Z17" s="409" t="str">
        <f>_xlfn.IFNA(VLOOKUP(X17,Вводы!I30:J151,2,0),"-")</f>
        <v>-</v>
      </c>
      <c r="AA17" s="410"/>
      <c r="AB17" s="544"/>
      <c r="AC17" s="545"/>
      <c r="AG17" s="555"/>
      <c r="AH17" s="555"/>
      <c r="AI17" s="555"/>
      <c r="AJ17" s="555"/>
      <c r="AK17" s="555"/>
      <c r="AL17" s="555"/>
      <c r="AM17" s="555"/>
      <c r="AN17" s="555"/>
      <c r="AO17" s="555"/>
      <c r="AP17" s="555"/>
      <c r="AQ17" s="555"/>
      <c r="AR17" s="555"/>
      <c r="AS17" s="555"/>
      <c r="AT17" s="555"/>
      <c r="AU17" s="555"/>
      <c r="AX17" s="262">
        <v>13</v>
      </c>
      <c r="AY17" s="141"/>
      <c r="AZ17" s="161"/>
      <c r="BA17" s="195"/>
      <c r="BB17" s="158"/>
      <c r="BC17" s="158"/>
      <c r="BD17" s="263">
        <f t="shared" si="0"/>
        <v>0</v>
      </c>
      <c r="BG17" s="18" t="str">
        <f>BG5</f>
        <v>ЩД.324226-23.2876.01. Взрывонепроницаемое устройство управления из алюминиевого сплава серии ЩД, 320x420x270 мм, 1Ex db IIB Gb T5, IP66, (-60°C..+40°C), в комплектации согласно чертежа</v>
      </c>
      <c r="BO17" s="143"/>
    </row>
    <row r="18" spans="1:67" ht="15" customHeight="1" thickBot="1" x14ac:dyDescent="0.3">
      <c r="A18" s="597"/>
      <c r="B18" s="597"/>
      <c r="C18" s="598"/>
      <c r="D18" s="614"/>
      <c r="E18" s="615"/>
      <c r="F18" s="615"/>
      <c r="G18" s="617"/>
      <c r="H18" s="28"/>
      <c r="I18" s="30" t="e">
        <f>VLOOKUP(V26,Вводы!B21:C28,2,0)</f>
        <v>#N/A</v>
      </c>
      <c r="J18" s="36"/>
      <c r="K18" s="31"/>
      <c r="L18" s="28"/>
      <c r="M18" s="366"/>
      <c r="N18" s="366"/>
      <c r="O18" s="366"/>
      <c r="P18" s="366"/>
      <c r="Q18" s="366"/>
      <c r="R18" s="366"/>
      <c r="S18" s="366"/>
      <c r="T18" s="366"/>
      <c r="U18" s="111"/>
      <c r="V18" s="366"/>
      <c r="W18" s="366"/>
      <c r="X18" s="366"/>
      <c r="Y18" s="366"/>
      <c r="Z18" s="366"/>
      <c r="AA18" s="366"/>
      <c r="AB18" s="366"/>
      <c r="AC18" s="366"/>
      <c r="AG18" s="555"/>
      <c r="AH18" s="555"/>
      <c r="AI18" s="555"/>
      <c r="AJ18" s="555"/>
      <c r="AK18" s="555"/>
      <c r="AL18" s="555"/>
      <c r="AM18" s="555"/>
      <c r="AN18" s="555"/>
      <c r="AO18" s="555"/>
      <c r="AP18" s="555"/>
      <c r="AQ18" s="555"/>
      <c r="AR18" s="555"/>
      <c r="AS18" s="555"/>
      <c r="AT18" s="555"/>
      <c r="AU18" s="555"/>
      <c r="AX18" s="262">
        <v>14</v>
      </c>
      <c r="AY18" s="141"/>
      <c r="AZ18" s="161"/>
      <c r="BA18" s="195"/>
      <c r="BB18" s="158"/>
      <c r="BC18" s="158"/>
      <c r="BD18" s="263">
        <f t="shared" si="0"/>
        <v>0</v>
      </c>
      <c r="BO18" s="143"/>
    </row>
    <row r="19" spans="1:67" ht="16.5" customHeight="1" x14ac:dyDescent="0.25">
      <c r="A19" s="663" t="s">
        <v>150</v>
      </c>
      <c r="B19" s="664"/>
      <c r="C19" s="665"/>
      <c r="D19" s="578">
        <v>66</v>
      </c>
      <c r="E19" s="579"/>
      <c r="F19" s="579"/>
      <c r="G19" s="580"/>
      <c r="I19" s="30" t="e">
        <f>VLOOKUP(V29,Вводы!B21:C28,2,0)</f>
        <v>#N/A</v>
      </c>
      <c r="J19" s="35"/>
      <c r="K19" s="30"/>
      <c r="M19" s="620" t="s">
        <v>236</v>
      </c>
      <c r="N19" s="621"/>
      <c r="O19" s="621"/>
      <c r="P19" s="621"/>
      <c r="Q19" s="621"/>
      <c r="R19" s="621"/>
      <c r="S19" s="621"/>
      <c r="T19" s="622"/>
      <c r="U19" s="632" t="s">
        <v>612</v>
      </c>
      <c r="V19" s="524" t="s">
        <v>237</v>
      </c>
      <c r="W19" s="525"/>
      <c r="X19" s="525"/>
      <c r="Y19" s="525"/>
      <c r="Z19" s="525"/>
      <c r="AA19" s="525"/>
      <c r="AB19" s="525"/>
      <c r="AC19" s="526"/>
      <c r="AG19" s="555"/>
      <c r="AH19" s="555"/>
      <c r="AI19" s="555"/>
      <c r="AJ19" s="555"/>
      <c r="AK19" s="555"/>
      <c r="AL19" s="555"/>
      <c r="AM19" s="555"/>
      <c r="AN19" s="555"/>
      <c r="AO19" s="555"/>
      <c r="AP19" s="555"/>
      <c r="AQ19" s="555"/>
      <c r="AR19" s="555"/>
      <c r="AS19" s="555"/>
      <c r="AT19" s="555"/>
      <c r="AU19" s="555"/>
      <c r="AX19" s="262">
        <v>15</v>
      </c>
      <c r="AY19" s="141"/>
      <c r="AZ19" s="161"/>
      <c r="BA19" s="195"/>
      <c r="BB19" s="158"/>
      <c r="BC19" s="158"/>
      <c r="BD19" s="263">
        <f t="shared" si="0"/>
        <v>0</v>
      </c>
      <c r="BO19" s="143"/>
    </row>
    <row r="20" spans="1:67" ht="16.5" customHeight="1" thickBot="1" x14ac:dyDescent="0.3">
      <c r="A20" s="666"/>
      <c r="B20" s="667"/>
      <c r="C20" s="668"/>
      <c r="D20" s="581"/>
      <c r="E20" s="582"/>
      <c r="F20" s="582"/>
      <c r="G20" s="583"/>
      <c r="I20" s="30" t="e">
        <f>VLOOKUP(V32,Вводы!B21:C28,2,0)</f>
        <v>#N/A</v>
      </c>
      <c r="J20" s="35"/>
      <c r="K20" s="30"/>
      <c r="M20" s="623"/>
      <c r="N20" s="624"/>
      <c r="O20" s="624"/>
      <c r="P20" s="624"/>
      <c r="Q20" s="624"/>
      <c r="R20" s="624"/>
      <c r="S20" s="624"/>
      <c r="T20" s="625"/>
      <c r="U20" s="633"/>
      <c r="V20" s="527"/>
      <c r="W20" s="528"/>
      <c r="X20" s="528"/>
      <c r="Y20" s="528"/>
      <c r="Z20" s="528"/>
      <c r="AA20" s="528"/>
      <c r="AB20" s="528"/>
      <c r="AC20" s="529"/>
      <c r="AG20" s="555"/>
      <c r="AH20" s="555"/>
      <c r="AI20" s="555"/>
      <c r="AJ20" s="555"/>
      <c r="AK20" s="555"/>
      <c r="AL20" s="555"/>
      <c r="AM20" s="555"/>
      <c r="AN20" s="555"/>
      <c r="AO20" s="555"/>
      <c r="AP20" s="555"/>
      <c r="AQ20" s="555"/>
      <c r="AR20" s="555"/>
      <c r="AS20" s="555"/>
      <c r="AT20" s="555"/>
      <c r="AU20" s="555"/>
      <c r="AX20" s="262">
        <v>16</v>
      </c>
      <c r="AY20" s="141"/>
      <c r="AZ20" s="161"/>
      <c r="BA20" s="195"/>
      <c r="BB20" s="158"/>
      <c r="BC20" s="158"/>
      <c r="BD20" s="263">
        <f t="shared" si="0"/>
        <v>0</v>
      </c>
      <c r="BO20" s="143"/>
    </row>
    <row r="21" spans="1:67" ht="15" customHeight="1" thickBot="1" x14ac:dyDescent="0.3">
      <c r="A21" s="584" t="s">
        <v>619</v>
      </c>
      <c r="B21" s="585"/>
      <c r="C21" s="586"/>
      <c r="D21" s="669" t="s">
        <v>55</v>
      </c>
      <c r="E21" s="670"/>
      <c r="F21" s="670"/>
      <c r="G21" s="671"/>
      <c r="I21" s="30" t="e">
        <f>VLOOKUP(V35,Вводы!B21:C28,2,0)</f>
        <v>#N/A</v>
      </c>
      <c r="J21" s="35"/>
      <c r="K21" s="30"/>
      <c r="M21" s="484" t="s">
        <v>154</v>
      </c>
      <c r="N21" s="485"/>
      <c r="O21" s="484" t="s">
        <v>197</v>
      </c>
      <c r="P21" s="485"/>
      <c r="Q21" s="488" t="s">
        <v>393</v>
      </c>
      <c r="R21" s="489"/>
      <c r="S21" s="492" t="s">
        <v>155</v>
      </c>
      <c r="T21" s="493"/>
      <c r="U21" s="110"/>
      <c r="V21" s="496" t="s">
        <v>154</v>
      </c>
      <c r="W21" s="497"/>
      <c r="X21" s="496" t="s">
        <v>197</v>
      </c>
      <c r="Y21" s="497"/>
      <c r="Z21" s="500" t="s">
        <v>393</v>
      </c>
      <c r="AA21" s="501"/>
      <c r="AB21" s="504" t="s">
        <v>155</v>
      </c>
      <c r="AC21" s="505"/>
      <c r="AG21" s="366"/>
      <c r="AH21" s="366"/>
      <c r="AI21" s="366"/>
      <c r="AJ21" s="366"/>
      <c r="AK21" s="366"/>
      <c r="AL21" s="366"/>
      <c r="AM21" s="366"/>
      <c r="AN21" s="366"/>
      <c r="AO21" s="366"/>
      <c r="AP21" s="366"/>
      <c r="AQ21" s="366"/>
      <c r="AR21" s="366"/>
      <c r="AS21" s="366"/>
      <c r="AT21" s="366"/>
      <c r="AU21" s="366"/>
      <c r="AX21" s="262">
        <v>17</v>
      </c>
      <c r="AY21" s="141"/>
      <c r="AZ21" s="141"/>
      <c r="BA21" s="195"/>
      <c r="BB21" s="158"/>
      <c r="BC21" s="158"/>
      <c r="BD21" s="263">
        <f t="shared" si="0"/>
        <v>0</v>
      </c>
      <c r="BO21" s="143"/>
    </row>
    <row r="22" spans="1:67" ht="15" customHeight="1" thickBot="1" x14ac:dyDescent="0.3">
      <c r="A22" s="587"/>
      <c r="B22" s="588"/>
      <c r="C22" s="589"/>
      <c r="D22" s="672"/>
      <c r="E22" s="673"/>
      <c r="F22" s="673"/>
      <c r="G22" s="674"/>
      <c r="I22" s="30"/>
      <c r="J22" s="35"/>
      <c r="K22" s="30"/>
      <c r="M22" s="486"/>
      <c r="N22" s="487"/>
      <c r="O22" s="486"/>
      <c r="P22" s="487"/>
      <c r="Q22" s="490"/>
      <c r="R22" s="491"/>
      <c r="S22" s="494"/>
      <c r="T22" s="495"/>
      <c r="U22" s="110"/>
      <c r="V22" s="498"/>
      <c r="W22" s="499"/>
      <c r="X22" s="498"/>
      <c r="Y22" s="499"/>
      <c r="Z22" s="502"/>
      <c r="AA22" s="503"/>
      <c r="AB22" s="506"/>
      <c r="AC22" s="507"/>
      <c r="AG22" s="454" t="s">
        <v>606</v>
      </c>
      <c r="AH22" s="455"/>
      <c r="AI22" s="455"/>
      <c r="AJ22" s="455"/>
      <c r="AK22" s="455"/>
      <c r="AL22" s="455"/>
      <c r="AM22" s="455"/>
      <c r="AN22" s="455"/>
      <c r="AO22" s="455"/>
      <c r="AP22" s="455"/>
      <c r="AQ22" s="455"/>
      <c r="AR22" s="455"/>
      <c r="AS22" s="455"/>
      <c r="AT22" s="455"/>
      <c r="AU22" s="456"/>
      <c r="AX22" s="262">
        <v>18</v>
      </c>
      <c r="AY22" s="141"/>
      <c r="AZ22" s="161"/>
      <c r="BA22" s="195"/>
      <c r="BB22" s="158"/>
      <c r="BC22" s="158"/>
      <c r="BD22" s="263">
        <f>BA22*BB22</f>
        <v>0</v>
      </c>
      <c r="BO22" s="143"/>
    </row>
    <row r="23" spans="1:67" ht="15.75" customHeight="1" thickBot="1" x14ac:dyDescent="0.3">
      <c r="A23" s="584" t="s">
        <v>383</v>
      </c>
      <c r="B23" s="585"/>
      <c r="C23" s="586"/>
      <c r="D23" s="590"/>
      <c r="E23" s="591"/>
      <c r="F23" s="591"/>
      <c r="G23" s="592"/>
      <c r="I23" s="30"/>
      <c r="J23" s="35"/>
      <c r="K23" s="30"/>
      <c r="M23" s="475" t="s">
        <v>157</v>
      </c>
      <c r="N23" s="476"/>
      <c r="O23" s="475" t="s">
        <v>1098</v>
      </c>
      <c r="P23" s="476"/>
      <c r="Q23" s="473" t="str">
        <f>_xlfn.IFNA(VLOOKUP(O23,Вводы!I18:J139,2,0),"-")</f>
        <v>-</v>
      </c>
      <c r="R23" s="474"/>
      <c r="S23" s="508">
        <v>1</v>
      </c>
      <c r="T23" s="509"/>
      <c r="U23" s="110"/>
      <c r="V23" s="478"/>
      <c r="W23" s="479"/>
      <c r="X23" s="478"/>
      <c r="Y23" s="479"/>
      <c r="Z23" s="480" t="str">
        <f>_xlfn.IFNA(VLOOKUP(X23,Вводы!I30:J151,2,0),"-")</f>
        <v>-</v>
      </c>
      <c r="AA23" s="481"/>
      <c r="AB23" s="482"/>
      <c r="AC23" s="483"/>
      <c r="AG23" s="457"/>
      <c r="AH23" s="458"/>
      <c r="AI23" s="458"/>
      <c r="AJ23" s="458"/>
      <c r="AK23" s="458"/>
      <c r="AL23" s="458"/>
      <c r="AM23" s="458"/>
      <c r="AN23" s="458"/>
      <c r="AO23" s="458"/>
      <c r="AP23" s="458"/>
      <c r="AQ23" s="458"/>
      <c r="AR23" s="458"/>
      <c r="AS23" s="458"/>
      <c r="AT23" s="458"/>
      <c r="AU23" s="459"/>
      <c r="AX23" s="262">
        <v>19</v>
      </c>
      <c r="AY23" s="141"/>
      <c r="AZ23" s="161"/>
      <c r="BA23" s="195"/>
      <c r="BB23" s="158"/>
      <c r="BC23" s="158"/>
      <c r="BD23" s="263">
        <f t="shared" si="0"/>
        <v>0</v>
      </c>
      <c r="BO23" s="143"/>
    </row>
    <row r="24" spans="1:67" ht="15" customHeight="1" thickBot="1" x14ac:dyDescent="0.3">
      <c r="A24" s="587"/>
      <c r="B24" s="588"/>
      <c r="C24" s="589"/>
      <c r="D24" s="593"/>
      <c r="E24" s="594"/>
      <c r="F24" s="594"/>
      <c r="G24" s="595"/>
      <c r="I24" s="30"/>
      <c r="J24" s="35"/>
      <c r="K24" s="30"/>
      <c r="M24" s="484" t="s">
        <v>154</v>
      </c>
      <c r="N24" s="485"/>
      <c r="O24" s="484" t="s">
        <v>197</v>
      </c>
      <c r="P24" s="485"/>
      <c r="Q24" s="488" t="s">
        <v>393</v>
      </c>
      <c r="R24" s="489"/>
      <c r="S24" s="492" t="s">
        <v>155</v>
      </c>
      <c r="T24" s="493"/>
      <c r="U24" s="110"/>
      <c r="V24" s="496" t="s">
        <v>154</v>
      </c>
      <c r="W24" s="497"/>
      <c r="X24" s="496" t="s">
        <v>197</v>
      </c>
      <c r="Y24" s="497"/>
      <c r="Z24" s="500" t="s">
        <v>393</v>
      </c>
      <c r="AA24" s="501"/>
      <c r="AB24" s="504" t="s">
        <v>155</v>
      </c>
      <c r="AC24" s="505"/>
      <c r="AG24" s="435" t="s">
        <v>488</v>
      </c>
      <c r="AH24" s="436"/>
      <c r="AI24" s="437"/>
      <c r="AJ24" s="280" t="s">
        <v>154</v>
      </c>
      <c r="AK24" s="435" t="s">
        <v>489</v>
      </c>
      <c r="AL24" s="436"/>
      <c r="AM24" s="436"/>
      <c r="AN24" s="436"/>
      <c r="AO24" s="436"/>
      <c r="AP24" s="436"/>
      <c r="AQ24" s="436"/>
      <c r="AR24" s="436"/>
      <c r="AS24" s="437"/>
      <c r="AT24" s="280" t="s">
        <v>379</v>
      </c>
      <c r="AU24" s="280" t="s">
        <v>490</v>
      </c>
      <c r="AX24" s="262">
        <v>20</v>
      </c>
      <c r="AY24" s="141"/>
      <c r="AZ24" s="141"/>
      <c r="BA24" s="203"/>
      <c r="BB24" s="158"/>
      <c r="BC24" s="158"/>
      <c r="BD24" s="263">
        <f t="shared" si="0"/>
        <v>0</v>
      </c>
      <c r="BO24" s="143"/>
    </row>
    <row r="25" spans="1:67" ht="15.75" customHeight="1" thickBot="1" x14ac:dyDescent="0.3">
      <c r="A25" s="640" t="str">
        <f>CONCATENATE(D9,VLOOKUP(D21,'Типы изделий'!L:M,2,0),"-",D1,".",D3,".",D5,"",D7,".")</f>
        <v>ЩД.324226-23.2876.01.</v>
      </c>
      <c r="B25" s="640"/>
      <c r="C25" s="640"/>
      <c r="D25" s="640"/>
      <c r="E25" s="640"/>
      <c r="F25" s="640"/>
      <c r="G25" s="640"/>
      <c r="I25" s="30"/>
      <c r="J25" s="35"/>
      <c r="K25" s="30"/>
      <c r="M25" s="486"/>
      <c r="N25" s="487"/>
      <c r="O25" s="486"/>
      <c r="P25" s="487"/>
      <c r="Q25" s="490"/>
      <c r="R25" s="491"/>
      <c r="S25" s="494"/>
      <c r="T25" s="495"/>
      <c r="U25" s="110"/>
      <c r="V25" s="498"/>
      <c r="W25" s="499"/>
      <c r="X25" s="498"/>
      <c r="Y25" s="499"/>
      <c r="Z25" s="502"/>
      <c r="AA25" s="503"/>
      <c r="AB25" s="506"/>
      <c r="AC25" s="507"/>
      <c r="AG25" s="471" t="s">
        <v>503</v>
      </c>
      <c r="AH25" s="471"/>
      <c r="AI25" s="471"/>
      <c r="AJ25" s="273" t="s">
        <v>516</v>
      </c>
      <c r="AK25" s="438" t="str">
        <f>_xlfn.IFNA(VLOOKUP(AJ25,'Элементы управления'!O:P,2,0),"")</f>
        <v>Взрывонепроницаемая лампа ВД-ЛМ, зеленая, М32х1.5, 1~230 B, Ex db IIС Gb U, IP66 / IP67</v>
      </c>
      <c r="AL25" s="438"/>
      <c r="AM25" s="438"/>
      <c r="AN25" s="438"/>
      <c r="AO25" s="438"/>
      <c r="AP25" s="438"/>
      <c r="AQ25" s="438"/>
      <c r="AR25" s="438"/>
      <c r="AS25" s="438"/>
      <c r="AT25" s="296">
        <v>1</v>
      </c>
      <c r="AU25" s="296"/>
      <c r="AX25" s="262">
        <v>21</v>
      </c>
      <c r="AY25" s="141"/>
      <c r="AZ25" s="161"/>
      <c r="BA25" s="203"/>
      <c r="BB25" s="158"/>
      <c r="BC25" s="158"/>
      <c r="BD25" s="263">
        <f t="shared" si="0"/>
        <v>0</v>
      </c>
      <c r="BO25" s="143"/>
    </row>
    <row r="26" spans="1:67" ht="15.75" customHeight="1" thickBot="1" x14ac:dyDescent="0.3">
      <c r="A26" s="641"/>
      <c r="B26" s="641"/>
      <c r="C26" s="641"/>
      <c r="D26" s="641"/>
      <c r="E26" s="641"/>
      <c r="F26" s="641"/>
      <c r="G26" s="641"/>
      <c r="I26" s="30"/>
      <c r="J26" s="35"/>
      <c r="K26" s="30"/>
      <c r="M26" s="475"/>
      <c r="N26" s="476"/>
      <c r="O26" s="475"/>
      <c r="P26" s="476"/>
      <c r="Q26" s="477" t="str">
        <f>_xlfn.IFNA(VLOOKUP(O26,[2]Вводы!I21:J142,2,0),"-")</f>
        <v>-</v>
      </c>
      <c r="R26" s="474"/>
      <c r="S26" s="508"/>
      <c r="T26" s="509"/>
      <c r="U26" s="109"/>
      <c r="V26" s="478"/>
      <c r="W26" s="479"/>
      <c r="X26" s="478"/>
      <c r="Y26" s="479"/>
      <c r="Z26" s="480" t="str">
        <f>_xlfn.IFNA(VLOOKUP(X26,Вводы!I30:J151,2,0),"-")</f>
        <v>-</v>
      </c>
      <c r="AA26" s="481"/>
      <c r="AB26" s="482"/>
      <c r="AC26" s="483"/>
      <c r="AG26" s="472" t="s">
        <v>492</v>
      </c>
      <c r="AH26" s="472"/>
      <c r="AI26" s="472"/>
      <c r="AJ26" s="132" t="s">
        <v>495</v>
      </c>
      <c r="AK26" s="439" t="str">
        <f>_xlfn.IFNA(VLOOKUP(AJ26,'Элементы управления'!O:P,2,0),"")</f>
        <v>Переключатель модульного автомата (узел управления)</v>
      </c>
      <c r="AL26" s="439"/>
      <c r="AM26" s="439"/>
      <c r="AN26" s="439"/>
      <c r="AO26" s="439"/>
      <c r="AP26" s="439"/>
      <c r="AQ26" s="439"/>
      <c r="AR26" s="439"/>
      <c r="AS26" s="439"/>
      <c r="AT26" s="247">
        <v>1</v>
      </c>
      <c r="AU26" s="247"/>
      <c r="AX26" s="262">
        <v>22</v>
      </c>
      <c r="AY26" s="141"/>
      <c r="AZ26" s="141"/>
      <c r="BA26" s="142"/>
      <c r="BB26" s="158"/>
      <c r="BC26" s="158"/>
      <c r="BD26" s="263">
        <f t="shared" si="0"/>
        <v>0</v>
      </c>
      <c r="BO26" s="143"/>
    </row>
    <row r="27" spans="1:67" ht="15" customHeight="1" x14ac:dyDescent="0.25">
      <c r="A27" s="641"/>
      <c r="B27" s="641"/>
      <c r="C27" s="641"/>
      <c r="D27" s="641"/>
      <c r="E27" s="641"/>
      <c r="F27" s="641"/>
      <c r="G27" s="641"/>
      <c r="I27" s="30"/>
      <c r="J27" s="35"/>
      <c r="K27" s="30"/>
      <c r="M27" s="484" t="s">
        <v>154</v>
      </c>
      <c r="N27" s="485"/>
      <c r="O27" s="484" t="s">
        <v>197</v>
      </c>
      <c r="P27" s="485"/>
      <c r="Q27" s="488" t="s">
        <v>393</v>
      </c>
      <c r="R27" s="489"/>
      <c r="S27" s="492" t="s">
        <v>155</v>
      </c>
      <c r="T27" s="493"/>
      <c r="U27" s="109"/>
      <c r="V27" s="496" t="s">
        <v>154</v>
      </c>
      <c r="W27" s="497"/>
      <c r="X27" s="496" t="s">
        <v>197</v>
      </c>
      <c r="Y27" s="497"/>
      <c r="Z27" s="500" t="s">
        <v>393</v>
      </c>
      <c r="AA27" s="501"/>
      <c r="AB27" s="504" t="s">
        <v>155</v>
      </c>
      <c r="AC27" s="505"/>
      <c r="AG27" s="472"/>
      <c r="AH27" s="472"/>
      <c r="AI27" s="472"/>
      <c r="AJ27" s="132"/>
      <c r="AK27" s="439"/>
      <c r="AL27" s="439"/>
      <c r="AM27" s="439"/>
      <c r="AN27" s="439"/>
      <c r="AO27" s="439"/>
      <c r="AP27" s="439"/>
      <c r="AQ27" s="439"/>
      <c r="AR27" s="439"/>
      <c r="AS27" s="439"/>
      <c r="AT27" s="247"/>
      <c r="AU27" s="247"/>
      <c r="AX27" s="262">
        <v>23</v>
      </c>
      <c r="AY27" s="141"/>
      <c r="AZ27" s="141"/>
      <c r="BA27" s="142"/>
      <c r="BB27" s="158"/>
      <c r="BC27" s="158"/>
      <c r="BD27" s="263">
        <f t="shared" si="0"/>
        <v>0</v>
      </c>
      <c r="BO27" s="143"/>
    </row>
    <row r="28" spans="1:67" ht="15" customHeight="1" thickBot="1" x14ac:dyDescent="0.3">
      <c r="A28" s="641"/>
      <c r="B28" s="641"/>
      <c r="C28" s="641"/>
      <c r="D28" s="641"/>
      <c r="E28" s="641"/>
      <c r="F28" s="641"/>
      <c r="G28" s="641"/>
      <c r="I28" s="30"/>
      <c r="J28" s="35"/>
      <c r="K28" s="30"/>
      <c r="M28" s="486"/>
      <c r="N28" s="487"/>
      <c r="O28" s="486"/>
      <c r="P28" s="487"/>
      <c r="Q28" s="490"/>
      <c r="R28" s="491"/>
      <c r="S28" s="494"/>
      <c r="T28" s="495"/>
      <c r="U28" s="109"/>
      <c r="V28" s="498"/>
      <c r="W28" s="499"/>
      <c r="X28" s="498"/>
      <c r="Y28" s="499"/>
      <c r="Z28" s="502"/>
      <c r="AA28" s="503"/>
      <c r="AB28" s="506"/>
      <c r="AC28" s="507"/>
      <c r="AG28" s="472"/>
      <c r="AH28" s="472"/>
      <c r="AI28" s="472"/>
      <c r="AJ28" s="132"/>
      <c r="AK28" s="439" t="str">
        <f>_xlfn.IFNA(VLOOKUP(AJ28,'Элементы управления'!O:P,2,0),"")</f>
        <v/>
      </c>
      <c r="AL28" s="439"/>
      <c r="AM28" s="439"/>
      <c r="AN28" s="439"/>
      <c r="AO28" s="439"/>
      <c r="AP28" s="439"/>
      <c r="AQ28" s="439"/>
      <c r="AR28" s="439"/>
      <c r="AS28" s="439"/>
      <c r="AT28" s="247"/>
      <c r="AU28" s="247"/>
      <c r="AX28" s="262">
        <v>24</v>
      </c>
      <c r="AY28" s="141"/>
      <c r="AZ28" s="141"/>
      <c r="BA28" s="142"/>
      <c r="BB28" s="158"/>
      <c r="BC28" s="158"/>
      <c r="BD28" s="263">
        <f t="shared" si="0"/>
        <v>0</v>
      </c>
      <c r="BO28" s="143"/>
    </row>
    <row r="29" spans="1:67" ht="17.25" customHeight="1" thickBot="1" x14ac:dyDescent="0.3">
      <c r="A29" s="642"/>
      <c r="B29" s="642"/>
      <c r="C29" s="642"/>
      <c r="D29" s="642"/>
      <c r="E29" s="642"/>
      <c r="F29" s="642"/>
      <c r="G29" s="642"/>
      <c r="I29" s="30"/>
      <c r="J29" s="35"/>
      <c r="K29" s="30"/>
      <c r="M29" s="475"/>
      <c r="N29" s="476"/>
      <c r="O29" s="475"/>
      <c r="P29" s="476"/>
      <c r="Q29" s="477" t="str">
        <f>_xlfn.IFNA(VLOOKUP(O29,[2]Вводы!I24:J145,2,0),"-")</f>
        <v>-</v>
      </c>
      <c r="R29" s="474"/>
      <c r="S29" s="508"/>
      <c r="T29" s="509"/>
      <c r="U29" s="109"/>
      <c r="V29" s="478"/>
      <c r="W29" s="479"/>
      <c r="X29" s="478"/>
      <c r="Y29" s="479"/>
      <c r="Z29" s="480" t="str">
        <f>_xlfn.IFNA(VLOOKUP(X29,Вводы!I30:J151,2,0),"-")</f>
        <v>-</v>
      </c>
      <c r="AA29" s="481"/>
      <c r="AB29" s="482"/>
      <c r="AC29" s="483"/>
      <c r="AG29" s="472"/>
      <c r="AH29" s="472"/>
      <c r="AI29" s="472"/>
      <c r="AJ29" s="132"/>
      <c r="AK29" s="439" t="str">
        <f>_xlfn.IFNA(VLOOKUP(AJ29,'Элементы управления'!O:P,2,0),"")</f>
        <v/>
      </c>
      <c r="AL29" s="439"/>
      <c r="AM29" s="439"/>
      <c r="AN29" s="439"/>
      <c r="AO29" s="439"/>
      <c r="AP29" s="439"/>
      <c r="AQ29" s="439"/>
      <c r="AR29" s="439"/>
      <c r="AS29" s="439"/>
      <c r="AT29" s="247"/>
      <c r="AU29" s="247"/>
      <c r="AX29" s="262">
        <v>25</v>
      </c>
      <c r="AY29" s="142"/>
      <c r="AZ29" s="141"/>
      <c r="BA29" s="142"/>
      <c r="BB29" s="158"/>
      <c r="BC29" s="158"/>
      <c r="BD29" s="263">
        <f t="shared" si="0"/>
        <v>0</v>
      </c>
      <c r="BO29" s="143"/>
    </row>
    <row r="30" spans="1:67" ht="15.75" customHeight="1" x14ac:dyDescent="0.25">
      <c r="A30" s="419" t="str">
        <f>CONCATENATE(D9,VLOOKUP(D21,'Типы изделий'!L:M,2,0),"-",D1,".",D3,".",D5,"",D7,". ",VLOOKUP(D9,'Типы изделий'!B68:C80,2,0),", ",VLOOKUP(D21,'Типы изделий'!L:N,3,0)," ","мм",", ",D11, D17,", IP",D19,", ","(",D13,"..",D15,")",", в комплектации согласно чертежа")</f>
        <v>ЩД.324226-23.2876.01. Взрывонепроницаемое устройство управления из алюминиевого сплава серии ЩД, 320x420x270 мм, 1Ex db IIB Gb T5, IP66, (-60°C..+40°C), в комплектации согласно чертежа</v>
      </c>
      <c r="B30" s="643"/>
      <c r="C30" s="643"/>
      <c r="D30" s="643"/>
      <c r="E30" s="643"/>
      <c r="F30" s="643"/>
      <c r="G30" s="420"/>
      <c r="I30" s="30"/>
      <c r="J30" s="35"/>
      <c r="K30" s="30"/>
      <c r="M30" s="484" t="s">
        <v>154</v>
      </c>
      <c r="N30" s="485"/>
      <c r="O30" s="484" t="s">
        <v>197</v>
      </c>
      <c r="P30" s="485"/>
      <c r="Q30" s="488" t="s">
        <v>393</v>
      </c>
      <c r="R30" s="489"/>
      <c r="S30" s="492" t="s">
        <v>155</v>
      </c>
      <c r="T30" s="493"/>
      <c r="U30" s="109"/>
      <c r="V30" s="496" t="s">
        <v>154</v>
      </c>
      <c r="W30" s="497"/>
      <c r="X30" s="496" t="s">
        <v>197</v>
      </c>
      <c r="Y30" s="497"/>
      <c r="Z30" s="500" t="s">
        <v>393</v>
      </c>
      <c r="AA30" s="501"/>
      <c r="AB30" s="504" t="s">
        <v>155</v>
      </c>
      <c r="AC30" s="505"/>
      <c r="AG30" s="472"/>
      <c r="AH30" s="472"/>
      <c r="AI30" s="472"/>
      <c r="AJ30" s="132"/>
      <c r="AK30" s="439" t="str">
        <f>_xlfn.IFNA(VLOOKUP(AJ30,'Элементы управления'!O:P,2,0),"")</f>
        <v/>
      </c>
      <c r="AL30" s="439"/>
      <c r="AM30" s="439"/>
      <c r="AN30" s="439"/>
      <c r="AO30" s="439"/>
      <c r="AP30" s="439"/>
      <c r="AQ30" s="439"/>
      <c r="AR30" s="439"/>
      <c r="AS30" s="439"/>
      <c r="AT30" s="247"/>
      <c r="AU30" s="247"/>
      <c r="AX30" s="262">
        <v>26</v>
      </c>
      <c r="AY30" s="141"/>
      <c r="AZ30" s="141"/>
      <c r="BA30" s="142"/>
      <c r="BB30" s="158"/>
      <c r="BC30" s="158"/>
      <c r="BD30" s="263">
        <f t="shared" si="0"/>
        <v>0</v>
      </c>
      <c r="BO30" s="143"/>
    </row>
    <row r="31" spans="1:67" ht="15.75" customHeight="1" thickBot="1" x14ac:dyDescent="0.3">
      <c r="A31" s="644"/>
      <c r="B31" s="645"/>
      <c r="C31" s="645"/>
      <c r="D31" s="645"/>
      <c r="E31" s="645"/>
      <c r="F31" s="645"/>
      <c r="G31" s="646"/>
      <c r="I31" s="30"/>
      <c r="J31" s="35"/>
      <c r="K31" s="32"/>
      <c r="L31" s="33"/>
      <c r="M31" s="486"/>
      <c r="N31" s="487"/>
      <c r="O31" s="486"/>
      <c r="P31" s="487"/>
      <c r="Q31" s="490"/>
      <c r="R31" s="491"/>
      <c r="S31" s="494"/>
      <c r="T31" s="495"/>
      <c r="U31" s="109"/>
      <c r="V31" s="498"/>
      <c r="W31" s="499"/>
      <c r="X31" s="498"/>
      <c r="Y31" s="499"/>
      <c r="Z31" s="502"/>
      <c r="AA31" s="503"/>
      <c r="AB31" s="506"/>
      <c r="AC31" s="507"/>
      <c r="AG31" s="472"/>
      <c r="AH31" s="472"/>
      <c r="AI31" s="472"/>
      <c r="AJ31" s="132"/>
      <c r="AK31" s="439" t="str">
        <f>_xlfn.IFNA(VLOOKUP(AJ31,'Элементы управления'!O:P,2,0),"")</f>
        <v/>
      </c>
      <c r="AL31" s="439"/>
      <c r="AM31" s="439"/>
      <c r="AN31" s="439"/>
      <c r="AO31" s="439"/>
      <c r="AP31" s="439"/>
      <c r="AQ31" s="439"/>
      <c r="AR31" s="439"/>
      <c r="AS31" s="439"/>
      <c r="AT31" s="247"/>
      <c r="AU31" s="247"/>
      <c r="AX31" s="262">
        <v>27</v>
      </c>
      <c r="AY31" s="141"/>
      <c r="AZ31" s="141"/>
      <c r="BA31" s="142"/>
      <c r="BB31" s="158"/>
      <c r="BC31" s="158"/>
      <c r="BD31" s="263">
        <f t="shared" si="0"/>
        <v>0</v>
      </c>
      <c r="BO31" s="143"/>
    </row>
    <row r="32" spans="1:67" ht="15.75" customHeight="1" thickBot="1" x14ac:dyDescent="0.3">
      <c r="A32" s="644"/>
      <c r="B32" s="645"/>
      <c r="C32" s="645"/>
      <c r="D32" s="645"/>
      <c r="E32" s="645"/>
      <c r="F32" s="645"/>
      <c r="G32" s="646"/>
      <c r="I32" s="30"/>
      <c r="J32" s="35"/>
      <c r="K32" s="30"/>
      <c r="M32" s="475"/>
      <c r="N32" s="476"/>
      <c r="O32" s="475"/>
      <c r="P32" s="476"/>
      <c r="Q32" s="473" t="str">
        <f>_xlfn.IFNA(VLOOKUP(O32,Вводы!I27:J148,2,0),"-")</f>
        <v>-</v>
      </c>
      <c r="R32" s="474"/>
      <c r="S32" s="508"/>
      <c r="T32" s="509"/>
      <c r="U32" s="109"/>
      <c r="V32" s="478"/>
      <c r="W32" s="479"/>
      <c r="X32" s="478"/>
      <c r="Y32" s="479"/>
      <c r="Z32" s="480" t="str">
        <f>_xlfn.IFNA(VLOOKUP(X32,Вводы!I30:J151,2,0),"-")</f>
        <v>-</v>
      </c>
      <c r="AA32" s="481"/>
      <c r="AB32" s="482"/>
      <c r="AC32" s="483"/>
      <c r="AG32" s="472"/>
      <c r="AH32" s="472"/>
      <c r="AI32" s="472"/>
      <c r="AJ32" s="132"/>
      <c r="AK32" s="439" t="str">
        <f>_xlfn.IFNA(VLOOKUP(AJ32,'Элементы управления'!O:P,2,0),"")</f>
        <v/>
      </c>
      <c r="AL32" s="439"/>
      <c r="AM32" s="439"/>
      <c r="AN32" s="439"/>
      <c r="AO32" s="439"/>
      <c r="AP32" s="439"/>
      <c r="AQ32" s="439"/>
      <c r="AR32" s="439"/>
      <c r="AS32" s="439"/>
      <c r="AT32" s="247"/>
      <c r="AU32" s="247"/>
      <c r="AX32" s="262">
        <v>28</v>
      </c>
      <c r="AY32" s="141"/>
      <c r="AZ32" s="141"/>
      <c r="BA32" s="142"/>
      <c r="BB32" s="158"/>
      <c r="BC32" s="158"/>
      <c r="BD32" s="263">
        <f t="shared" si="0"/>
        <v>0</v>
      </c>
      <c r="BO32" s="143"/>
    </row>
    <row r="33" spans="1:67" ht="15" customHeight="1" x14ac:dyDescent="0.25">
      <c r="A33" s="644"/>
      <c r="B33" s="645"/>
      <c r="C33" s="645"/>
      <c r="D33" s="645"/>
      <c r="E33" s="645"/>
      <c r="F33" s="645"/>
      <c r="G33" s="646"/>
      <c r="I33" s="30"/>
      <c r="J33" s="35"/>
      <c r="K33" s="30"/>
      <c r="M33" s="484" t="s">
        <v>154</v>
      </c>
      <c r="N33" s="485"/>
      <c r="O33" s="484" t="s">
        <v>197</v>
      </c>
      <c r="P33" s="485"/>
      <c r="Q33" s="488" t="s">
        <v>393</v>
      </c>
      <c r="R33" s="489"/>
      <c r="S33" s="492" t="s">
        <v>155</v>
      </c>
      <c r="T33" s="493"/>
      <c r="U33" s="109"/>
      <c r="V33" s="496" t="s">
        <v>154</v>
      </c>
      <c r="W33" s="497"/>
      <c r="X33" s="496" t="s">
        <v>197</v>
      </c>
      <c r="Y33" s="497"/>
      <c r="Z33" s="500" t="s">
        <v>393</v>
      </c>
      <c r="AA33" s="501"/>
      <c r="AB33" s="504" t="s">
        <v>155</v>
      </c>
      <c r="AC33" s="505"/>
      <c r="AG33" s="472"/>
      <c r="AH33" s="472"/>
      <c r="AI33" s="472"/>
      <c r="AJ33" s="132"/>
      <c r="AK33" s="439" t="str">
        <f>_xlfn.IFNA(VLOOKUP(AJ33,'Элементы управления'!O:P,2,0),"")</f>
        <v/>
      </c>
      <c r="AL33" s="439"/>
      <c r="AM33" s="439"/>
      <c r="AN33" s="439"/>
      <c r="AO33" s="439"/>
      <c r="AP33" s="439"/>
      <c r="AQ33" s="439"/>
      <c r="AR33" s="439"/>
      <c r="AS33" s="439"/>
      <c r="AT33" s="247"/>
      <c r="AU33" s="247"/>
      <c r="AX33" s="262">
        <v>29</v>
      </c>
      <c r="AY33" s="141"/>
      <c r="AZ33" s="141"/>
      <c r="BA33" s="142"/>
      <c r="BB33" s="158"/>
      <c r="BC33" s="158"/>
      <c r="BD33" s="263">
        <f t="shared" si="0"/>
        <v>0</v>
      </c>
      <c r="BO33" s="143"/>
    </row>
    <row r="34" spans="1:67" ht="15.75" customHeight="1" thickBot="1" x14ac:dyDescent="0.3">
      <c r="A34" s="644"/>
      <c r="B34" s="645"/>
      <c r="C34" s="645"/>
      <c r="D34" s="645"/>
      <c r="E34" s="645"/>
      <c r="F34" s="645"/>
      <c r="G34" s="646"/>
      <c r="I34" s="30"/>
      <c r="J34" s="35"/>
      <c r="K34" s="30"/>
      <c r="M34" s="486"/>
      <c r="N34" s="487"/>
      <c r="O34" s="486"/>
      <c r="P34" s="487"/>
      <c r="Q34" s="490"/>
      <c r="R34" s="491"/>
      <c r="S34" s="494"/>
      <c r="T34" s="495"/>
      <c r="U34" s="109"/>
      <c r="V34" s="498"/>
      <c r="W34" s="499"/>
      <c r="X34" s="498"/>
      <c r="Y34" s="499"/>
      <c r="Z34" s="502"/>
      <c r="AA34" s="503"/>
      <c r="AB34" s="506"/>
      <c r="AC34" s="507"/>
      <c r="AG34" s="472"/>
      <c r="AH34" s="472"/>
      <c r="AI34" s="472"/>
      <c r="AJ34" s="132"/>
      <c r="AK34" s="439" t="str">
        <f>_xlfn.IFNA(VLOOKUP(AJ34,'Элементы управления'!O:P,2,0),"")</f>
        <v/>
      </c>
      <c r="AL34" s="439"/>
      <c r="AM34" s="439"/>
      <c r="AN34" s="439"/>
      <c r="AO34" s="439"/>
      <c r="AP34" s="439"/>
      <c r="AQ34" s="439"/>
      <c r="AR34" s="439"/>
      <c r="AS34" s="439"/>
      <c r="AT34" s="247"/>
      <c r="AU34" s="247"/>
      <c r="AX34" s="262">
        <v>30</v>
      </c>
      <c r="AY34" s="141"/>
      <c r="AZ34" s="141"/>
      <c r="BA34" s="142"/>
      <c r="BB34" s="158"/>
      <c r="BC34" s="158"/>
      <c r="BD34" s="263">
        <f t="shared" si="0"/>
        <v>0</v>
      </c>
      <c r="BO34" s="143"/>
    </row>
    <row r="35" spans="1:67" ht="15.75" customHeight="1" thickBot="1" x14ac:dyDescent="0.3">
      <c r="A35" s="421"/>
      <c r="B35" s="647"/>
      <c r="C35" s="647"/>
      <c r="D35" s="647"/>
      <c r="E35" s="647"/>
      <c r="F35" s="647"/>
      <c r="G35" s="422"/>
      <c r="I35" s="30"/>
      <c r="J35" s="35"/>
      <c r="K35" s="30"/>
      <c r="M35" s="510"/>
      <c r="N35" s="511"/>
      <c r="O35" s="510"/>
      <c r="P35" s="511"/>
      <c r="Q35" s="512" t="str">
        <f>_xlfn.IFNA(VLOOKUP(O35,Вводы!I30:J151,2,0),"-")</f>
        <v>-</v>
      </c>
      <c r="R35" s="513"/>
      <c r="S35" s="514"/>
      <c r="T35" s="515"/>
      <c r="U35" s="257"/>
      <c r="V35" s="516"/>
      <c r="W35" s="517"/>
      <c r="X35" s="516"/>
      <c r="Y35" s="517"/>
      <c r="Z35" s="518"/>
      <c r="AA35" s="519"/>
      <c r="AB35" s="530"/>
      <c r="AC35" s="531"/>
      <c r="AG35" s="472"/>
      <c r="AH35" s="472"/>
      <c r="AI35" s="472"/>
      <c r="AJ35" s="132"/>
      <c r="AK35" s="439" t="str">
        <f>_xlfn.IFNA(VLOOKUP(AJ35,'Элементы управления'!O:P,2,0),"")</f>
        <v/>
      </c>
      <c r="AL35" s="439"/>
      <c r="AM35" s="439"/>
      <c r="AN35" s="439"/>
      <c r="AO35" s="439"/>
      <c r="AP35" s="439"/>
      <c r="AQ35" s="439"/>
      <c r="AR35" s="439"/>
      <c r="AS35" s="439"/>
      <c r="AT35" s="247"/>
      <c r="AU35" s="247"/>
      <c r="AX35" s="262">
        <v>31</v>
      </c>
      <c r="AY35" s="141"/>
      <c r="AZ35" s="141"/>
      <c r="BA35" s="142"/>
      <c r="BB35" s="158"/>
      <c r="BC35" s="158"/>
      <c r="BD35" s="263">
        <f t="shared" si="0"/>
        <v>0</v>
      </c>
      <c r="BO35" s="143"/>
    </row>
    <row r="36" spans="1:67" ht="15.75" customHeight="1" x14ac:dyDescent="0.25">
      <c r="J36" s="35"/>
      <c r="K36" s="30"/>
      <c r="AX36" s="262">
        <v>32</v>
      </c>
      <c r="AY36" s="141"/>
      <c r="AZ36" s="141"/>
      <c r="BA36" s="142"/>
      <c r="BB36" s="158"/>
      <c r="BC36" s="158"/>
      <c r="BD36" s="263">
        <f t="shared" si="0"/>
        <v>0</v>
      </c>
    </row>
    <row r="37" spans="1:67" ht="15" customHeight="1" x14ac:dyDescent="0.25">
      <c r="J37" s="35"/>
      <c r="K37" s="30"/>
      <c r="AX37" s="262">
        <v>33</v>
      </c>
      <c r="AY37" s="141"/>
      <c r="AZ37" s="141"/>
      <c r="BA37" s="142"/>
      <c r="BB37" s="158"/>
      <c r="BC37" s="158"/>
      <c r="BD37" s="263">
        <f t="shared" ref="BD37:BD68" si="2">BA37*BB37</f>
        <v>0</v>
      </c>
    </row>
    <row r="38" spans="1:67" ht="15.75" customHeight="1" x14ac:dyDescent="0.25">
      <c r="AX38" s="262">
        <v>34</v>
      </c>
      <c r="AY38" s="141"/>
      <c r="AZ38" s="161"/>
      <c r="BA38" s="142"/>
      <c r="BB38" s="158"/>
      <c r="BC38" s="158"/>
      <c r="BD38" s="263">
        <f t="shared" si="2"/>
        <v>0</v>
      </c>
    </row>
    <row r="39" spans="1:67" ht="15.75" customHeight="1" x14ac:dyDescent="0.25">
      <c r="AX39" s="262">
        <v>35</v>
      </c>
      <c r="AY39" s="141"/>
      <c r="AZ39" s="141"/>
      <c r="BA39" s="142"/>
      <c r="BB39" s="158"/>
      <c r="BC39" s="158"/>
      <c r="BD39" s="263">
        <f t="shared" si="2"/>
        <v>0</v>
      </c>
    </row>
    <row r="40" spans="1:67" ht="15" customHeight="1" x14ac:dyDescent="0.25">
      <c r="AX40" s="262">
        <v>36</v>
      </c>
      <c r="AY40" s="141"/>
      <c r="AZ40" s="141"/>
      <c r="BA40" s="142"/>
      <c r="BB40" s="158"/>
      <c r="BC40" s="158"/>
      <c r="BD40" s="263">
        <f t="shared" si="2"/>
        <v>0</v>
      </c>
    </row>
    <row r="41" spans="1:67" ht="15.75" customHeight="1" x14ac:dyDescent="0.25">
      <c r="AX41" s="262">
        <v>37</v>
      </c>
      <c r="AY41" s="141"/>
      <c r="AZ41" s="141"/>
      <c r="BA41" s="142"/>
      <c r="BB41" s="158"/>
      <c r="BC41" s="158"/>
      <c r="BD41" s="263">
        <f t="shared" si="2"/>
        <v>0</v>
      </c>
    </row>
    <row r="42" spans="1:67" ht="15" customHeight="1" x14ac:dyDescent="0.25">
      <c r="AX42" s="262">
        <v>38</v>
      </c>
      <c r="AY42" s="141"/>
      <c r="AZ42" s="141"/>
      <c r="BA42" s="142"/>
      <c r="BB42" s="158"/>
      <c r="BC42" s="158"/>
      <c r="BD42" s="263">
        <f t="shared" si="2"/>
        <v>0</v>
      </c>
    </row>
    <row r="43" spans="1:67" ht="15.75" customHeight="1" x14ac:dyDescent="0.25">
      <c r="AX43" s="262">
        <v>39</v>
      </c>
      <c r="AY43" s="141"/>
      <c r="AZ43" s="141"/>
      <c r="BA43" s="142"/>
      <c r="BB43" s="158"/>
      <c r="BC43" s="158"/>
      <c r="BD43" s="263">
        <f t="shared" si="2"/>
        <v>0</v>
      </c>
    </row>
    <row r="44" spans="1:67" ht="15.75" customHeight="1" x14ac:dyDescent="0.25">
      <c r="AX44" s="262">
        <v>40</v>
      </c>
      <c r="AY44" s="141"/>
      <c r="AZ44" s="161"/>
      <c r="BA44" s="142"/>
      <c r="BB44" s="158"/>
      <c r="BC44" s="158"/>
      <c r="BD44" s="263">
        <f t="shared" si="2"/>
        <v>0</v>
      </c>
    </row>
    <row r="45" spans="1:67" ht="15" customHeight="1" x14ac:dyDescent="0.25">
      <c r="AX45" s="262">
        <v>41</v>
      </c>
      <c r="AY45" s="141"/>
      <c r="AZ45" s="141"/>
      <c r="BA45" s="142"/>
      <c r="BB45" s="158"/>
      <c r="BC45" s="158"/>
      <c r="BD45" s="263">
        <f t="shared" si="2"/>
        <v>0</v>
      </c>
    </row>
    <row r="46" spans="1:67" ht="15.75" customHeight="1" x14ac:dyDescent="0.25">
      <c r="AX46" s="262">
        <v>42</v>
      </c>
      <c r="AY46" s="141"/>
      <c r="AZ46" s="141"/>
      <c r="BA46" s="142"/>
      <c r="BB46" s="158"/>
      <c r="BC46" s="158"/>
      <c r="BD46" s="263">
        <f t="shared" si="2"/>
        <v>0</v>
      </c>
    </row>
    <row r="47" spans="1:67" ht="15.75" x14ac:dyDescent="0.25">
      <c r="AX47" s="262">
        <v>43</v>
      </c>
      <c r="AY47" s="141"/>
      <c r="AZ47" s="141"/>
      <c r="BA47" s="142"/>
      <c r="BB47" s="158"/>
      <c r="BC47" s="158"/>
      <c r="BD47" s="263">
        <f t="shared" si="2"/>
        <v>0</v>
      </c>
    </row>
    <row r="48" spans="1:67" ht="15.75" x14ac:dyDescent="0.25">
      <c r="AX48" s="262">
        <v>44</v>
      </c>
      <c r="AY48" s="141"/>
      <c r="AZ48" s="141"/>
      <c r="BA48" s="142"/>
      <c r="BB48" s="158"/>
      <c r="BC48" s="158"/>
      <c r="BD48" s="263">
        <f t="shared" si="2"/>
        <v>0</v>
      </c>
    </row>
    <row r="49" spans="50:56" ht="15.75" x14ac:dyDescent="0.25">
      <c r="AX49" s="262">
        <v>45</v>
      </c>
      <c r="AY49" s="141"/>
      <c r="AZ49" s="141"/>
      <c r="BA49" s="142"/>
      <c r="BB49" s="158"/>
      <c r="BC49" s="158"/>
      <c r="BD49" s="263">
        <f t="shared" si="2"/>
        <v>0</v>
      </c>
    </row>
    <row r="50" spans="50:56" ht="15.75" x14ac:dyDescent="0.25">
      <c r="AX50" s="262">
        <v>46</v>
      </c>
      <c r="AY50" s="141"/>
      <c r="AZ50" s="141"/>
      <c r="BA50" s="142"/>
      <c r="BB50" s="158"/>
      <c r="BC50" s="158"/>
      <c r="BD50" s="263">
        <f t="shared" si="2"/>
        <v>0</v>
      </c>
    </row>
    <row r="51" spans="50:56" ht="15.75" x14ac:dyDescent="0.25">
      <c r="AX51" s="262">
        <v>47</v>
      </c>
      <c r="AY51" s="141"/>
      <c r="AZ51" s="141"/>
      <c r="BA51" s="142"/>
      <c r="BB51" s="158"/>
      <c r="BC51" s="158"/>
      <c r="BD51" s="263">
        <f t="shared" si="2"/>
        <v>0</v>
      </c>
    </row>
    <row r="52" spans="50:56" ht="15.75" x14ac:dyDescent="0.25">
      <c r="AX52" s="262">
        <v>48</v>
      </c>
      <c r="AY52" s="141"/>
      <c r="AZ52" s="141"/>
      <c r="BA52" s="142"/>
      <c r="BB52" s="158"/>
      <c r="BC52" s="158"/>
      <c r="BD52" s="263">
        <f t="shared" si="2"/>
        <v>0</v>
      </c>
    </row>
    <row r="53" spans="50:56" ht="15.75" x14ac:dyDescent="0.25">
      <c r="AX53" s="262">
        <v>49</v>
      </c>
      <c r="AY53" s="141"/>
      <c r="AZ53" s="141"/>
      <c r="BA53" s="142"/>
      <c r="BB53" s="158"/>
      <c r="BC53" s="158"/>
      <c r="BD53" s="263">
        <f t="shared" si="2"/>
        <v>0</v>
      </c>
    </row>
    <row r="54" spans="50:56" ht="13.5" customHeight="1" x14ac:dyDescent="0.25">
      <c r="AX54" s="262">
        <v>50</v>
      </c>
      <c r="AY54" s="141"/>
      <c r="AZ54" s="141"/>
      <c r="BA54" s="142"/>
      <c r="BB54" s="158"/>
      <c r="BC54" s="158"/>
      <c r="BD54" s="263">
        <f t="shared" si="2"/>
        <v>0</v>
      </c>
    </row>
    <row r="55" spans="50:56" ht="15.75" x14ac:dyDescent="0.25">
      <c r="AX55" s="262">
        <v>51</v>
      </c>
      <c r="AY55" s="141"/>
      <c r="AZ55" s="141"/>
      <c r="BA55" s="142"/>
      <c r="BB55" s="158"/>
      <c r="BC55" s="158"/>
      <c r="BD55" s="263">
        <f t="shared" si="2"/>
        <v>0</v>
      </c>
    </row>
    <row r="56" spans="50:56" ht="15.75" x14ac:dyDescent="0.25">
      <c r="AX56" s="262">
        <v>52</v>
      </c>
      <c r="AY56" s="141"/>
      <c r="AZ56" s="141"/>
      <c r="BA56" s="142"/>
      <c r="BB56" s="158"/>
      <c r="BC56" s="158"/>
      <c r="BD56" s="263">
        <f t="shared" si="2"/>
        <v>0</v>
      </c>
    </row>
    <row r="57" spans="50:56" ht="15.75" x14ac:dyDescent="0.25">
      <c r="AX57" s="262">
        <v>53</v>
      </c>
      <c r="AY57" s="141"/>
      <c r="AZ57" s="141"/>
      <c r="BA57" s="142"/>
      <c r="BB57" s="158"/>
      <c r="BC57" s="158"/>
      <c r="BD57" s="263">
        <f t="shared" si="2"/>
        <v>0</v>
      </c>
    </row>
    <row r="58" spans="50:56" ht="15.75" x14ac:dyDescent="0.25">
      <c r="AX58" s="262">
        <v>54</v>
      </c>
      <c r="AY58" s="141"/>
      <c r="AZ58" s="141"/>
      <c r="BA58" s="142"/>
      <c r="BB58" s="158"/>
      <c r="BC58" s="158"/>
      <c r="BD58" s="263">
        <f t="shared" si="2"/>
        <v>0</v>
      </c>
    </row>
    <row r="59" spans="50:56" ht="15.75" x14ac:dyDescent="0.25">
      <c r="AX59" s="262">
        <v>55</v>
      </c>
      <c r="AY59" s="141"/>
      <c r="AZ59" s="161"/>
      <c r="BA59" s="142"/>
      <c r="BB59" s="158"/>
      <c r="BC59" s="158"/>
      <c r="BD59" s="263">
        <f t="shared" si="2"/>
        <v>0</v>
      </c>
    </row>
    <row r="60" spans="50:56" ht="15.75" x14ac:dyDescent="0.25">
      <c r="AX60" s="262">
        <v>56</v>
      </c>
      <c r="AY60" s="141"/>
      <c r="AZ60" s="161"/>
      <c r="BA60" s="142"/>
      <c r="BB60" s="158"/>
      <c r="BC60" s="158"/>
      <c r="BD60" s="263">
        <f t="shared" si="2"/>
        <v>0</v>
      </c>
    </row>
    <row r="61" spans="50:56" ht="28.5" customHeight="1" x14ac:dyDescent="0.25">
      <c r="AX61" s="262">
        <v>57</v>
      </c>
      <c r="AY61" s="141"/>
      <c r="AZ61" s="141"/>
      <c r="BA61" s="142"/>
      <c r="BB61" s="158"/>
      <c r="BC61" s="158"/>
      <c r="BD61" s="263">
        <f t="shared" si="2"/>
        <v>0</v>
      </c>
    </row>
    <row r="62" spans="50:56" ht="15.75" x14ac:dyDescent="0.25">
      <c r="AX62" s="262">
        <v>58</v>
      </c>
      <c r="AY62" s="141"/>
      <c r="AZ62" s="141"/>
      <c r="BA62" s="142"/>
      <c r="BB62" s="158"/>
      <c r="BC62" s="158"/>
      <c r="BD62" s="263">
        <f t="shared" si="2"/>
        <v>0</v>
      </c>
    </row>
    <row r="63" spans="50:56" ht="15.75" x14ac:dyDescent="0.25">
      <c r="AX63" s="262">
        <v>59</v>
      </c>
      <c r="AY63" s="141"/>
      <c r="AZ63" s="141"/>
      <c r="BA63" s="142"/>
      <c r="BB63" s="158"/>
      <c r="BC63" s="158"/>
      <c r="BD63" s="263">
        <f t="shared" si="2"/>
        <v>0</v>
      </c>
    </row>
    <row r="64" spans="50:56" ht="15.75" x14ac:dyDescent="0.25">
      <c r="AX64" s="262">
        <v>60</v>
      </c>
      <c r="AY64" s="141"/>
      <c r="AZ64" s="141"/>
      <c r="BA64" s="142"/>
      <c r="BB64" s="158"/>
      <c r="BC64" s="158"/>
      <c r="BD64" s="263">
        <f t="shared" si="2"/>
        <v>0</v>
      </c>
    </row>
    <row r="65" spans="1:56" ht="15.75" x14ac:dyDescent="0.25">
      <c r="A65" s="28"/>
      <c r="AX65" s="262">
        <v>61</v>
      </c>
      <c r="AY65" s="141"/>
      <c r="AZ65" s="141"/>
      <c r="BA65" s="142"/>
      <c r="BB65" s="158"/>
      <c r="BC65" s="158"/>
      <c r="BD65" s="263">
        <f t="shared" si="2"/>
        <v>0</v>
      </c>
    </row>
    <row r="66" spans="1:56" ht="15.75" x14ac:dyDescent="0.25">
      <c r="A66" s="28"/>
      <c r="AX66" s="262">
        <v>62</v>
      </c>
      <c r="AY66" s="141"/>
      <c r="AZ66" s="141"/>
      <c r="BA66" s="142"/>
      <c r="BB66" s="158"/>
      <c r="BC66" s="158"/>
      <c r="BD66" s="263">
        <f t="shared" si="2"/>
        <v>0</v>
      </c>
    </row>
    <row r="67" spans="1:56" ht="15.75" x14ac:dyDescent="0.25">
      <c r="A67" s="28"/>
      <c r="AX67" s="262">
        <v>63</v>
      </c>
      <c r="AY67" s="141"/>
      <c r="AZ67" s="141"/>
      <c r="BA67" s="142"/>
      <c r="BB67" s="158"/>
      <c r="BC67" s="158"/>
      <c r="BD67" s="263">
        <f t="shared" si="2"/>
        <v>0</v>
      </c>
    </row>
    <row r="68" spans="1:56" ht="15.75" x14ac:dyDescent="0.25">
      <c r="A68" s="28"/>
      <c r="AX68" s="262">
        <v>64</v>
      </c>
      <c r="AY68" s="141"/>
      <c r="AZ68" s="141"/>
      <c r="BA68" s="142"/>
      <c r="BB68" s="158"/>
      <c r="BC68" s="158"/>
      <c r="BD68" s="263">
        <f t="shared" si="2"/>
        <v>0</v>
      </c>
    </row>
    <row r="69" spans="1:56" ht="15.75" x14ac:dyDescent="0.25">
      <c r="A69" s="28"/>
      <c r="AX69" s="262">
        <v>65</v>
      </c>
      <c r="AY69" s="141"/>
      <c r="AZ69" s="141"/>
      <c r="BA69" s="142"/>
      <c r="BB69" s="158"/>
      <c r="BC69" s="158"/>
      <c r="BD69" s="263">
        <f t="shared" ref="BD69:BD77" si="3">BA69*BB69</f>
        <v>0</v>
      </c>
    </row>
    <row r="70" spans="1:56" ht="15.75" x14ac:dyDescent="0.25">
      <c r="A70" s="28"/>
      <c r="AX70" s="262">
        <v>66</v>
      </c>
      <c r="AY70" s="141"/>
      <c r="AZ70" s="141"/>
      <c r="BA70" s="142"/>
      <c r="BB70" s="158"/>
      <c r="BC70" s="158"/>
      <c r="BD70" s="263">
        <f t="shared" si="3"/>
        <v>0</v>
      </c>
    </row>
    <row r="71" spans="1:56" ht="15.75" x14ac:dyDescent="0.25">
      <c r="AX71" s="262">
        <v>67</v>
      </c>
      <c r="AY71" s="141"/>
      <c r="AZ71" s="141"/>
      <c r="BA71" s="142"/>
      <c r="BB71" s="158"/>
      <c r="BC71" s="158"/>
      <c r="BD71" s="263">
        <f t="shared" si="3"/>
        <v>0</v>
      </c>
    </row>
    <row r="72" spans="1:56" ht="15.75" x14ac:dyDescent="0.25">
      <c r="AX72" s="262">
        <v>68</v>
      </c>
      <c r="AY72" s="141"/>
      <c r="AZ72" s="141"/>
      <c r="BA72" s="142"/>
      <c r="BB72" s="158"/>
      <c r="BC72" s="158"/>
      <c r="BD72" s="263">
        <f t="shared" si="3"/>
        <v>0</v>
      </c>
    </row>
    <row r="73" spans="1:56" ht="15.75" x14ac:dyDescent="0.25">
      <c r="AX73" s="262">
        <v>69</v>
      </c>
      <c r="AY73" s="141"/>
      <c r="AZ73" s="141"/>
      <c r="BA73" s="142"/>
      <c r="BB73" s="158"/>
      <c r="BC73" s="158"/>
      <c r="BD73" s="263">
        <f t="shared" si="3"/>
        <v>0</v>
      </c>
    </row>
    <row r="74" spans="1:56" ht="15.75" x14ac:dyDescent="0.25">
      <c r="AX74" s="262">
        <v>70</v>
      </c>
      <c r="AY74" s="141"/>
      <c r="AZ74" s="141"/>
      <c r="BA74" s="142"/>
      <c r="BB74" s="158"/>
      <c r="BC74" s="158"/>
      <c r="BD74" s="263">
        <f t="shared" si="3"/>
        <v>0</v>
      </c>
    </row>
    <row r="75" spans="1:56" ht="15.75" x14ac:dyDescent="0.25">
      <c r="AX75" s="262">
        <v>71</v>
      </c>
      <c r="AY75" s="141"/>
      <c r="AZ75" s="141"/>
      <c r="BA75" s="142"/>
      <c r="BB75" s="158"/>
      <c r="BC75" s="158"/>
      <c r="BD75" s="263">
        <f t="shared" si="3"/>
        <v>0</v>
      </c>
    </row>
    <row r="76" spans="1:56" ht="15.75" x14ac:dyDescent="0.25">
      <c r="AX76" s="262">
        <v>72</v>
      </c>
      <c r="AY76" s="141"/>
      <c r="AZ76" s="141"/>
      <c r="BA76" s="142"/>
      <c r="BB76" s="158"/>
      <c r="BC76" s="158"/>
      <c r="BD76" s="263">
        <f t="shared" si="3"/>
        <v>0</v>
      </c>
    </row>
    <row r="77" spans="1:56" ht="15.75" x14ac:dyDescent="0.25">
      <c r="AX77" s="264">
        <v>73</v>
      </c>
      <c r="AY77" s="265"/>
      <c r="AZ77" s="265"/>
      <c r="BA77" s="266"/>
      <c r="BB77" s="267"/>
      <c r="BC77" s="267"/>
      <c r="BD77" s="268">
        <f t="shared" si="3"/>
        <v>0</v>
      </c>
    </row>
  </sheetData>
  <sheetProtection selectLockedCells="1"/>
  <mergeCells count="265">
    <mergeCell ref="M5:N5"/>
    <mergeCell ref="O5:P5"/>
    <mergeCell ref="O6:P7"/>
    <mergeCell ref="Q6:R7"/>
    <mergeCell ref="Q5:R5"/>
    <mergeCell ref="O23:P23"/>
    <mergeCell ref="AB8:AC8"/>
    <mergeCell ref="V3:W4"/>
    <mergeCell ref="X3:Y4"/>
    <mergeCell ref="Z3:AA4"/>
    <mergeCell ref="AB3:AC4"/>
    <mergeCell ref="V6:W7"/>
    <mergeCell ref="X6:Y7"/>
    <mergeCell ref="Z6:AA7"/>
    <mergeCell ref="AB6:AC7"/>
    <mergeCell ref="V12:W13"/>
    <mergeCell ref="X12:Y13"/>
    <mergeCell ref="Z12:AA13"/>
    <mergeCell ref="AB23:AC23"/>
    <mergeCell ref="V21:W22"/>
    <mergeCell ref="X21:Y22"/>
    <mergeCell ref="Z21:AA22"/>
    <mergeCell ref="AB21:AC22"/>
    <mergeCell ref="A25:G29"/>
    <mergeCell ref="U19:U20"/>
    <mergeCell ref="A30:G35"/>
    <mergeCell ref="D5:G6"/>
    <mergeCell ref="M3:N4"/>
    <mergeCell ref="O3:P4"/>
    <mergeCell ref="Q3:R4"/>
    <mergeCell ref="S3:T4"/>
    <mergeCell ref="M12:N13"/>
    <mergeCell ref="M6:N7"/>
    <mergeCell ref="O12:P13"/>
    <mergeCell ref="Q12:R13"/>
    <mergeCell ref="S12:T13"/>
    <mergeCell ref="A17:C18"/>
    <mergeCell ref="A13:C14"/>
    <mergeCell ref="D13:G14"/>
    <mergeCell ref="A15:C16"/>
    <mergeCell ref="D15:G16"/>
    <mergeCell ref="D17:G18"/>
    <mergeCell ref="A19:C20"/>
    <mergeCell ref="A21:C22"/>
    <mergeCell ref="D21:G22"/>
    <mergeCell ref="M21:N22"/>
    <mergeCell ref="O21:P22"/>
    <mergeCell ref="A9:C10"/>
    <mergeCell ref="D9:G10"/>
    <mergeCell ref="A11:C12"/>
    <mergeCell ref="M1:T2"/>
    <mergeCell ref="M19:T20"/>
    <mergeCell ref="AB12:AC13"/>
    <mergeCell ref="AB5:AC5"/>
    <mergeCell ref="V11:W11"/>
    <mergeCell ref="X11:Y11"/>
    <mergeCell ref="Z11:AA11"/>
    <mergeCell ref="AB11:AC11"/>
    <mergeCell ref="V5:W5"/>
    <mergeCell ref="X5:Y5"/>
    <mergeCell ref="Z5:AA5"/>
    <mergeCell ref="V9:W10"/>
    <mergeCell ref="Z9:AA10"/>
    <mergeCell ref="AB9:AC10"/>
    <mergeCell ref="Z8:AA8"/>
    <mergeCell ref="X9:Y10"/>
    <mergeCell ref="V8:W8"/>
    <mergeCell ref="X8:Y8"/>
    <mergeCell ref="V1:AC2"/>
    <mergeCell ref="U1:U2"/>
    <mergeCell ref="A1:C2"/>
    <mergeCell ref="D1:G2"/>
    <mergeCell ref="D11:G12"/>
    <mergeCell ref="D19:G20"/>
    <mergeCell ref="A23:C24"/>
    <mergeCell ref="D23:G24"/>
    <mergeCell ref="Q21:R22"/>
    <mergeCell ref="S21:T22"/>
    <mergeCell ref="Q15:R16"/>
    <mergeCell ref="S15:T16"/>
    <mergeCell ref="M24:N25"/>
    <mergeCell ref="O24:P25"/>
    <mergeCell ref="Q24:R25"/>
    <mergeCell ref="S24:T25"/>
    <mergeCell ref="A3:C4"/>
    <mergeCell ref="D3:G4"/>
    <mergeCell ref="A5:C6"/>
    <mergeCell ref="A7:C8"/>
    <mergeCell ref="D7:G8"/>
    <mergeCell ref="S5:T5"/>
    <mergeCell ref="M8:N8"/>
    <mergeCell ref="O8:P8"/>
    <mergeCell ref="Q8:R8"/>
    <mergeCell ref="S8:T8"/>
    <mergeCell ref="M11:N11"/>
    <mergeCell ref="O11:P11"/>
    <mergeCell ref="Q11:R11"/>
    <mergeCell ref="S11:T11"/>
    <mergeCell ref="S6:T7"/>
    <mergeCell ref="M9:N10"/>
    <mergeCell ref="O9:P10"/>
    <mergeCell ref="Q9:R10"/>
    <mergeCell ref="S9:T10"/>
    <mergeCell ref="M14:N14"/>
    <mergeCell ref="O14:P14"/>
    <mergeCell ref="AB33:AC34"/>
    <mergeCell ref="M27:N28"/>
    <mergeCell ref="O27:P28"/>
    <mergeCell ref="Q27:R28"/>
    <mergeCell ref="S27:T28"/>
    <mergeCell ref="X29:Y29"/>
    <mergeCell ref="Z29:AA29"/>
    <mergeCell ref="V26:W26"/>
    <mergeCell ref="X26:Y26"/>
    <mergeCell ref="Z26:AA26"/>
    <mergeCell ref="V30:W31"/>
    <mergeCell ref="X30:Y31"/>
    <mergeCell ref="Z30:AA31"/>
    <mergeCell ref="AB30:AC31"/>
    <mergeCell ref="V29:W29"/>
    <mergeCell ref="M29:N29"/>
    <mergeCell ref="O29:P29"/>
    <mergeCell ref="Q29:R29"/>
    <mergeCell ref="S29:T29"/>
    <mergeCell ref="S26:T26"/>
    <mergeCell ref="M23:N23"/>
    <mergeCell ref="AB26:AC26"/>
    <mergeCell ref="AB15:AC16"/>
    <mergeCell ref="V19:AC20"/>
    <mergeCell ref="AB29:AC29"/>
    <mergeCell ref="AB35:AC35"/>
    <mergeCell ref="AP12:AU12"/>
    <mergeCell ref="AR13:AU13"/>
    <mergeCell ref="AR14:AU14"/>
    <mergeCell ref="AR15:AU15"/>
    <mergeCell ref="V17:W17"/>
    <mergeCell ref="X17:Y17"/>
    <mergeCell ref="Z17:AA17"/>
    <mergeCell ref="AB17:AC17"/>
    <mergeCell ref="AB14:AC14"/>
    <mergeCell ref="AG12:AL12"/>
    <mergeCell ref="AI13:AL13"/>
    <mergeCell ref="AI14:AL14"/>
    <mergeCell ref="AI15:AL15"/>
    <mergeCell ref="AG16:AU20"/>
    <mergeCell ref="AM12:AO15"/>
    <mergeCell ref="V33:W34"/>
    <mergeCell ref="X33:Y34"/>
    <mergeCell ref="Z33:AA34"/>
    <mergeCell ref="M35:N35"/>
    <mergeCell ref="O35:P35"/>
    <mergeCell ref="Q35:R35"/>
    <mergeCell ref="S35:T35"/>
    <mergeCell ref="V35:W35"/>
    <mergeCell ref="X35:Y35"/>
    <mergeCell ref="Z35:AA35"/>
    <mergeCell ref="M30:N31"/>
    <mergeCell ref="O30:P31"/>
    <mergeCell ref="Q30:R31"/>
    <mergeCell ref="S30:T31"/>
    <mergeCell ref="M32:N32"/>
    <mergeCell ref="O32:P32"/>
    <mergeCell ref="Q32:R32"/>
    <mergeCell ref="S32:T32"/>
    <mergeCell ref="Q23:R23"/>
    <mergeCell ref="M26:N26"/>
    <mergeCell ref="O26:P26"/>
    <mergeCell ref="Q26:R26"/>
    <mergeCell ref="V32:W32"/>
    <mergeCell ref="X32:Y32"/>
    <mergeCell ref="Z32:AA32"/>
    <mergeCell ref="AB32:AC32"/>
    <mergeCell ref="M33:N34"/>
    <mergeCell ref="O33:P34"/>
    <mergeCell ref="Q33:R34"/>
    <mergeCell ref="S33:T34"/>
    <mergeCell ref="V27:W28"/>
    <mergeCell ref="X27:Y28"/>
    <mergeCell ref="Z27:AA28"/>
    <mergeCell ref="AB27:AC28"/>
    <mergeCell ref="V24:W25"/>
    <mergeCell ref="X24:Y25"/>
    <mergeCell ref="Z24:AA25"/>
    <mergeCell ref="AB24:AC25"/>
    <mergeCell ref="S23:T23"/>
    <mergeCell ref="V23:W23"/>
    <mergeCell ref="X23:Y23"/>
    <mergeCell ref="Z23:AA23"/>
    <mergeCell ref="AK31:AS31"/>
    <mergeCell ref="AK32:AS32"/>
    <mergeCell ref="AK33:AS33"/>
    <mergeCell ref="AK34:AS34"/>
    <mergeCell ref="AK35:AS35"/>
    <mergeCell ref="AG25:AI25"/>
    <mergeCell ref="AG26:AI26"/>
    <mergeCell ref="AG27:AI27"/>
    <mergeCell ref="AG28:AI28"/>
    <mergeCell ref="AG29:AI29"/>
    <mergeCell ref="AG30:AI30"/>
    <mergeCell ref="AG31:AI31"/>
    <mergeCell ref="AK29:AS29"/>
    <mergeCell ref="AK30:AS30"/>
    <mergeCell ref="AG32:AI32"/>
    <mergeCell ref="AG33:AI33"/>
    <mergeCell ref="AG34:AI34"/>
    <mergeCell ref="AG35:AI35"/>
    <mergeCell ref="AP2:AQ2"/>
    <mergeCell ref="AI6:AJ6"/>
    <mergeCell ref="AK6:AL6"/>
    <mergeCell ref="AI7:AJ7"/>
    <mergeCell ref="AK7:AL7"/>
    <mergeCell ref="AI8:AJ8"/>
    <mergeCell ref="AK8:AL8"/>
    <mergeCell ref="AN2:AO2"/>
    <mergeCell ref="AI2:AJ3"/>
    <mergeCell ref="AK2:AL3"/>
    <mergeCell ref="AM2:AM3"/>
    <mergeCell ref="AW1:BD2"/>
    <mergeCell ref="BG1:BN2"/>
    <mergeCell ref="AT2:AU2"/>
    <mergeCell ref="AG1:AU1"/>
    <mergeCell ref="AK24:AS24"/>
    <mergeCell ref="AK25:AS25"/>
    <mergeCell ref="AK26:AS26"/>
    <mergeCell ref="AK27:AS27"/>
    <mergeCell ref="AK28:AS28"/>
    <mergeCell ref="AR2:AS2"/>
    <mergeCell ref="AG21:AU21"/>
    <mergeCell ref="AI4:AJ4"/>
    <mergeCell ref="AK4:AL4"/>
    <mergeCell ref="AG24:AI24"/>
    <mergeCell ref="AI9:AJ9"/>
    <mergeCell ref="AK9:AL9"/>
    <mergeCell ref="AI10:AJ10"/>
    <mergeCell ref="AK10:AL10"/>
    <mergeCell ref="AH2:AH3"/>
    <mergeCell ref="AG2:AG3"/>
    <mergeCell ref="AI5:AJ5"/>
    <mergeCell ref="AK5:AL5"/>
    <mergeCell ref="AG22:AU23"/>
    <mergeCell ref="AG11:AU11"/>
    <mergeCell ref="M18:T18"/>
    <mergeCell ref="V18:AC18"/>
    <mergeCell ref="BG3:BN4"/>
    <mergeCell ref="BG5:BN9"/>
    <mergeCell ref="BJ11:BK12"/>
    <mergeCell ref="BJ13:BK14"/>
    <mergeCell ref="BG11:BH12"/>
    <mergeCell ref="BG13:BH14"/>
    <mergeCell ref="BM11:BN12"/>
    <mergeCell ref="BM13:BN14"/>
    <mergeCell ref="Q14:R14"/>
    <mergeCell ref="S14:T14"/>
    <mergeCell ref="M17:N17"/>
    <mergeCell ref="O17:P17"/>
    <mergeCell ref="Q17:R17"/>
    <mergeCell ref="S17:T17"/>
    <mergeCell ref="V14:W14"/>
    <mergeCell ref="X14:Y14"/>
    <mergeCell ref="Z14:AA14"/>
    <mergeCell ref="M15:N16"/>
    <mergeCell ref="O15:P16"/>
    <mergeCell ref="V15:W16"/>
    <mergeCell ref="X15:Y16"/>
    <mergeCell ref="Z15:AA16"/>
  </mergeCells>
  <conditionalFormatting sqref="D1:G12 D17:G24">
    <cfRule type="notContainsBlanks" dxfId="218" priority="122">
      <formula>LEN(TRIM(D1))&gt;0</formula>
    </cfRule>
  </conditionalFormatting>
  <conditionalFormatting sqref="D13">
    <cfRule type="notContainsBlanks" dxfId="217" priority="123">
      <formula>LEN(TRIM(D13))&gt;0</formula>
    </cfRule>
  </conditionalFormatting>
  <conditionalFormatting sqref="D15">
    <cfRule type="notContainsBlanks" dxfId="216" priority="119">
      <formula>LEN(TRIM(D15))&gt;0</formula>
    </cfRule>
  </conditionalFormatting>
  <conditionalFormatting sqref="A30:G35">
    <cfRule type="containsErrors" dxfId="215" priority="116">
      <formula>ISERROR(A30)</formula>
    </cfRule>
    <cfRule type="notContainsErrors" dxfId="214" priority="124">
      <formula>NOT(ISERROR(A30))</formula>
    </cfRule>
  </conditionalFormatting>
  <conditionalFormatting sqref="AV16 AV30:AW35 AW29 A25 V20:AF20 V2:AF2 A42:A61 AC42:AJ61 A63:A1048576 AC86:AJ97 AK38:AQ38 T62:AJ85 AK39:AK97 T43:AB100 AQ39:AQ97 AC98:AK135 BD24:BE35 AP2:AP10 BF27:BL1048576 AY3:BF3 BH10:XFD10 AY4:BE4 BG13 AX78:BD79 AZ80:BD127 AC136:AW1048576 AR38:AW97 AX80:AX127 AQ98:AW135 BE36:BE1048576 AX128:BD1048576 W37:AW37 W42:AB42 W38:AJ41 BH17:XFD17 BH25:BL26 BF4:BF26 BO11:XFD16 BM25:XFD1048576 BO19:XFD24 BO1:XFD9 BH18:BI18 BL18:XFD18 BD5:BE9 AY30:BD77 BE10 BD11:BE21 H25:AF25 H27:AF28 H26:L26 U26:AF26 H29:L29 U29:AF29 BD11:BD29 A13:D13 A14:C14 H13:AF14 A1:AF1 A20:T20 A2:T2 A62:E85 A41:L41 B101:AB1048576 B42:L100 A36:AW36 A37:N40 A21:AF24 A3:AF12 A30:AF35 A15:AF17 A19:AF19 A18:M18 U18:V18 AD18:AF18">
    <cfRule type="containsText" dxfId="213" priority="113" operator="containsText" text="РЕ">
      <formula>NOT(ISERROR(SEARCH("РЕ",A1)))</formula>
    </cfRule>
  </conditionalFormatting>
  <conditionalFormatting sqref="AG16 AG12 AV30:AW35 AG13:AI15 AH2:AO2 AI3:AO3 AP12:AU15 AW29 AN10:AP10 AV16:AV20 A25 V20:AF20 V2:AF2 A42:A61 AC42:AJ61 A63:A1048576 AC86:AJ97 AK38:AQ38 T62:AJ85 AK39:AK97 T43:AB100 AQ39:AQ97 AC98:AK135 AG4:AO10 AP2:AP10 AY3:BF3 BH10:XFD10 BF27:BL1048576 AY4:BE4 BG13 AX80:AX127 AX78:BD79 AZ80:BD127 AC136:AW1048576 AR38:AW97 AQ98:AW135 BE36:BE1048576 AX128:BD1048576 AY57:BD77 BA36:BD56 W37:AW37 W42:AB42 W38:AJ41 BH17:XFD17 BH25:BL26 BF4:BF26 BO11:XFD16 BM25:XFD1048576 BO19:XFD24 BO1:XFD9 BH18:BI18 BL18:XFD18 BD5:BE9 BE10 AY30:BC77 AR2:AS3 BA30:BE35 H25:AF25 H27:AF28 H26:L26 U26:AF26 H29:L29 U29:AF29 AR7:AS10 AR6 BD11:BE29 AR5:AS5 AS4 A13:D13 A14:C14 H13:AF14 A1:AG1 A20:T20 A2:T2 A62:E85 A41:L41 B101:AB1048576 B42:L100 A36:AW36 A37:N40 A21:AF24 A3:AF12 A30:AF35 A15:AF17 A19:AF19 A18:M18 U18:V18 AD18:AF18">
    <cfRule type="containsErrors" dxfId="212" priority="110">
      <formula>ISERROR(A1)</formula>
    </cfRule>
  </conditionalFormatting>
  <conditionalFormatting sqref="AG4:AO10 AR7:AS10 AR6 AR5:AS5 AS4">
    <cfRule type="notContainsBlanks" dxfId="211" priority="105">
      <formula>LEN(TRIM(AG4))&gt;0</formula>
    </cfRule>
  </conditionalFormatting>
  <conditionalFormatting sqref="AG14:AL15 AP14:AU15 AG25:AU35 AG4:AQ4 AG7:AU10 AG6:AR6 AT6:AU6 AG5:AU5 AS4:AU4">
    <cfRule type="containsBlanks" dxfId="210" priority="106">
      <formula>LEN(TRIM(AG4))=0</formula>
    </cfRule>
  </conditionalFormatting>
  <conditionalFormatting sqref="BD10">
    <cfRule type="containsText" dxfId="209" priority="48" operator="containsText" text="РЕ">
      <formula>NOT(ISERROR(SEARCH("РЕ",BD10)))</formula>
    </cfRule>
  </conditionalFormatting>
  <conditionalFormatting sqref="BD10">
    <cfRule type="containsErrors" dxfId="208" priority="47">
      <formula>ISERROR(BD10)</formula>
    </cfRule>
  </conditionalFormatting>
  <conditionalFormatting sqref="O29:P29 S29:T29">
    <cfRule type="containsText" dxfId="207" priority="40" operator="containsText" text="РЕ">
      <formula>NOT(ISERROR(SEARCH("РЕ",O29)))</formula>
    </cfRule>
  </conditionalFormatting>
  <conditionalFormatting sqref="O29:P29 S29:T29">
    <cfRule type="containsErrors" dxfId="206" priority="39">
      <formula>ISERROR(O29)</formula>
    </cfRule>
  </conditionalFormatting>
  <conditionalFormatting sqref="AR4">
    <cfRule type="containsErrors" dxfId="205" priority="32">
      <formula>ISERROR(AR4)</formula>
    </cfRule>
  </conditionalFormatting>
  <conditionalFormatting sqref="AR4">
    <cfRule type="notContainsBlanks" dxfId="204" priority="30">
      <formula>LEN(TRIM(AR4))&gt;0</formula>
    </cfRule>
  </conditionalFormatting>
  <conditionalFormatting sqref="AR4">
    <cfRule type="containsBlanks" dxfId="203" priority="31">
      <formula>LEN(TRIM(AR4))=0</formula>
    </cfRule>
  </conditionalFormatting>
  <conditionalFormatting sqref="AY26:BC29">
    <cfRule type="containsText" dxfId="202" priority="29" operator="containsText" text="РЕ">
      <formula>NOT(ISERROR(SEARCH("РЕ",AY26)))</formula>
    </cfRule>
  </conditionalFormatting>
  <conditionalFormatting sqref="AY26:BC29">
    <cfRule type="containsErrors" dxfId="201" priority="28">
      <formula>ISERROR(AY26)</formula>
    </cfRule>
  </conditionalFormatting>
  <conditionalFormatting sqref="AY5:BC25">
    <cfRule type="containsText" dxfId="200" priority="27" operator="containsText" text="РЕ">
      <formula>NOT(ISERROR(SEARCH("РЕ",AY5)))</formula>
    </cfRule>
  </conditionalFormatting>
  <conditionalFormatting sqref="AY5:BC25">
    <cfRule type="containsErrors" dxfId="199" priority="26">
      <formula>ISERROR(AY5)</formula>
    </cfRule>
  </conditionalFormatting>
  <conditionalFormatting sqref="Q29:R29">
    <cfRule type="containsText" dxfId="198" priority="25" operator="containsText" text="РЕ">
      <formula>NOT(ISERROR(SEARCH("РЕ",Q29)))</formula>
    </cfRule>
  </conditionalFormatting>
  <conditionalFormatting sqref="Q29:R29">
    <cfRule type="containsErrors" dxfId="197" priority="24">
      <formula>ISERROR(Q29)</formula>
    </cfRule>
  </conditionalFormatting>
  <conditionalFormatting sqref="AS6">
    <cfRule type="containsErrors" dxfId="196" priority="16">
      <formula>ISERROR(AS6)</formula>
    </cfRule>
  </conditionalFormatting>
  <conditionalFormatting sqref="AS6">
    <cfRule type="notContainsBlanks" dxfId="195" priority="14">
      <formula>LEN(TRIM(AS6))&gt;0</formula>
    </cfRule>
  </conditionalFormatting>
  <conditionalFormatting sqref="AS6">
    <cfRule type="containsBlanks" dxfId="194" priority="15">
      <formula>LEN(TRIM(AS6))=0</formula>
    </cfRule>
  </conditionalFormatting>
  <conditionalFormatting sqref="M29:N29">
    <cfRule type="containsText" dxfId="193" priority="8" operator="containsText" text="РЕ">
      <formula>NOT(ISERROR(SEARCH("РЕ",M29)))</formula>
    </cfRule>
  </conditionalFormatting>
  <conditionalFormatting sqref="M29:N29">
    <cfRule type="containsErrors" dxfId="192" priority="7">
      <formula>ISERROR(M29)</formula>
    </cfRule>
  </conditionalFormatting>
  <conditionalFormatting sqref="O26:P26 S26:T26">
    <cfRule type="containsText" dxfId="191" priority="6" operator="containsText" text="РЕ">
      <formula>NOT(ISERROR(SEARCH("РЕ",O26)))</formula>
    </cfRule>
  </conditionalFormatting>
  <conditionalFormatting sqref="O26:P26 S26:T26">
    <cfRule type="containsErrors" dxfId="190" priority="5">
      <formula>ISERROR(O26)</formula>
    </cfRule>
  </conditionalFormatting>
  <conditionalFormatting sqref="Q26:R26">
    <cfRule type="containsText" dxfId="189" priority="4" operator="containsText" text="РЕ">
      <formula>NOT(ISERROR(SEARCH("РЕ",Q26)))</formula>
    </cfRule>
  </conditionalFormatting>
  <conditionalFormatting sqref="Q26:R26">
    <cfRule type="containsErrors" dxfId="188" priority="3">
      <formula>ISERROR(Q26)</formula>
    </cfRule>
  </conditionalFormatting>
  <conditionalFormatting sqref="M26:N26">
    <cfRule type="containsText" dxfId="187" priority="2" operator="containsText" text="РЕ">
      <formula>NOT(ISERROR(SEARCH("РЕ",M26)))</formula>
    </cfRule>
  </conditionalFormatting>
  <conditionalFormatting sqref="M26:N26">
    <cfRule type="containsErrors" dxfId="186" priority="1">
      <formula>ISERROR(M26)</formula>
    </cfRule>
  </conditionalFormatting>
  <dataValidations xWindow="549" yWindow="333" count="21">
    <dataValidation type="textLength" operator="greaterThanOrEqual" allowBlank="1" showInputMessage="1" showErrorMessage="1" errorTitle="Формат " error="Неверный формат номера заявки" promptTitle="Формат ввода" prompt="Введите номер в формате ХХХ" sqref="D3" xr:uid="{00000000-0002-0000-0000-000000000000}">
      <formula1>3</formula1>
    </dataValidation>
    <dataValidation type="list" allowBlank="1" showInputMessage="1" showErrorMessage="1" sqref="O5" xr:uid="{00000000-0002-0000-0000-000002000000}">
      <formula1>INDIRECT($I$2)</formula1>
    </dataValidation>
    <dataValidation type="list" allowBlank="1" showInputMessage="1" showErrorMessage="1" sqref="O8" xr:uid="{00000000-0002-0000-0000-000003000000}">
      <formula1>INDIRECT(+$I$3)</formula1>
    </dataValidation>
    <dataValidation type="list" allowBlank="1" showInputMessage="1" showErrorMessage="1" sqref="O11" xr:uid="{00000000-0002-0000-0000-000004000000}">
      <formula1>INDIRECT($I$4)</formula1>
    </dataValidation>
    <dataValidation type="list" allowBlank="1" showInputMessage="1" showErrorMessage="1" sqref="O14" xr:uid="{00000000-0002-0000-0000-000005000000}">
      <formula1>INDIRECT($I$5)</formula1>
    </dataValidation>
    <dataValidation type="list" allowBlank="1" showInputMessage="1" showErrorMessage="1" sqref="O17" xr:uid="{00000000-0002-0000-0000-000006000000}">
      <formula1>INDIRECT($I$6)</formula1>
    </dataValidation>
    <dataValidation type="list" allowBlank="1" showInputMessage="1" showErrorMessage="1" sqref="X5" xr:uid="{00000000-0002-0000-0000-000007000000}">
      <formula1>INDIRECT($I$7)</formula1>
    </dataValidation>
    <dataValidation type="list" allowBlank="1" showInputMessage="1" showErrorMessage="1" sqref="X8" xr:uid="{00000000-0002-0000-0000-000008000000}">
      <formula1>INDIRECT($I$8)</formula1>
    </dataValidation>
    <dataValidation type="list" allowBlank="1" showInputMessage="1" showErrorMessage="1" sqref="X11" xr:uid="{00000000-0002-0000-0000-000009000000}">
      <formula1>INDIRECT($I$9)</formula1>
    </dataValidation>
    <dataValidation type="list" allowBlank="1" showInputMessage="1" showErrorMessage="1" sqref="X14" xr:uid="{00000000-0002-0000-0000-00000A000000}">
      <formula1>INDIRECT($I$10)</formula1>
    </dataValidation>
    <dataValidation type="list" allowBlank="1" showInputMessage="1" showErrorMessage="1" sqref="X17" xr:uid="{00000000-0002-0000-0000-00000B000000}">
      <formula1>INDIRECT($I$11)</formula1>
    </dataValidation>
    <dataValidation type="list" allowBlank="1" showInputMessage="1" showErrorMessage="1" sqref="O23" xr:uid="{00000000-0002-0000-0000-00000C000000}">
      <formula1>INDIRECT($I$12)</formula1>
    </dataValidation>
    <dataValidation type="list" allowBlank="1" showInputMessage="1" showErrorMessage="1" sqref="O29 O26" xr:uid="{00000000-0002-0000-0000-00000D000000}">
      <formula1>INDIRECT($I$14)</formula1>
    </dataValidation>
    <dataValidation type="list" allowBlank="1" showInputMessage="1" showErrorMessage="1" sqref="O32" xr:uid="{00000000-0002-0000-0000-00000E000000}">
      <formula1>INDIRECT($I$15)</formula1>
    </dataValidation>
    <dataValidation type="list" allowBlank="1" showInputMessage="1" showErrorMessage="1" sqref="O35" xr:uid="{00000000-0002-0000-0000-00000F000000}">
      <formula1>INDIRECT($I$16)</formula1>
    </dataValidation>
    <dataValidation type="list" allowBlank="1" showInputMessage="1" showErrorMessage="1" sqref="X23" xr:uid="{00000000-0002-0000-0000-000010000000}">
      <formula1>INDIRECT($I$17)</formula1>
    </dataValidation>
    <dataValidation type="list" allowBlank="1" showInputMessage="1" showErrorMessage="1" sqref="X26" xr:uid="{00000000-0002-0000-0000-000011000000}">
      <formula1>INDIRECT($I$18)</formula1>
    </dataValidation>
    <dataValidation type="list" allowBlank="1" showInputMessage="1" showErrorMessage="1" sqref="X29" xr:uid="{00000000-0002-0000-0000-000012000000}">
      <formula1>INDIRECT($I$19)</formula1>
    </dataValidation>
    <dataValidation type="list" allowBlank="1" showInputMessage="1" showErrorMessage="1" sqref="X32" xr:uid="{00000000-0002-0000-0000-000013000000}">
      <formula1>INDIRECT($I$20)</formula1>
    </dataValidation>
    <dataValidation type="list" allowBlank="1" showInputMessage="1" showErrorMessage="1" sqref="X35" xr:uid="{00000000-0002-0000-0000-000014000000}">
      <formula1>INDIRECT($I$21)</formula1>
    </dataValidation>
    <dataValidation type="textLength" operator="greaterThan" showInputMessage="1" showErrorMessage="1" error="Не верный формат" prompt="Формат ХХ" sqref="D5:G6" xr:uid="{00000000-0002-0000-0000-00000100000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549" yWindow="333" count="29">
        <x14:dataValidation type="list" allowBlank="1" showInputMessage="1" showErrorMessage="1" xr:uid="{00000000-0002-0000-0000-000015000000}">
          <x14:formula1>
            <xm:f>INDIRECT('Элементы управления'!$G$4)</xm:f>
          </x14:formula1>
          <xm:sqref>AJ25</xm:sqref>
        </x14:dataValidation>
        <x14:dataValidation type="list" allowBlank="1" showInputMessage="1" showErrorMessage="1" xr:uid="{00000000-0002-0000-0000-000017000000}">
          <x14:formula1>
            <xm:f>Вводы!$B$3:$B$11</xm:f>
          </x14:formula1>
          <xm:sqref>M5 M11 M8 M14 M17 V5 V11 V8 V14 V17 M23 M32 V35 V32 M35 V23 V26 V29 M29 M26</xm:sqref>
        </x14:dataValidation>
        <x14:dataValidation type="list" allowBlank="1" showInputMessage="1" showErrorMessage="1" xr:uid="{00000000-0002-0000-0000-000019000000}">
          <x14:formula1>
            <xm:f>Клеммы!$C$2:$C$5</xm:f>
          </x14:formula1>
          <xm:sqref>AI4:AJ10</xm:sqref>
        </x14:dataValidation>
        <x14:dataValidation type="list" allowBlank="1" showInputMessage="1" showErrorMessage="1" xr:uid="{00000000-0002-0000-0000-00001C000000}">
          <x14:formula1>
            <xm:f>Клеммы!$D$1:$D$12</xm:f>
          </x14:formula1>
          <xm:sqref>AM4:AM10</xm:sqref>
        </x14:dataValidation>
        <x14:dataValidation type="list" allowBlank="1" showInputMessage="1" showErrorMessage="1" xr:uid="{00000000-0002-0000-0000-00001D000000}">
          <x14:formula1>
            <xm:f>Клеммы!$B$2:$B$5</xm:f>
          </x14:formula1>
          <xm:sqref>AK4:AK10</xm:sqref>
        </x14:dataValidation>
        <x14:dataValidation type="list" allowBlank="1" showInputMessage="1" showErrorMessage="1" xr:uid="{00000000-0002-0000-0000-00001E000000}">
          <x14:formula1>
            <xm:f>Клеммы!$B$8:$B$10</xm:f>
          </x14:formula1>
          <xm:sqref>AH4:AH10</xm:sqref>
        </x14:dataValidation>
        <x14:dataValidation type="list" allowBlank="1" showInputMessage="1" showErrorMessage="1" xr:uid="{00000000-0002-0000-0000-000023000000}">
          <x14:formula1>
            <xm:f>INDIRECT('Элементы управления'!$G$14)</xm:f>
          </x14:formula1>
          <xm:sqref>AJ35</xm:sqref>
        </x14:dataValidation>
        <x14:dataValidation type="list" allowBlank="1" showInputMessage="1" showErrorMessage="1" xr:uid="{00000000-0002-0000-0000-000024000000}">
          <x14:formula1>
            <xm:f>INDIRECT(+'Элементы управления'!$G$13)</xm:f>
          </x14:formula1>
          <xm:sqref>AJ34</xm:sqref>
        </x14:dataValidation>
        <x14:dataValidation type="list" allowBlank="1" showInputMessage="1" showErrorMessage="1" xr:uid="{00000000-0002-0000-0000-000025000000}">
          <x14:formula1>
            <xm:f>INDIRECT('Элементы управления'!$G$12)</xm:f>
          </x14:formula1>
          <xm:sqref>AJ33</xm:sqref>
        </x14:dataValidation>
        <x14:dataValidation type="list" allowBlank="1" showInputMessage="1" showErrorMessage="1" xr:uid="{00000000-0002-0000-0000-000026000000}">
          <x14:formula1>
            <xm:f>INDIRECT('Элементы управления'!$G$11)</xm:f>
          </x14:formula1>
          <xm:sqref>AJ32</xm:sqref>
        </x14:dataValidation>
        <x14:dataValidation type="list" allowBlank="1" showInputMessage="1" showErrorMessage="1" xr:uid="{00000000-0002-0000-0000-000027000000}">
          <x14:formula1>
            <xm:f>INDIRECT('Элементы управления'!$G$10)</xm:f>
          </x14:formula1>
          <xm:sqref>AJ31</xm:sqref>
        </x14:dataValidation>
        <x14:dataValidation type="list" allowBlank="1" showInputMessage="1" showErrorMessage="1" xr:uid="{00000000-0002-0000-0000-000028000000}">
          <x14:formula1>
            <xm:f>INDIRECT('Элементы управления'!$G$9)</xm:f>
          </x14:formula1>
          <xm:sqref>AJ30</xm:sqref>
        </x14:dataValidation>
        <x14:dataValidation type="list" allowBlank="1" showInputMessage="1" showErrorMessage="1" xr:uid="{00000000-0002-0000-0000-000029000000}">
          <x14:formula1>
            <xm:f>INDIRECT('Элементы управления'!$G$8)</xm:f>
          </x14:formula1>
          <xm:sqref>AJ29</xm:sqref>
        </x14:dataValidation>
        <x14:dataValidation type="list" allowBlank="1" showInputMessage="1" showErrorMessage="1" xr:uid="{00000000-0002-0000-0000-00002A000000}">
          <x14:formula1>
            <xm:f>INDIRECT('Элементы управления'!$G$7)</xm:f>
          </x14:formula1>
          <xm:sqref>AJ28</xm:sqref>
        </x14:dataValidation>
        <x14:dataValidation type="list" allowBlank="1" showInputMessage="1" showErrorMessage="1" xr:uid="{00000000-0002-0000-0000-00002B000000}">
          <x14:formula1>
            <xm:f>INDIRECT('Элементы управления'!$G$6)</xm:f>
          </x14:formula1>
          <xm:sqref>AJ27</xm:sqref>
        </x14:dataValidation>
        <x14:dataValidation type="list" allowBlank="1" showInputMessage="1" showErrorMessage="1" xr:uid="{00000000-0002-0000-0000-00002C000000}">
          <x14:formula1>
            <xm:f>INDIRECT('Элементы управления'!$G$5)</xm:f>
          </x14:formula1>
          <xm:sqref>AJ26</xm:sqref>
        </x14:dataValidation>
        <x14:dataValidation type="list" allowBlank="1" showInputMessage="1" showErrorMessage="1" xr:uid="{00000000-0002-0000-0000-00002D000000}">
          <x14:formula1>
            <xm:f>Клеммы!$W$13:$W$20</xm:f>
          </x14:formula1>
          <xm:sqref>AQ14:AQ15</xm:sqref>
        </x14:dataValidation>
        <x14:dataValidation type="list" allowBlank="1" showInputMessage="1" showErrorMessage="1" xr:uid="{00000000-0002-0000-0000-00002E000000}">
          <x14:formula1>
            <xm:f>Клеммы!$W$2:$W$9</xm:f>
          </x14:formula1>
          <xm:sqref>AH14:AH15</xm:sqref>
        </x14:dataValidation>
        <x14:dataValidation type="list" allowBlank="1" showInputMessage="1" showErrorMessage="1" xr:uid="{00000000-0002-0000-0000-00002F000000}">
          <x14:formula1>
            <xm:f>'Элементы управления'!$C$4:$C$15</xm:f>
          </x14:formula1>
          <xm:sqref>AG26:AI35</xm:sqref>
        </x14:dataValidation>
        <x14:dataValidation type="list" allowBlank="1" showInputMessage="1" showErrorMessage="1" xr:uid="{00000000-0002-0000-0000-000030000000}">
          <x14:formula1>
            <xm:f>'Элементы управления'!$C$4:$C$11</xm:f>
          </x14:formula1>
          <xm:sqref>AG25:AI25</xm:sqref>
        </x14:dataValidation>
        <x14:dataValidation type="list" allowBlank="1" showInputMessage="1" showErrorMessage="1" xr:uid="{00000000-0002-0000-0000-00001F000000}">
          <x14:formula1>
            <xm:f>Таблы!$E$4:$E$6</xm:f>
          </x14:formula1>
          <xm:sqref>D23:G24</xm:sqref>
        </x14:dataValidation>
        <x14:dataValidation type="list" operator="greaterThanOrEqual" allowBlank="1" showInputMessage="1" showErrorMessage="1" error="Неверный формат. Верный: &quot;01&quot;" promptTitle="Формат" prompt="ХХ" xr:uid="{00000000-0002-0000-0000-000031000000}">
          <x14:formula1>
            <xm:f>Вводы!$B$32:$B$40</xm:f>
          </x14:formula1>
          <xm:sqref>D7:G8</xm:sqref>
        </x14:dataValidation>
        <x14:dataValidation type="list" allowBlank="1" showInputMessage="1" showErrorMessage="1" xr:uid="{294ABAC1-11F9-4CC6-8FE3-DD8B2FFF025C}">
          <x14:formula1>
            <xm:f>'Типы изделий'!$B$5:$B$15</xm:f>
          </x14:formula1>
          <xm:sqref>D9:G10</xm:sqref>
        </x14:dataValidation>
        <x14:dataValidation type="list" allowBlank="1" showInputMessage="1" showErrorMessage="1" xr:uid="{00000000-0002-0000-0000-000021000000}">
          <x14:formula1>
            <xm:f>INDIRECT('Типы изделий'!$I$21)</xm:f>
          </x14:formula1>
          <xm:sqref>D11 J15</xm:sqref>
        </x14:dataValidation>
        <x14:dataValidation type="list" allowBlank="1" showInputMessage="1" showErrorMessage="1" xr:uid="{00000000-0002-0000-0000-000020000000}">
          <x14:formula1>
            <xm:f>INDIRECT('Типы изделий'!$I$22)</xm:f>
          </x14:formula1>
          <xm:sqref>D21:G22</xm:sqref>
        </x14:dataValidation>
        <x14:dataValidation type="list" allowBlank="1" showInputMessage="1" showErrorMessage="1" xr:uid="{91ADB1E1-CC4F-427C-A74E-E9DFCAB5027D}">
          <x14:formula1>
            <xm:f>INDIRECT('Типы изделий'!$F$22)</xm:f>
          </x14:formula1>
          <xm:sqref>D13:G14</xm:sqref>
        </x14:dataValidation>
        <x14:dataValidation type="list" allowBlank="1" showInputMessage="1" showErrorMessage="1" xr:uid="{9BCE9CC4-33BC-4928-8CEE-4EDA227845B0}">
          <x14:formula1>
            <xm:f>INDIRECT('Типы изделий'!$B$18)</xm:f>
          </x14:formula1>
          <xm:sqref>D19:G20</xm:sqref>
        </x14:dataValidation>
        <x14:dataValidation type="list" allowBlank="1" showInputMessage="1" showErrorMessage="1" xr:uid="{00000000-0002-0000-0000-000022000000}">
          <x14:formula1>
            <xm:f>'Типы изделий'!$B$26:$B$32</xm:f>
          </x14:formula1>
          <xm:sqref>D17</xm:sqref>
        </x14:dataValidation>
        <x14:dataValidation type="list" allowBlank="1" showInputMessage="1" showErrorMessage="1" xr:uid="{2DFF4FC0-9461-4E03-9336-AB3F0F3C9F02}">
          <x14:formula1>
            <xm:f>INDIRECT('Типы изделий'!$F$4)</xm:f>
          </x14:formula1>
          <xm:sqref>D15:G16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O199"/>
  <sheetViews>
    <sheetView topLeftCell="A25" zoomScale="85" zoomScaleNormal="85" workbookViewId="0">
      <selection activeCell="C42" sqref="C42"/>
    </sheetView>
  </sheetViews>
  <sheetFormatPr defaultRowHeight="15" x14ac:dyDescent="0.25"/>
  <cols>
    <col min="2" max="2" width="15" bestFit="1" customWidth="1"/>
    <col min="3" max="3" width="14.85546875" customWidth="1"/>
    <col min="4" max="4" width="14" bestFit="1" customWidth="1"/>
    <col min="5" max="5" width="5.5703125" customWidth="1"/>
    <col min="6" max="6" width="13.140625" bestFit="1" customWidth="1"/>
    <col min="7" max="7" width="15.5703125" customWidth="1"/>
    <col min="8" max="8" width="12.7109375" bestFit="1" customWidth="1"/>
    <col min="9" max="9" width="10.140625" customWidth="1"/>
    <col min="10" max="10" width="9.5703125" customWidth="1"/>
    <col min="11" max="11" width="15" bestFit="1" customWidth="1"/>
    <col min="12" max="12" width="22.7109375" bestFit="1" customWidth="1"/>
    <col min="14" max="14" width="15" bestFit="1" customWidth="1"/>
    <col min="15" max="15" width="17.5703125" bestFit="1" customWidth="1"/>
  </cols>
  <sheetData>
    <row r="1" spans="2:15" ht="23.25" customHeight="1" x14ac:dyDescent="0.25">
      <c r="B1" s="701" t="s">
        <v>2500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167"/>
    </row>
    <row r="2" spans="2:15" ht="17.25" customHeight="1" x14ac:dyDescent="0.3">
      <c r="B2" s="698" t="s">
        <v>639</v>
      </c>
      <c r="C2" s="698"/>
      <c r="D2" s="698"/>
      <c r="F2" s="698" t="s">
        <v>2470</v>
      </c>
      <c r="G2" s="698"/>
      <c r="H2" s="698"/>
      <c r="I2" s="168"/>
      <c r="K2" s="703" t="s">
        <v>2471</v>
      </c>
      <c r="L2" s="703"/>
      <c r="M2" s="169"/>
      <c r="N2" s="703" t="s">
        <v>2472</v>
      </c>
      <c r="O2" s="703"/>
    </row>
    <row r="3" spans="2:15" ht="60" x14ac:dyDescent="0.25">
      <c r="B3" s="133" t="s">
        <v>64</v>
      </c>
      <c r="C3" s="170" t="s">
        <v>2473</v>
      </c>
      <c r="D3" s="133" t="s">
        <v>490</v>
      </c>
      <c r="F3" s="171" t="s">
        <v>164</v>
      </c>
      <c r="G3" s="172" t="s">
        <v>2474</v>
      </c>
      <c r="H3" s="133" t="s">
        <v>490</v>
      </c>
      <c r="K3" s="173" t="s">
        <v>64</v>
      </c>
      <c r="L3" s="170" t="s">
        <v>2473</v>
      </c>
      <c r="N3" s="173" t="s">
        <v>64</v>
      </c>
      <c r="O3" s="170" t="s">
        <v>2473</v>
      </c>
    </row>
    <row r="4" spans="2:15" x14ac:dyDescent="0.25">
      <c r="B4" s="248" t="s">
        <v>102</v>
      </c>
      <c r="C4" s="174">
        <v>1485.0632472</v>
      </c>
      <c r="D4" s="159" t="s">
        <v>2475</v>
      </c>
      <c r="F4" s="159" t="s">
        <v>165</v>
      </c>
      <c r="G4" s="175">
        <v>80.150000000000006</v>
      </c>
      <c r="H4" s="159" t="s">
        <v>2476</v>
      </c>
      <c r="I4" s="176" t="s">
        <v>2501</v>
      </c>
      <c r="J4" s="177">
        <v>65</v>
      </c>
      <c r="K4" s="26"/>
      <c r="L4" s="159"/>
      <c r="N4" s="159" t="s">
        <v>2464</v>
      </c>
      <c r="O4" s="178">
        <v>24.7</v>
      </c>
    </row>
    <row r="5" spans="2:15" x14ac:dyDescent="0.25">
      <c r="B5" s="248" t="s">
        <v>2440</v>
      </c>
      <c r="C5" s="174">
        <v>1608.8650127999999</v>
      </c>
      <c r="D5" s="159" t="s">
        <v>2475</v>
      </c>
      <c r="F5" s="159" t="s">
        <v>167</v>
      </c>
      <c r="G5" s="175">
        <v>120.75</v>
      </c>
      <c r="H5" s="159" t="s">
        <v>2476</v>
      </c>
      <c r="I5" s="179" t="s">
        <v>2502</v>
      </c>
      <c r="J5" s="177">
        <v>10</v>
      </c>
      <c r="K5" s="180" t="s">
        <v>247</v>
      </c>
      <c r="L5" s="178">
        <v>15.62</v>
      </c>
      <c r="N5" s="159" t="s">
        <v>2465</v>
      </c>
      <c r="O5" s="178">
        <v>13.15</v>
      </c>
    </row>
    <row r="6" spans="2:15" x14ac:dyDescent="0.25">
      <c r="B6" s="248" t="s">
        <v>104</v>
      </c>
      <c r="C6" s="174">
        <v>1823.39901792</v>
      </c>
      <c r="D6" s="159" t="s">
        <v>2475</v>
      </c>
      <c r="F6" s="159" t="s">
        <v>169</v>
      </c>
      <c r="G6" s="175">
        <v>124.5</v>
      </c>
      <c r="H6" s="159" t="s">
        <v>2476</v>
      </c>
      <c r="I6" s="179" t="s">
        <v>2503</v>
      </c>
      <c r="J6" s="177">
        <v>1</v>
      </c>
      <c r="K6" s="180" t="s">
        <v>248</v>
      </c>
      <c r="L6" s="178">
        <v>17.3</v>
      </c>
      <c r="N6" s="159" t="s">
        <v>314</v>
      </c>
      <c r="O6" s="178">
        <v>17.3</v>
      </c>
    </row>
    <row r="7" spans="2:15" x14ac:dyDescent="0.25">
      <c r="B7" s="248" t="s">
        <v>105</v>
      </c>
      <c r="C7" s="174">
        <v>1954.5430128</v>
      </c>
      <c r="D7" s="159" t="s">
        <v>2475</v>
      </c>
      <c r="F7" s="159" t="s">
        <v>171</v>
      </c>
      <c r="G7" s="175">
        <v>203.6</v>
      </c>
      <c r="H7" s="159" t="s">
        <v>2476</v>
      </c>
      <c r="I7" s="179" t="s">
        <v>2504</v>
      </c>
      <c r="J7" s="177">
        <v>70</v>
      </c>
      <c r="K7" s="180" t="s">
        <v>249</v>
      </c>
      <c r="L7" s="178">
        <v>28</v>
      </c>
      <c r="N7" s="159" t="s">
        <v>318</v>
      </c>
      <c r="O7" s="178">
        <v>56.75</v>
      </c>
    </row>
    <row r="8" spans="2:15" x14ac:dyDescent="0.25">
      <c r="B8" s="248" t="s">
        <v>107</v>
      </c>
      <c r="C8" s="174">
        <v>2029.5410179199998</v>
      </c>
      <c r="D8" s="159" t="s">
        <v>2475</v>
      </c>
      <c r="F8" s="159" t="s">
        <v>173</v>
      </c>
      <c r="G8" s="175">
        <v>251.5</v>
      </c>
      <c r="H8" s="159" t="s">
        <v>2476</v>
      </c>
      <c r="I8" s="181"/>
      <c r="K8" s="180" t="s">
        <v>250</v>
      </c>
      <c r="L8" s="178">
        <v>39.5</v>
      </c>
      <c r="N8" s="159" t="s">
        <v>322</v>
      </c>
      <c r="O8" s="178">
        <v>92.9</v>
      </c>
    </row>
    <row r="9" spans="2:15" x14ac:dyDescent="0.25">
      <c r="B9" s="248" t="s">
        <v>109</v>
      </c>
      <c r="C9" s="174">
        <v>2192.1010127999998</v>
      </c>
      <c r="D9" s="159" t="s">
        <v>2475</v>
      </c>
      <c r="F9" s="159" t="s">
        <v>175</v>
      </c>
      <c r="G9" s="175">
        <v>403.2</v>
      </c>
      <c r="H9" s="159" t="s">
        <v>2476</v>
      </c>
      <c r="I9" s="181"/>
      <c r="K9" s="180" t="s">
        <v>251</v>
      </c>
      <c r="L9" s="178">
        <v>55.9</v>
      </c>
      <c r="N9" s="159" t="s">
        <v>326</v>
      </c>
      <c r="O9" s="178">
        <v>147.94999999999999</v>
      </c>
    </row>
    <row r="10" spans="2:15" x14ac:dyDescent="0.25">
      <c r="B10" s="249" t="s">
        <v>2441</v>
      </c>
      <c r="C10" s="205">
        <v>3023.0950127999999</v>
      </c>
      <c r="D10" s="159" t="s">
        <v>2477</v>
      </c>
      <c r="F10" s="159" t="s">
        <v>177</v>
      </c>
      <c r="G10" s="175">
        <v>489.65</v>
      </c>
      <c r="H10" s="159" t="s">
        <v>2476</v>
      </c>
      <c r="I10" s="181"/>
      <c r="K10" s="180" t="s">
        <v>252</v>
      </c>
      <c r="L10" s="178">
        <v>120.85</v>
      </c>
      <c r="N10" s="159" t="s">
        <v>330</v>
      </c>
      <c r="O10" s="178">
        <v>318.05</v>
      </c>
    </row>
    <row r="11" spans="2:15" x14ac:dyDescent="0.25">
      <c r="B11" s="249" t="s">
        <v>2442</v>
      </c>
      <c r="C11" s="205">
        <v>40274.515012799995</v>
      </c>
      <c r="D11" s="159" t="s">
        <v>2477</v>
      </c>
      <c r="F11" s="159" t="s">
        <v>179</v>
      </c>
      <c r="G11" s="175">
        <v>722.4</v>
      </c>
      <c r="H11" s="159" t="s">
        <v>2476</v>
      </c>
      <c r="I11" s="181"/>
      <c r="K11" s="180"/>
      <c r="L11" s="182"/>
      <c r="O11" s="182"/>
    </row>
    <row r="12" spans="2:15" x14ac:dyDescent="0.25">
      <c r="B12" s="249" t="s">
        <v>2443</v>
      </c>
      <c r="C12" s="205">
        <v>7154.0950127999995</v>
      </c>
      <c r="D12" s="159" t="s">
        <v>2477</v>
      </c>
      <c r="G12" s="25"/>
      <c r="H12" s="159"/>
      <c r="K12" s="180" t="s">
        <v>277</v>
      </c>
      <c r="L12" s="178">
        <v>37</v>
      </c>
      <c r="N12" s="159" t="s">
        <v>2466</v>
      </c>
      <c r="O12" s="178">
        <v>79.75</v>
      </c>
    </row>
    <row r="13" spans="2:15" x14ac:dyDescent="0.25">
      <c r="B13" s="249" t="s">
        <v>2444</v>
      </c>
      <c r="C13" s="205">
        <v>11927.343765600001</v>
      </c>
      <c r="D13" s="159" t="s">
        <v>2477</v>
      </c>
      <c r="F13" s="183" t="s">
        <v>2478</v>
      </c>
      <c r="G13" s="9"/>
      <c r="H13" s="159"/>
      <c r="I13" s="204"/>
      <c r="K13" s="180" t="s">
        <v>278</v>
      </c>
      <c r="L13" s="178">
        <v>39.450000000000003</v>
      </c>
      <c r="N13" s="159" t="s">
        <v>2467</v>
      </c>
      <c r="O13" s="178">
        <v>90.45</v>
      </c>
    </row>
    <row r="14" spans="2:15" x14ac:dyDescent="0.25">
      <c r="B14" s="249" t="s">
        <v>2445</v>
      </c>
      <c r="C14" s="205">
        <v>11005.263765600001</v>
      </c>
      <c r="D14" s="159" t="s">
        <v>2477</v>
      </c>
      <c r="F14" s="159" t="s">
        <v>215</v>
      </c>
      <c r="G14" s="175">
        <v>201.8</v>
      </c>
      <c r="H14" s="159" t="s">
        <v>2476</v>
      </c>
      <c r="I14" s="181"/>
      <c r="K14" s="180" t="s">
        <v>279</v>
      </c>
      <c r="L14" s="178">
        <v>60.85</v>
      </c>
      <c r="N14" s="159" t="s">
        <v>315</v>
      </c>
      <c r="O14" s="184">
        <v>65.75</v>
      </c>
    </row>
    <row r="15" spans="2:15" x14ac:dyDescent="0.25">
      <c r="B15" s="249" t="s">
        <v>2446</v>
      </c>
      <c r="C15" s="205">
        <v>19318.263765600001</v>
      </c>
      <c r="D15" s="159" t="s">
        <v>2477</v>
      </c>
      <c r="F15" s="159" t="s">
        <v>216</v>
      </c>
      <c r="G15" s="175">
        <v>222.45</v>
      </c>
      <c r="H15" s="159" t="s">
        <v>2476</v>
      </c>
      <c r="I15" s="181"/>
      <c r="K15" s="180" t="s">
        <v>280</v>
      </c>
      <c r="L15" s="178">
        <v>76.45</v>
      </c>
      <c r="N15" s="159" t="s">
        <v>319</v>
      </c>
      <c r="O15" s="178">
        <v>103.55</v>
      </c>
    </row>
    <row r="16" spans="2:15" x14ac:dyDescent="0.25">
      <c r="B16" s="249" t="s">
        <v>2447</v>
      </c>
      <c r="C16" s="205">
        <v>36624.805725600003</v>
      </c>
      <c r="D16" s="159" t="s">
        <v>2477</v>
      </c>
      <c r="F16" s="159" t="s">
        <v>217</v>
      </c>
      <c r="G16" s="175">
        <v>223.83</v>
      </c>
      <c r="H16" s="159" t="s">
        <v>2476</v>
      </c>
      <c r="I16" s="181"/>
      <c r="K16" s="180" t="s">
        <v>281</v>
      </c>
      <c r="L16" s="178">
        <v>102.3</v>
      </c>
      <c r="N16" s="159" t="s">
        <v>323</v>
      </c>
      <c r="O16" s="178">
        <v>194</v>
      </c>
    </row>
    <row r="17" spans="2:15" x14ac:dyDescent="0.25">
      <c r="B17" s="249" t="s">
        <v>94</v>
      </c>
      <c r="C17" s="174">
        <v>3368.6720328000001</v>
      </c>
      <c r="D17" s="159" t="s">
        <v>2475</v>
      </c>
      <c r="F17" s="159" t="s">
        <v>218</v>
      </c>
      <c r="G17" s="175">
        <v>231</v>
      </c>
      <c r="H17" s="159" t="s">
        <v>2476</v>
      </c>
      <c r="I17" s="181"/>
      <c r="K17" s="180" t="s">
        <v>282</v>
      </c>
      <c r="L17" s="178">
        <v>203.85</v>
      </c>
      <c r="N17" s="159" t="s">
        <v>327</v>
      </c>
      <c r="O17" s="178">
        <v>310.67</v>
      </c>
    </row>
    <row r="18" spans="2:15" x14ac:dyDescent="0.25">
      <c r="B18" s="249" t="s">
        <v>2448</v>
      </c>
      <c r="C18" s="174">
        <v>7857.2840328000002</v>
      </c>
      <c r="D18" s="159" t="s">
        <v>2479</v>
      </c>
      <c r="F18" s="159" t="s">
        <v>219</v>
      </c>
      <c r="G18" s="175">
        <v>251.1</v>
      </c>
      <c r="H18" s="159" t="s">
        <v>2476</v>
      </c>
      <c r="I18" s="181"/>
      <c r="K18" s="180"/>
      <c r="L18" s="185"/>
      <c r="N18" s="159" t="s">
        <v>331</v>
      </c>
      <c r="O18" s="178">
        <v>552.29999999999995</v>
      </c>
    </row>
    <row r="19" spans="2:15" x14ac:dyDescent="0.25">
      <c r="B19" s="249" t="s">
        <v>98</v>
      </c>
      <c r="C19" s="205">
        <v>5929.4840328</v>
      </c>
      <c r="D19" s="159" t="s">
        <v>2477</v>
      </c>
      <c r="F19" s="159" t="s">
        <v>220</v>
      </c>
      <c r="G19" s="175">
        <v>272.10000000000002</v>
      </c>
      <c r="H19" s="159" t="s">
        <v>2476</v>
      </c>
      <c r="I19" s="181"/>
      <c r="K19" s="180" t="s">
        <v>266</v>
      </c>
      <c r="L19" s="178">
        <v>17.3</v>
      </c>
      <c r="O19" s="182"/>
    </row>
    <row r="20" spans="2:15" x14ac:dyDescent="0.25">
      <c r="B20" s="249" t="s">
        <v>2449</v>
      </c>
      <c r="C20" s="205">
        <v>8767.1240328000004</v>
      </c>
      <c r="D20" s="159" t="s">
        <v>2477</v>
      </c>
      <c r="F20" s="159" t="s">
        <v>221</v>
      </c>
      <c r="G20" s="175">
        <v>264.39999999999998</v>
      </c>
      <c r="H20" s="159" t="s">
        <v>2476</v>
      </c>
      <c r="I20" s="181"/>
      <c r="K20" s="180" t="s">
        <v>267</v>
      </c>
      <c r="L20" s="178">
        <v>18.100000000000001</v>
      </c>
      <c r="N20" s="159" t="s">
        <v>2468</v>
      </c>
      <c r="O20" s="178">
        <v>27.15</v>
      </c>
    </row>
    <row r="21" spans="2:15" x14ac:dyDescent="0.25">
      <c r="B21" s="249" t="s">
        <v>2365</v>
      </c>
      <c r="C21" s="205">
        <v>7834.8440328000006</v>
      </c>
      <c r="D21" s="159" t="s">
        <v>2477</v>
      </c>
      <c r="F21" s="159" t="s">
        <v>222</v>
      </c>
      <c r="G21" s="175">
        <v>317.89999999999998</v>
      </c>
      <c r="H21" s="159" t="s">
        <v>2476</v>
      </c>
      <c r="I21" s="181"/>
      <c r="K21" s="180" t="s">
        <v>268</v>
      </c>
      <c r="L21" s="178">
        <v>30.45</v>
      </c>
      <c r="N21" s="159" t="s">
        <v>2469</v>
      </c>
      <c r="O21" s="178">
        <v>29.6</v>
      </c>
    </row>
    <row r="22" spans="2:15" x14ac:dyDescent="0.25">
      <c r="B22" s="249" t="s">
        <v>2366</v>
      </c>
      <c r="C22" s="205">
        <v>12343.597462799999</v>
      </c>
      <c r="D22" s="159" t="s">
        <v>2477</v>
      </c>
      <c r="F22" s="159" t="s">
        <v>223</v>
      </c>
      <c r="G22" s="175">
        <v>325.85000000000002</v>
      </c>
      <c r="H22" s="159" t="s">
        <v>2476</v>
      </c>
      <c r="I22" s="181"/>
      <c r="K22" s="180" t="s">
        <v>269</v>
      </c>
      <c r="L22" s="178">
        <v>43.6</v>
      </c>
      <c r="N22" s="159" t="s">
        <v>316</v>
      </c>
      <c r="O22" s="178">
        <v>45.2</v>
      </c>
    </row>
    <row r="23" spans="2:15" x14ac:dyDescent="0.25">
      <c r="B23" s="249" t="s">
        <v>2367</v>
      </c>
      <c r="C23" s="205">
        <v>31291.117462800001</v>
      </c>
      <c r="D23" s="159" t="s">
        <v>2477</v>
      </c>
      <c r="F23" s="159" t="s">
        <v>224</v>
      </c>
      <c r="G23" s="175">
        <v>326.2</v>
      </c>
      <c r="H23" s="159" t="s">
        <v>2476</v>
      </c>
      <c r="I23" s="181"/>
      <c r="K23" s="180" t="s">
        <v>270</v>
      </c>
      <c r="L23" s="178">
        <v>58.35</v>
      </c>
      <c r="N23" s="159" t="s">
        <v>320</v>
      </c>
      <c r="O23" s="178">
        <v>72.349999999999994</v>
      </c>
    </row>
    <row r="24" spans="2:15" x14ac:dyDescent="0.25">
      <c r="B24" s="249" t="s">
        <v>2368</v>
      </c>
      <c r="C24" s="205">
        <v>43158.162622800002</v>
      </c>
      <c r="D24" s="159" t="s">
        <v>2477</v>
      </c>
      <c r="F24" s="159" t="s">
        <v>225</v>
      </c>
      <c r="G24" s="175">
        <v>370.65</v>
      </c>
      <c r="H24" s="159" t="s">
        <v>2476</v>
      </c>
      <c r="I24" s="181"/>
      <c r="K24" s="180" t="s">
        <v>271</v>
      </c>
      <c r="L24" s="178">
        <v>128.25</v>
      </c>
      <c r="N24" s="159" t="s">
        <v>324</v>
      </c>
      <c r="O24" s="178">
        <v>122.46</v>
      </c>
    </row>
    <row r="25" spans="2:15" x14ac:dyDescent="0.25">
      <c r="B25" s="249" t="s">
        <v>2369</v>
      </c>
      <c r="C25" s="205">
        <v>72125.142622800005</v>
      </c>
      <c r="D25" s="159" t="s">
        <v>2477</v>
      </c>
      <c r="F25" s="159" t="s">
        <v>226</v>
      </c>
      <c r="G25" s="175">
        <v>390.4</v>
      </c>
      <c r="H25" s="159" t="s">
        <v>2476</v>
      </c>
      <c r="I25" s="181"/>
      <c r="K25" s="180"/>
      <c r="L25" s="182"/>
      <c r="N25" s="159" t="s">
        <v>328</v>
      </c>
      <c r="O25" s="178">
        <v>157</v>
      </c>
    </row>
    <row r="26" spans="2:15" x14ac:dyDescent="0.25">
      <c r="B26" s="249" t="s">
        <v>54</v>
      </c>
      <c r="C26" s="174">
        <v>24960.3885228</v>
      </c>
      <c r="D26" s="159" t="s">
        <v>2479</v>
      </c>
      <c r="F26" s="159" t="s">
        <v>227</v>
      </c>
      <c r="G26" s="175">
        <v>413.1</v>
      </c>
      <c r="H26" s="159" t="s">
        <v>2476</v>
      </c>
      <c r="I26" s="181"/>
      <c r="K26" s="166" t="s">
        <v>2462</v>
      </c>
      <c r="L26" s="186">
        <v>65.400000000000006</v>
      </c>
      <c r="N26" s="159" t="s">
        <v>332</v>
      </c>
      <c r="O26" s="178">
        <v>349.3</v>
      </c>
    </row>
    <row r="27" spans="2:15" x14ac:dyDescent="0.25">
      <c r="B27" s="249" t="s">
        <v>55</v>
      </c>
      <c r="C27" s="174">
        <v>47170.8885228</v>
      </c>
      <c r="D27" s="159" t="s">
        <v>2479</v>
      </c>
      <c r="F27" s="159" t="s">
        <v>228</v>
      </c>
      <c r="G27" s="175">
        <v>475.4</v>
      </c>
      <c r="H27" s="159" t="s">
        <v>2476</v>
      </c>
      <c r="I27" s="181"/>
      <c r="K27" s="166" t="s">
        <v>288</v>
      </c>
      <c r="L27" s="186">
        <v>24.2</v>
      </c>
    </row>
    <row r="28" spans="2:15" x14ac:dyDescent="0.25">
      <c r="B28" s="249" t="s">
        <v>56</v>
      </c>
      <c r="C28" s="174">
        <v>49398.5685228</v>
      </c>
      <c r="D28" s="159" t="s">
        <v>2479</v>
      </c>
      <c r="F28" s="159" t="s">
        <v>229</v>
      </c>
      <c r="G28" s="175">
        <v>482.5</v>
      </c>
      <c r="H28" s="159" t="s">
        <v>2476</v>
      </c>
      <c r="I28" s="181"/>
      <c r="K28" s="166" t="s">
        <v>291</v>
      </c>
      <c r="L28" s="186">
        <v>39.6</v>
      </c>
    </row>
    <row r="29" spans="2:15" x14ac:dyDescent="0.25">
      <c r="B29" s="249" t="s">
        <v>83</v>
      </c>
      <c r="C29" s="174">
        <v>11526.4836228</v>
      </c>
      <c r="D29" s="159" t="s">
        <v>2479</v>
      </c>
      <c r="F29" s="159" t="s">
        <v>230</v>
      </c>
      <c r="G29" s="175">
        <v>687.05</v>
      </c>
      <c r="H29" s="159" t="s">
        <v>2476</v>
      </c>
      <c r="I29" s="181"/>
      <c r="K29" s="180"/>
      <c r="L29" s="182"/>
    </row>
    <row r="30" spans="2:15" x14ac:dyDescent="0.25">
      <c r="B30" s="249" t="s">
        <v>85</v>
      </c>
      <c r="C30" s="174">
        <v>12867.7836228</v>
      </c>
      <c r="D30" s="159" t="s">
        <v>2479</v>
      </c>
      <c r="F30" s="159" t="s">
        <v>231</v>
      </c>
      <c r="G30" s="175">
        <v>660.45</v>
      </c>
      <c r="H30" s="159" t="s">
        <v>2476</v>
      </c>
      <c r="I30" s="181"/>
      <c r="K30" s="166" t="s">
        <v>289</v>
      </c>
      <c r="L30" s="186">
        <v>57.05</v>
      </c>
    </row>
    <row r="31" spans="2:15" x14ac:dyDescent="0.25">
      <c r="B31" s="249" t="s">
        <v>87</v>
      </c>
      <c r="C31" s="174">
        <v>15717.663622800001</v>
      </c>
      <c r="D31" s="159" t="s">
        <v>2479</v>
      </c>
      <c r="F31" s="159"/>
      <c r="G31" s="9"/>
      <c r="H31" s="159"/>
      <c r="I31" s="204"/>
      <c r="K31" s="166" t="s">
        <v>289</v>
      </c>
      <c r="L31" s="186">
        <v>57.05</v>
      </c>
    </row>
    <row r="32" spans="2:15" x14ac:dyDescent="0.25">
      <c r="B32" s="249" t="s">
        <v>89</v>
      </c>
      <c r="C32" s="174">
        <v>24413.163622799999</v>
      </c>
      <c r="D32" s="159" t="s">
        <v>2479</v>
      </c>
      <c r="F32" s="187" t="s">
        <v>199</v>
      </c>
      <c r="G32" s="9"/>
      <c r="H32" s="159"/>
      <c r="I32" s="204"/>
      <c r="K32" s="166" t="s">
        <v>292</v>
      </c>
      <c r="L32" s="186">
        <v>130.80000000000001</v>
      </c>
    </row>
    <row r="33" spans="2:12" x14ac:dyDescent="0.25">
      <c r="B33" s="249" t="s">
        <v>2450</v>
      </c>
      <c r="C33" s="299">
        <v>12249.183400000002</v>
      </c>
      <c r="D33" s="159" t="s">
        <v>2479</v>
      </c>
      <c r="F33" s="159" t="s">
        <v>208</v>
      </c>
      <c r="G33" s="175">
        <v>266.38</v>
      </c>
      <c r="H33" s="159" t="s">
        <v>2476</v>
      </c>
      <c r="I33" s="181"/>
      <c r="K33" s="180"/>
      <c r="L33" s="182"/>
    </row>
    <row r="34" spans="2:12" x14ac:dyDescent="0.25">
      <c r="B34" s="249" t="s">
        <v>2451</v>
      </c>
      <c r="C34" s="299">
        <v>25095.063400000003</v>
      </c>
      <c r="D34" s="159" t="s">
        <v>2479</v>
      </c>
      <c r="F34" s="159" t="s">
        <v>209</v>
      </c>
      <c r="G34" s="175">
        <v>275.89999999999998</v>
      </c>
      <c r="H34" s="159" t="s">
        <v>2476</v>
      </c>
      <c r="I34" s="181"/>
      <c r="K34" s="166" t="s">
        <v>2463</v>
      </c>
      <c r="L34" s="186">
        <v>65.400000000000006</v>
      </c>
    </row>
    <row r="35" spans="2:12" x14ac:dyDescent="0.25">
      <c r="B35" s="249" t="s">
        <v>2452</v>
      </c>
      <c r="C35" s="299">
        <v>30671.403400000003</v>
      </c>
      <c r="D35" s="159" t="s">
        <v>2479</v>
      </c>
      <c r="F35" s="159" t="s">
        <v>210</v>
      </c>
      <c r="G35" s="175">
        <v>429.1</v>
      </c>
      <c r="H35" s="159" t="s">
        <v>2476</v>
      </c>
      <c r="I35" s="181"/>
      <c r="K35" s="166" t="s">
        <v>290</v>
      </c>
      <c r="L35" s="186">
        <v>21.65</v>
      </c>
    </row>
    <row r="36" spans="2:12" x14ac:dyDescent="0.25">
      <c r="B36" s="249" t="s">
        <v>2453</v>
      </c>
      <c r="C36" s="299">
        <v>43147.023399999998</v>
      </c>
      <c r="D36" s="159" t="s">
        <v>2479</v>
      </c>
      <c r="F36" s="159" t="s">
        <v>211</v>
      </c>
      <c r="G36" s="175">
        <v>559.4</v>
      </c>
      <c r="H36" s="159" t="s">
        <v>2476</v>
      </c>
      <c r="I36" s="181"/>
      <c r="K36" s="188" t="s">
        <v>293</v>
      </c>
      <c r="L36" s="186">
        <v>46.04</v>
      </c>
    </row>
    <row r="37" spans="2:12" x14ac:dyDescent="0.25">
      <c r="B37" s="249" t="s">
        <v>57</v>
      </c>
      <c r="C37" s="299">
        <v>59693.428522800001</v>
      </c>
      <c r="D37" s="159" t="s">
        <v>2479</v>
      </c>
      <c r="F37" s="159" t="s">
        <v>212</v>
      </c>
      <c r="G37" s="175">
        <v>805.15</v>
      </c>
      <c r="H37" s="159" t="s">
        <v>2476</v>
      </c>
      <c r="I37" s="181"/>
      <c r="K37" s="206"/>
      <c r="L37" s="206"/>
    </row>
    <row r="38" spans="2:12" x14ac:dyDescent="0.25">
      <c r="B38" s="249" t="s">
        <v>53</v>
      </c>
      <c r="C38" s="299">
        <v>10613.324032799999</v>
      </c>
      <c r="D38" s="159" t="s">
        <v>2479</v>
      </c>
      <c r="F38" s="159" t="s">
        <v>213</v>
      </c>
      <c r="G38" s="175">
        <v>1156.5999999999999</v>
      </c>
      <c r="H38" s="159" t="s">
        <v>2476</v>
      </c>
      <c r="I38" s="181"/>
      <c r="K38" s="206"/>
      <c r="L38" s="206"/>
    </row>
    <row r="39" spans="2:12" x14ac:dyDescent="0.25">
      <c r="B39" s="249" t="s">
        <v>52</v>
      </c>
      <c r="C39" s="299">
        <v>10404.224032799999</v>
      </c>
      <c r="D39" s="159" t="s">
        <v>2479</v>
      </c>
      <c r="F39" s="159" t="s">
        <v>214</v>
      </c>
      <c r="G39" s="175">
        <v>1597.9</v>
      </c>
      <c r="H39" s="159" t="s">
        <v>2476</v>
      </c>
      <c r="I39" s="181"/>
      <c r="K39" s="206"/>
      <c r="L39" s="206"/>
    </row>
    <row r="40" spans="2:12" x14ac:dyDescent="0.25">
      <c r="B40" s="249" t="s">
        <v>51</v>
      </c>
      <c r="C40" s="299">
        <v>9034.3640328000001</v>
      </c>
      <c r="D40" s="159" t="s">
        <v>2479</v>
      </c>
      <c r="G40" s="25"/>
      <c r="H40" s="159"/>
      <c r="I40" s="181"/>
      <c r="K40" s="206"/>
      <c r="L40" s="206"/>
    </row>
    <row r="41" spans="2:12" x14ac:dyDescent="0.25">
      <c r="B41" s="249" t="s">
        <v>50</v>
      </c>
      <c r="C41" s="299">
        <v>7772.6240328000004</v>
      </c>
      <c r="D41" s="159" t="s">
        <v>2479</v>
      </c>
      <c r="F41" s="189" t="s">
        <v>2480</v>
      </c>
      <c r="G41" s="9"/>
      <c r="H41" s="159"/>
      <c r="I41" s="181"/>
      <c r="K41" s="206"/>
      <c r="L41" s="206"/>
    </row>
    <row r="42" spans="2:12" x14ac:dyDescent="0.25">
      <c r="B42" s="249" t="s">
        <v>58</v>
      </c>
      <c r="C42" s="299">
        <v>64830.148522800002</v>
      </c>
      <c r="D42" s="159" t="s">
        <v>2479</v>
      </c>
      <c r="F42" s="159" t="s">
        <v>1094</v>
      </c>
      <c r="G42" s="175">
        <v>275.89999999999998</v>
      </c>
      <c r="H42" s="159" t="s">
        <v>2476</v>
      </c>
      <c r="I42" s="181"/>
      <c r="K42" s="206"/>
      <c r="L42" s="206"/>
    </row>
    <row r="43" spans="2:12" x14ac:dyDescent="0.25">
      <c r="B43" s="204"/>
      <c r="C43" s="204"/>
      <c r="F43" s="159" t="s">
        <v>1096</v>
      </c>
      <c r="G43" s="175">
        <v>429.1</v>
      </c>
      <c r="H43" s="159" t="s">
        <v>2476</v>
      </c>
      <c r="I43" s="181"/>
      <c r="K43" s="206"/>
      <c r="L43" s="206"/>
    </row>
    <row r="44" spans="2:12" x14ac:dyDescent="0.25">
      <c r="B44" s="204"/>
      <c r="C44" s="204"/>
      <c r="F44" s="159" t="s">
        <v>1098</v>
      </c>
      <c r="G44" s="175">
        <v>559.4</v>
      </c>
      <c r="H44" s="159" t="s">
        <v>2476</v>
      </c>
      <c r="I44" s="181"/>
      <c r="K44" s="206"/>
      <c r="L44" s="206"/>
    </row>
    <row r="45" spans="2:12" x14ac:dyDescent="0.25">
      <c r="F45" s="159" t="s">
        <v>1100</v>
      </c>
      <c r="G45" s="175">
        <v>805.15</v>
      </c>
      <c r="H45" s="159" t="s">
        <v>2476</v>
      </c>
      <c r="I45" s="181"/>
    </row>
    <row r="46" spans="2:12" ht="18.75" x14ac:dyDescent="0.3">
      <c r="B46" s="698" t="s">
        <v>2481</v>
      </c>
      <c r="C46" s="698"/>
      <c r="D46" s="698"/>
      <c r="F46" s="159"/>
      <c r="G46" s="9"/>
      <c r="H46" s="159"/>
      <c r="I46" s="181"/>
    </row>
    <row r="47" spans="2:12" x14ac:dyDescent="0.25">
      <c r="B47" s="699" t="s">
        <v>2482</v>
      </c>
      <c r="C47" s="159" t="s">
        <v>2483</v>
      </c>
      <c r="D47" s="182">
        <f>'[5]Световая индикация'!D3</f>
        <v>846.98555999999996</v>
      </c>
      <c r="F47" s="190" t="s">
        <v>2485</v>
      </c>
      <c r="G47" s="9"/>
      <c r="H47" s="159"/>
      <c r="I47" s="181"/>
    </row>
    <row r="48" spans="2:12" x14ac:dyDescent="0.25">
      <c r="B48" s="700"/>
      <c r="C48" s="159" t="s">
        <v>2484</v>
      </c>
      <c r="D48" s="182">
        <f>D47</f>
        <v>846.98555999999996</v>
      </c>
      <c r="F48" s="159" t="s">
        <v>1141</v>
      </c>
      <c r="G48" s="175">
        <v>124.52</v>
      </c>
      <c r="H48" s="159" t="s">
        <v>2476</v>
      </c>
    </row>
    <row r="49" spans="2:9" x14ac:dyDescent="0.25">
      <c r="B49" s="699" t="s">
        <v>2486</v>
      </c>
      <c r="C49" s="159" t="s">
        <v>2483</v>
      </c>
      <c r="D49" s="182">
        <f t="shared" ref="D49:D54" si="0">D48</f>
        <v>846.98555999999996</v>
      </c>
      <c r="F49" s="159" t="s">
        <v>1143</v>
      </c>
      <c r="G49" s="175">
        <v>124.52</v>
      </c>
      <c r="H49" s="159" t="s">
        <v>2476</v>
      </c>
      <c r="I49" s="204"/>
    </row>
    <row r="50" spans="2:9" x14ac:dyDescent="0.25">
      <c r="B50" s="700"/>
      <c r="C50" s="159" t="s">
        <v>2484</v>
      </c>
      <c r="D50" s="182">
        <f t="shared" si="0"/>
        <v>846.98555999999996</v>
      </c>
      <c r="F50" s="159" t="s">
        <v>1145</v>
      </c>
      <c r="G50" s="175">
        <v>124.52</v>
      </c>
      <c r="H50" s="159" t="s">
        <v>2476</v>
      </c>
      <c r="I50" s="181"/>
    </row>
    <row r="51" spans="2:9" x14ac:dyDescent="0.25">
      <c r="B51" s="699" t="s">
        <v>2487</v>
      </c>
      <c r="C51" s="159" t="s">
        <v>2483</v>
      </c>
      <c r="D51" s="182">
        <f t="shared" si="0"/>
        <v>846.98555999999996</v>
      </c>
      <c r="F51" s="159" t="s">
        <v>1147</v>
      </c>
      <c r="G51" s="175">
        <v>256.93</v>
      </c>
      <c r="H51" s="159" t="s">
        <v>2476</v>
      </c>
      <c r="I51" s="181"/>
    </row>
    <row r="52" spans="2:9" x14ac:dyDescent="0.25">
      <c r="B52" s="700"/>
      <c r="C52" s="159" t="s">
        <v>2484</v>
      </c>
      <c r="D52" s="182">
        <f t="shared" si="0"/>
        <v>846.98555999999996</v>
      </c>
      <c r="F52" s="159" t="s">
        <v>1149</v>
      </c>
      <c r="G52" s="175">
        <v>258.36</v>
      </c>
      <c r="H52" s="159" t="s">
        <v>2476</v>
      </c>
      <c r="I52" s="181"/>
    </row>
    <row r="53" spans="2:9" x14ac:dyDescent="0.25">
      <c r="B53" s="699" t="s">
        <v>2488</v>
      </c>
      <c r="C53" s="159" t="s">
        <v>2483</v>
      </c>
      <c r="D53" s="182">
        <f t="shared" si="0"/>
        <v>846.98555999999996</v>
      </c>
      <c r="F53" s="159" t="s">
        <v>1151</v>
      </c>
      <c r="G53" s="175">
        <v>258.36</v>
      </c>
      <c r="H53" s="159" t="s">
        <v>2476</v>
      </c>
      <c r="I53" s="181"/>
    </row>
    <row r="54" spans="2:9" x14ac:dyDescent="0.25">
      <c r="B54" s="700"/>
      <c r="C54" s="159" t="s">
        <v>2484</v>
      </c>
      <c r="D54" s="182">
        <f t="shared" si="0"/>
        <v>846.98555999999996</v>
      </c>
      <c r="F54" s="159"/>
      <c r="G54" s="9"/>
      <c r="H54" s="159"/>
      <c r="I54" s="204"/>
    </row>
    <row r="55" spans="2:9" x14ac:dyDescent="0.25">
      <c r="F55" s="191" t="s">
        <v>205</v>
      </c>
      <c r="G55" s="9"/>
      <c r="H55" s="159"/>
      <c r="I55" s="204"/>
    </row>
    <row r="56" spans="2:9" x14ac:dyDescent="0.25">
      <c r="F56" s="159" t="s">
        <v>1195</v>
      </c>
      <c r="G56" s="175">
        <v>41.2</v>
      </c>
      <c r="H56" s="159" t="s">
        <v>2476</v>
      </c>
      <c r="I56" s="181"/>
    </row>
    <row r="57" spans="2:9" ht="18.75" x14ac:dyDescent="0.3">
      <c r="B57" s="698" t="s">
        <v>2489</v>
      </c>
      <c r="C57" s="698"/>
      <c r="D57" s="698"/>
      <c r="F57" s="159" t="s">
        <v>1197</v>
      </c>
      <c r="G57" s="175">
        <v>56.35</v>
      </c>
      <c r="H57" s="159" t="s">
        <v>2476</v>
      </c>
      <c r="I57" s="181"/>
    </row>
    <row r="58" spans="2:9" x14ac:dyDescent="0.25">
      <c r="B58" s="159"/>
      <c r="C58" s="298">
        <v>3500</v>
      </c>
      <c r="D58" s="159"/>
      <c r="F58" s="159" t="s">
        <v>1199</v>
      </c>
      <c r="G58" s="175">
        <v>71.2</v>
      </c>
      <c r="H58" s="159" t="s">
        <v>2476</v>
      </c>
      <c r="I58" s="181"/>
    </row>
    <row r="59" spans="2:9" x14ac:dyDescent="0.25">
      <c r="F59" s="159" t="s">
        <v>1201</v>
      </c>
      <c r="G59" s="175">
        <v>107.25</v>
      </c>
      <c r="H59" s="159" t="s">
        <v>2476</v>
      </c>
      <c r="I59" s="181"/>
    </row>
    <row r="60" spans="2:9" ht="18.75" x14ac:dyDescent="0.3">
      <c r="B60" s="698" t="s">
        <v>2470</v>
      </c>
      <c r="C60" s="698"/>
      <c r="D60" s="698"/>
      <c r="F60" s="159" t="s">
        <v>1203</v>
      </c>
      <c r="G60" s="175">
        <v>145.6</v>
      </c>
      <c r="H60" s="159" t="s">
        <v>2476</v>
      </c>
      <c r="I60" s="181"/>
    </row>
    <row r="61" spans="2:9" x14ac:dyDescent="0.25">
      <c r="B61" s="171" t="s">
        <v>164</v>
      </c>
      <c r="C61" s="172" t="s">
        <v>2505</v>
      </c>
      <c r="D61" s="133" t="s">
        <v>490</v>
      </c>
      <c r="F61" s="159" t="s">
        <v>1205</v>
      </c>
      <c r="G61" s="175">
        <v>227.15</v>
      </c>
      <c r="H61" s="159" t="s">
        <v>2476</v>
      </c>
      <c r="I61" s="181"/>
    </row>
    <row r="62" spans="2:9" x14ac:dyDescent="0.25">
      <c r="B62" s="159" t="s">
        <v>165</v>
      </c>
      <c r="C62" s="175">
        <v>607.79204100000004</v>
      </c>
      <c r="D62" s="159" t="s">
        <v>2476</v>
      </c>
      <c r="F62" s="159" t="s">
        <v>1207</v>
      </c>
      <c r="G62" s="175">
        <v>291</v>
      </c>
      <c r="H62" s="159" t="s">
        <v>2476</v>
      </c>
      <c r="I62" s="204"/>
    </row>
    <row r="63" spans="2:9" x14ac:dyDescent="0.25">
      <c r="B63" s="159" t="s">
        <v>167</v>
      </c>
      <c r="C63" s="175">
        <v>615.75436500000001</v>
      </c>
      <c r="D63" s="159" t="s">
        <v>2476</v>
      </c>
      <c r="F63" s="159" t="s">
        <v>1209</v>
      </c>
      <c r="G63" s="175">
        <v>400.6</v>
      </c>
      <c r="H63" s="159" t="s">
        <v>2476</v>
      </c>
      <c r="I63" s="204"/>
    </row>
    <row r="64" spans="2:9" x14ac:dyDescent="0.25">
      <c r="B64" s="159" t="s">
        <v>169</v>
      </c>
      <c r="C64" s="175">
        <v>619.57936500000005</v>
      </c>
      <c r="D64" s="159" t="s">
        <v>2476</v>
      </c>
      <c r="G64" s="25"/>
      <c r="H64" s="159"/>
      <c r="I64" s="181"/>
    </row>
    <row r="65" spans="2:9" x14ac:dyDescent="0.25">
      <c r="B65" s="159" t="s">
        <v>171</v>
      </c>
      <c r="C65" s="175">
        <v>884.21428500000002</v>
      </c>
      <c r="D65" s="159" t="s">
        <v>2476</v>
      </c>
      <c r="F65" s="159" t="s">
        <v>2003</v>
      </c>
      <c r="G65" s="175">
        <v>240.5</v>
      </c>
      <c r="H65" s="159" t="s">
        <v>2476</v>
      </c>
      <c r="I65" s="181"/>
    </row>
    <row r="66" spans="2:9" x14ac:dyDescent="0.25">
      <c r="B66" s="159" t="s">
        <v>173</v>
      </c>
      <c r="C66" s="175">
        <v>1188.379764</v>
      </c>
      <c r="D66" s="159" t="s">
        <v>2476</v>
      </c>
      <c r="F66" s="159" t="s">
        <v>2005</v>
      </c>
      <c r="G66" s="175">
        <v>140.43</v>
      </c>
      <c r="H66" s="159" t="s">
        <v>2476</v>
      </c>
      <c r="I66" s="181"/>
    </row>
    <row r="67" spans="2:9" x14ac:dyDescent="0.25">
      <c r="B67" s="159" t="s">
        <v>175</v>
      </c>
      <c r="C67" s="175">
        <v>1680.8634060000002</v>
      </c>
      <c r="D67" s="159" t="s">
        <v>2476</v>
      </c>
      <c r="F67" s="192" t="s">
        <v>2490</v>
      </c>
      <c r="G67" s="9"/>
      <c r="H67" s="159" t="s">
        <v>2476</v>
      </c>
      <c r="I67" s="181"/>
    </row>
    <row r="68" spans="2:9" x14ac:dyDescent="0.25">
      <c r="B68" s="159" t="s">
        <v>177</v>
      </c>
      <c r="C68" s="175">
        <v>1933.7465999999999</v>
      </c>
      <c r="D68" s="159" t="s">
        <v>2476</v>
      </c>
      <c r="F68" s="159" t="s">
        <v>2455</v>
      </c>
      <c r="G68" s="175">
        <v>20</v>
      </c>
      <c r="H68" s="159" t="s">
        <v>2476</v>
      </c>
      <c r="I68" s="181"/>
    </row>
    <row r="69" spans="2:9" x14ac:dyDescent="0.25">
      <c r="B69" s="159" t="s">
        <v>179</v>
      </c>
      <c r="C69" s="175">
        <v>2385.3210000000004</v>
      </c>
      <c r="D69" s="159" t="s">
        <v>2476</v>
      </c>
      <c r="F69" s="159" t="s">
        <v>2456</v>
      </c>
      <c r="G69" s="175">
        <v>22</v>
      </c>
      <c r="H69" s="159" t="s">
        <v>2476</v>
      </c>
      <c r="I69" s="181"/>
    </row>
    <row r="70" spans="2:9" x14ac:dyDescent="0.25">
      <c r="C70" s="25"/>
      <c r="D70" s="159"/>
      <c r="F70" s="159" t="s">
        <v>2457</v>
      </c>
      <c r="G70" s="175">
        <v>25</v>
      </c>
      <c r="H70" s="159" t="s">
        <v>2476</v>
      </c>
      <c r="I70" s="181"/>
    </row>
    <row r="71" spans="2:9" x14ac:dyDescent="0.25">
      <c r="B71" s="183" t="s">
        <v>2478</v>
      </c>
      <c r="C71" s="9"/>
      <c r="D71" s="159"/>
      <c r="F71" s="159" t="s">
        <v>2458</v>
      </c>
      <c r="G71" s="175">
        <v>32</v>
      </c>
      <c r="H71" s="159" t="s">
        <v>2476</v>
      </c>
      <c r="I71" s="181"/>
    </row>
    <row r="72" spans="2:9" x14ac:dyDescent="0.25">
      <c r="B72" s="159" t="s">
        <v>215</v>
      </c>
      <c r="C72" s="175">
        <v>734.12536499999999</v>
      </c>
      <c r="D72" s="159" t="s">
        <v>2476</v>
      </c>
      <c r="F72" s="159" t="s">
        <v>2459</v>
      </c>
      <c r="G72" s="175">
        <v>42</v>
      </c>
      <c r="H72" s="159" t="s">
        <v>2476</v>
      </c>
    </row>
    <row r="73" spans="2:9" x14ac:dyDescent="0.25">
      <c r="B73" s="159" t="s">
        <v>216</v>
      </c>
      <c r="C73" s="175">
        <v>755.18836499999998</v>
      </c>
      <c r="D73" s="159" t="s">
        <v>2476</v>
      </c>
      <c r="F73" s="159" t="s">
        <v>2460</v>
      </c>
      <c r="G73" s="175">
        <v>52</v>
      </c>
      <c r="H73" s="159" t="s">
        <v>2476</v>
      </c>
      <c r="I73" s="181"/>
    </row>
    <row r="74" spans="2:9" x14ac:dyDescent="0.25">
      <c r="B74" s="159" t="s">
        <v>217</v>
      </c>
      <c r="C74" s="175">
        <v>756.59596499999998</v>
      </c>
      <c r="D74" s="159" t="s">
        <v>2476</v>
      </c>
      <c r="F74" s="159"/>
      <c r="G74" s="193"/>
      <c r="H74" s="159"/>
      <c r="I74" s="181"/>
    </row>
    <row r="75" spans="2:9" x14ac:dyDescent="0.25">
      <c r="B75" s="159" t="s">
        <v>218</v>
      </c>
      <c r="C75" s="175">
        <v>763.90936499999987</v>
      </c>
      <c r="D75" s="159" t="s">
        <v>2476</v>
      </c>
      <c r="F75" s="159"/>
      <c r="G75" s="193"/>
      <c r="H75" s="159"/>
      <c r="I75" s="204"/>
    </row>
    <row r="76" spans="2:9" x14ac:dyDescent="0.25">
      <c r="B76" s="159" t="s">
        <v>219</v>
      </c>
      <c r="C76" s="175">
        <v>784.41136500000005</v>
      </c>
      <c r="D76" s="159" t="s">
        <v>2476</v>
      </c>
      <c r="F76" s="159"/>
      <c r="G76" s="193"/>
      <c r="H76" s="159"/>
      <c r="I76" s="181"/>
    </row>
    <row r="77" spans="2:9" x14ac:dyDescent="0.25">
      <c r="B77" s="159" t="s">
        <v>220</v>
      </c>
      <c r="C77" s="175">
        <v>805.83136500000001</v>
      </c>
      <c r="D77" s="159" t="s">
        <v>2476</v>
      </c>
      <c r="F77" s="159"/>
      <c r="G77" s="193"/>
      <c r="H77" s="159"/>
      <c r="I77" s="181"/>
    </row>
    <row r="78" spans="2:9" x14ac:dyDescent="0.25">
      <c r="B78" s="159" t="s">
        <v>221</v>
      </c>
      <c r="C78" s="175">
        <v>797.97736499999996</v>
      </c>
      <c r="D78" s="159" t="s">
        <v>2476</v>
      </c>
      <c r="F78" s="159"/>
      <c r="G78" s="193"/>
      <c r="H78" s="159"/>
      <c r="I78" s="181"/>
    </row>
    <row r="79" spans="2:9" x14ac:dyDescent="0.25">
      <c r="B79" s="159" t="s">
        <v>222</v>
      </c>
      <c r="C79" s="175">
        <v>1000.800285</v>
      </c>
      <c r="D79" s="159" t="s">
        <v>2476</v>
      </c>
      <c r="F79" s="159"/>
      <c r="G79" s="9"/>
      <c r="H79" s="159"/>
      <c r="I79" s="181"/>
    </row>
    <row r="80" spans="2:9" x14ac:dyDescent="0.25">
      <c r="B80" s="159" t="s">
        <v>223</v>
      </c>
      <c r="C80" s="175">
        <v>1008.9092850000001</v>
      </c>
      <c r="D80" s="159" t="s">
        <v>2476</v>
      </c>
      <c r="F80" s="194" t="s">
        <v>2491</v>
      </c>
      <c r="G80" s="9"/>
      <c r="H80" s="159"/>
      <c r="I80" s="181"/>
    </row>
    <row r="81" spans="2:9" x14ac:dyDescent="0.25">
      <c r="B81" s="159" t="s">
        <v>224</v>
      </c>
      <c r="C81" s="175">
        <v>1009.2662849999999</v>
      </c>
      <c r="D81" s="159" t="s">
        <v>2476</v>
      </c>
      <c r="F81" s="159" t="s">
        <v>2461</v>
      </c>
      <c r="G81" s="175">
        <v>308</v>
      </c>
      <c r="H81" s="159" t="s">
        <v>2479</v>
      </c>
      <c r="I81" s="181"/>
    </row>
    <row r="82" spans="2:9" x14ac:dyDescent="0.25">
      <c r="B82" s="159" t="s">
        <v>225</v>
      </c>
      <c r="C82" s="175">
        <v>1054.6052850000001</v>
      </c>
      <c r="D82" s="159" t="s">
        <v>2476</v>
      </c>
      <c r="I82" s="181"/>
    </row>
    <row r="83" spans="2:9" x14ac:dyDescent="0.25">
      <c r="B83" s="159" t="s">
        <v>226</v>
      </c>
      <c r="C83" s="175">
        <v>1074.7502850000001</v>
      </c>
      <c r="D83" s="159" t="s">
        <v>2476</v>
      </c>
      <c r="I83" s="181"/>
    </row>
    <row r="84" spans="2:9" x14ac:dyDescent="0.25">
      <c r="B84" s="159" t="s">
        <v>227</v>
      </c>
      <c r="C84" s="175">
        <v>1353.2117640000001</v>
      </c>
      <c r="D84" s="159" t="s">
        <v>2476</v>
      </c>
      <c r="I84" s="181"/>
    </row>
    <row r="85" spans="2:9" x14ac:dyDescent="0.25">
      <c r="B85" s="159" t="s">
        <v>228</v>
      </c>
      <c r="C85" s="175">
        <v>1416.757764</v>
      </c>
      <c r="D85" s="159" t="s">
        <v>2476</v>
      </c>
      <c r="I85" s="181"/>
    </row>
    <row r="86" spans="2:9" x14ac:dyDescent="0.25">
      <c r="B86" s="159" t="s">
        <v>229</v>
      </c>
      <c r="C86" s="175">
        <v>1423.9997639999999</v>
      </c>
      <c r="D86" s="159" t="s">
        <v>2476</v>
      </c>
      <c r="I86" s="181"/>
    </row>
    <row r="87" spans="2:9" x14ac:dyDescent="0.25">
      <c r="B87" s="159" t="s">
        <v>230</v>
      </c>
      <c r="C87" s="175">
        <v>1970.390406</v>
      </c>
      <c r="D87" s="159" t="s">
        <v>2476</v>
      </c>
      <c r="I87" s="204"/>
    </row>
    <row r="88" spans="2:9" x14ac:dyDescent="0.25">
      <c r="B88" s="159" t="s">
        <v>231</v>
      </c>
      <c r="C88" s="175">
        <v>1943.2584060000002</v>
      </c>
      <c r="D88" s="159" t="s">
        <v>2476</v>
      </c>
      <c r="I88" s="204"/>
    </row>
    <row r="89" spans="2:9" x14ac:dyDescent="0.25">
      <c r="B89" s="159"/>
      <c r="C89" s="9"/>
      <c r="D89" s="159"/>
      <c r="I89" s="204"/>
    </row>
    <row r="90" spans="2:9" x14ac:dyDescent="0.25">
      <c r="B90" s="187" t="s">
        <v>199</v>
      </c>
      <c r="C90" s="9"/>
      <c r="D90" s="159"/>
    </row>
    <row r="91" spans="2:9" x14ac:dyDescent="0.25">
      <c r="B91" s="159" t="s">
        <v>208</v>
      </c>
      <c r="C91" s="175">
        <v>799.99696500000005</v>
      </c>
      <c r="D91" s="159" t="s">
        <v>2476</v>
      </c>
    </row>
    <row r="92" spans="2:9" x14ac:dyDescent="0.25">
      <c r="B92" s="159" t="s">
        <v>209</v>
      </c>
      <c r="C92" s="175">
        <v>809.70736499999998</v>
      </c>
      <c r="D92" s="159" t="s">
        <v>2476</v>
      </c>
    </row>
    <row r="93" spans="2:9" x14ac:dyDescent="0.25">
      <c r="B93" s="159" t="s">
        <v>210</v>
      </c>
      <c r="C93" s="175">
        <v>1114.2242850000002</v>
      </c>
      <c r="D93" s="159" t="s">
        <v>2476</v>
      </c>
    </row>
    <row r="94" spans="2:9" x14ac:dyDescent="0.25">
      <c r="B94" s="159" t="s">
        <v>211</v>
      </c>
      <c r="C94" s="175">
        <v>1502.437764</v>
      </c>
      <c r="D94" s="159" t="s">
        <v>2476</v>
      </c>
    </row>
    <row r="95" spans="2:9" x14ac:dyDescent="0.25">
      <c r="B95" s="159" t="s">
        <v>212</v>
      </c>
      <c r="C95" s="175">
        <v>2090.8524060000004</v>
      </c>
      <c r="D95" s="159" t="s">
        <v>2476</v>
      </c>
    </row>
    <row r="96" spans="2:9" x14ac:dyDescent="0.25">
      <c r="B96" s="159" t="s">
        <v>213</v>
      </c>
      <c r="C96" s="175">
        <v>2614.0355999999997</v>
      </c>
      <c r="D96" s="159" t="s">
        <v>2476</v>
      </c>
    </row>
    <row r="97" spans="2:4" x14ac:dyDescent="0.25">
      <c r="B97" s="159" t="s">
        <v>214</v>
      </c>
      <c r="C97" s="175">
        <v>3278.3310000000001</v>
      </c>
      <c r="D97" s="159" t="s">
        <v>2476</v>
      </c>
    </row>
    <row r="98" spans="2:4" x14ac:dyDescent="0.25">
      <c r="C98" s="25"/>
      <c r="D98" s="159"/>
    </row>
    <row r="99" spans="2:4" x14ac:dyDescent="0.25">
      <c r="B99" s="189" t="s">
        <v>2480</v>
      </c>
      <c r="C99" s="9"/>
      <c r="D99" s="159"/>
    </row>
    <row r="100" spans="2:4" x14ac:dyDescent="0.25">
      <c r="B100" s="159" t="s">
        <v>1094</v>
      </c>
      <c r="C100" s="175">
        <v>809.70736499999998</v>
      </c>
      <c r="D100" s="159" t="s">
        <v>2476</v>
      </c>
    </row>
    <row r="101" spans="2:4" x14ac:dyDescent="0.25">
      <c r="B101" s="159" t="s">
        <v>1096</v>
      </c>
      <c r="C101" s="175">
        <v>1114.2242850000002</v>
      </c>
      <c r="D101" s="159" t="s">
        <v>2476</v>
      </c>
    </row>
    <row r="102" spans="2:4" x14ac:dyDescent="0.25">
      <c r="B102" s="159" t="s">
        <v>1098</v>
      </c>
      <c r="C102" s="175">
        <v>1502.437764</v>
      </c>
      <c r="D102" s="159" t="s">
        <v>2476</v>
      </c>
    </row>
    <row r="103" spans="2:4" x14ac:dyDescent="0.25">
      <c r="B103" s="159" t="s">
        <v>1100</v>
      </c>
      <c r="C103" s="175">
        <v>2090.8524060000004</v>
      </c>
      <c r="D103" s="159" t="s">
        <v>2476</v>
      </c>
    </row>
    <row r="104" spans="2:4" x14ac:dyDescent="0.25">
      <c r="B104" s="159"/>
      <c r="C104" s="9"/>
      <c r="D104" s="159"/>
    </row>
    <row r="105" spans="2:4" x14ac:dyDescent="0.25">
      <c r="B105" s="190" t="s">
        <v>2485</v>
      </c>
      <c r="C105" s="9"/>
      <c r="D105" s="159"/>
    </row>
    <row r="106" spans="2:4" x14ac:dyDescent="0.25">
      <c r="B106" s="159" t="s">
        <v>1141</v>
      </c>
      <c r="C106" s="175">
        <v>655.29976499999998</v>
      </c>
      <c r="D106" s="159" t="s">
        <v>2476</v>
      </c>
    </row>
    <row r="107" spans="2:4" x14ac:dyDescent="0.25">
      <c r="B107" s="159" t="s">
        <v>1143</v>
      </c>
      <c r="C107" s="175">
        <v>655.29976499999998</v>
      </c>
      <c r="D107" s="159" t="s">
        <v>2476</v>
      </c>
    </row>
    <row r="108" spans="2:4" x14ac:dyDescent="0.25">
      <c r="B108" s="159" t="s">
        <v>1145</v>
      </c>
      <c r="C108" s="175">
        <v>655.29976499999998</v>
      </c>
      <c r="D108" s="159" t="s">
        <v>2476</v>
      </c>
    </row>
    <row r="109" spans="2:4" x14ac:dyDescent="0.25">
      <c r="B109" s="159" t="s">
        <v>1147</v>
      </c>
      <c r="C109" s="175">
        <v>1193.9183640000003</v>
      </c>
      <c r="D109" s="159" t="s">
        <v>2476</v>
      </c>
    </row>
    <row r="110" spans="2:4" x14ac:dyDescent="0.25">
      <c r="B110" s="159" t="s">
        <v>1149</v>
      </c>
      <c r="C110" s="175">
        <v>1195.376964</v>
      </c>
      <c r="D110" s="159" t="s">
        <v>2476</v>
      </c>
    </row>
    <row r="111" spans="2:4" x14ac:dyDescent="0.25">
      <c r="B111" s="159" t="s">
        <v>1151</v>
      </c>
      <c r="C111" s="175">
        <v>1195.376964</v>
      </c>
      <c r="D111" s="159" t="s">
        <v>2476</v>
      </c>
    </row>
    <row r="112" spans="2:4" x14ac:dyDescent="0.25">
      <c r="B112" s="159"/>
      <c r="C112" s="9"/>
      <c r="D112" s="159"/>
    </row>
    <row r="113" spans="2:4" x14ac:dyDescent="0.25">
      <c r="B113" s="191" t="s">
        <v>205</v>
      </c>
      <c r="C113" s="9"/>
      <c r="D113" s="159"/>
    </row>
    <row r="114" spans="2:4" x14ac:dyDescent="0.25">
      <c r="B114" s="159" t="s">
        <v>1195</v>
      </c>
      <c r="C114" s="175">
        <v>562.86104099999989</v>
      </c>
      <c r="D114" s="159" t="s">
        <v>2476</v>
      </c>
    </row>
    <row r="115" spans="2:4" x14ac:dyDescent="0.25">
      <c r="B115" s="159" t="s">
        <v>1197</v>
      </c>
      <c r="C115" s="175">
        <v>578.31404100000009</v>
      </c>
      <c r="D115" s="159" t="s">
        <v>2476</v>
      </c>
    </row>
    <row r="116" spans="2:4" x14ac:dyDescent="0.25">
      <c r="B116" s="159" t="s">
        <v>1199</v>
      </c>
      <c r="C116" s="175">
        <v>593.46104100000002</v>
      </c>
      <c r="D116" s="159" t="s">
        <v>2476</v>
      </c>
    </row>
    <row r="117" spans="2:4" x14ac:dyDescent="0.25">
      <c r="B117" s="159" t="s">
        <v>1201</v>
      </c>
      <c r="C117" s="175">
        <v>776.57643899999994</v>
      </c>
      <c r="D117" s="159" t="s">
        <v>2476</v>
      </c>
    </row>
    <row r="118" spans="2:4" x14ac:dyDescent="0.25">
      <c r="B118" s="159" t="s">
        <v>1203</v>
      </c>
      <c r="C118" s="175">
        <v>1068.1835760000001</v>
      </c>
      <c r="D118" s="159" t="s">
        <v>2476</v>
      </c>
    </row>
    <row r="119" spans="2:4" x14ac:dyDescent="0.25">
      <c r="B119" s="159" t="s">
        <v>1205</v>
      </c>
      <c r="C119" s="175">
        <v>1488.2053980000001</v>
      </c>
      <c r="D119" s="159" t="s">
        <v>2476</v>
      </c>
    </row>
    <row r="120" spans="2:4" x14ac:dyDescent="0.25">
      <c r="B120" s="159" t="s">
        <v>1207</v>
      </c>
      <c r="C120" s="175">
        <v>1716.5784000000001</v>
      </c>
      <c r="D120" s="159" t="s">
        <v>2476</v>
      </c>
    </row>
    <row r="121" spans="2:4" x14ac:dyDescent="0.25">
      <c r="B121" s="159" t="s">
        <v>1209</v>
      </c>
      <c r="C121" s="175">
        <v>2040.5304000000001</v>
      </c>
      <c r="D121" s="159" t="s">
        <v>2476</v>
      </c>
    </row>
    <row r="122" spans="2:4" x14ac:dyDescent="0.25">
      <c r="C122" s="25"/>
      <c r="D122" s="159"/>
    </row>
    <row r="123" spans="2:4" x14ac:dyDescent="0.25">
      <c r="B123" s="159" t="s">
        <v>2003</v>
      </c>
      <c r="C123" s="175">
        <v>766.14704099999994</v>
      </c>
      <c r="D123" s="159" t="s">
        <v>2476</v>
      </c>
    </row>
    <row r="124" spans="2:4" x14ac:dyDescent="0.25">
      <c r="B124" s="159" t="s">
        <v>2005</v>
      </c>
      <c r="C124" s="175">
        <v>664.07564099999991</v>
      </c>
      <c r="D124" s="159" t="s">
        <v>2476</v>
      </c>
    </row>
    <row r="125" spans="2:4" x14ac:dyDescent="0.25">
      <c r="B125" s="192" t="s">
        <v>2490</v>
      </c>
      <c r="C125" s="9"/>
      <c r="D125" s="159" t="s">
        <v>2476</v>
      </c>
    </row>
    <row r="126" spans="2:4" x14ac:dyDescent="0.25">
      <c r="B126" s="159" t="s">
        <v>2455</v>
      </c>
      <c r="C126" s="175">
        <v>142.957998</v>
      </c>
      <c r="D126" s="159" t="s">
        <v>2476</v>
      </c>
    </row>
    <row r="127" spans="2:4" x14ac:dyDescent="0.25">
      <c r="B127" s="159" t="s">
        <v>2456</v>
      </c>
      <c r="C127" s="175">
        <v>144.997998</v>
      </c>
      <c r="D127" s="159" t="s">
        <v>2476</v>
      </c>
    </row>
    <row r="128" spans="2:4" x14ac:dyDescent="0.25">
      <c r="B128" s="159" t="s">
        <v>2457</v>
      </c>
      <c r="C128" s="175">
        <v>148.057998</v>
      </c>
      <c r="D128" s="159" t="s">
        <v>2476</v>
      </c>
    </row>
    <row r="129" spans="2:4" x14ac:dyDescent="0.25">
      <c r="B129" s="159" t="s">
        <v>2458</v>
      </c>
      <c r="C129" s="175">
        <v>155.87961300000001</v>
      </c>
      <c r="D129" s="159" t="s">
        <v>2476</v>
      </c>
    </row>
    <row r="130" spans="2:4" x14ac:dyDescent="0.25">
      <c r="B130" s="159" t="s">
        <v>2459</v>
      </c>
      <c r="C130" s="175">
        <v>167.85181200000002</v>
      </c>
      <c r="D130" s="159" t="s">
        <v>2476</v>
      </c>
    </row>
    <row r="131" spans="2:4" x14ac:dyDescent="0.25">
      <c r="B131" s="159" t="s">
        <v>2460</v>
      </c>
      <c r="C131" s="175">
        <v>210.24882599999998</v>
      </c>
      <c r="D131" s="159" t="s">
        <v>2476</v>
      </c>
    </row>
    <row r="132" spans="2:4" x14ac:dyDescent="0.25">
      <c r="B132" s="159"/>
      <c r="C132" s="193"/>
      <c r="D132" s="159"/>
    </row>
    <row r="133" spans="2:4" x14ac:dyDescent="0.25">
      <c r="B133" s="194" t="s">
        <v>2491</v>
      </c>
      <c r="C133" s="193"/>
      <c r="D133" s="159"/>
    </row>
    <row r="134" spans="2:4" x14ac:dyDescent="0.25">
      <c r="B134" s="159" t="s">
        <v>2461</v>
      </c>
      <c r="C134" s="207">
        <v>493.725798</v>
      </c>
      <c r="D134" s="159"/>
    </row>
    <row r="135" spans="2:4" x14ac:dyDescent="0.25">
      <c r="B135" s="159"/>
      <c r="C135" s="193"/>
      <c r="D135" s="159"/>
    </row>
    <row r="136" spans="2:4" x14ac:dyDescent="0.25">
      <c r="B136" s="159"/>
      <c r="C136" s="193"/>
      <c r="D136" s="159"/>
    </row>
    <row r="137" spans="2:4" x14ac:dyDescent="0.25">
      <c r="B137" s="159"/>
      <c r="C137" s="9"/>
      <c r="D137" s="159"/>
    </row>
    <row r="138" spans="2:4" x14ac:dyDescent="0.25">
      <c r="B138" s="194" t="s">
        <v>2491</v>
      </c>
      <c r="C138" s="9"/>
      <c r="D138" s="159"/>
    </row>
    <row r="139" spans="2:4" x14ac:dyDescent="0.25">
      <c r="B139" s="159" t="s">
        <v>2461</v>
      </c>
      <c r="C139" s="175">
        <v>308</v>
      </c>
      <c r="D139" s="159" t="s">
        <v>2479</v>
      </c>
    </row>
    <row r="141" spans="2:4" ht="30" x14ac:dyDescent="0.25">
      <c r="B141" s="173" t="s">
        <v>64</v>
      </c>
      <c r="C141" s="170" t="s">
        <v>2473</v>
      </c>
      <c r="D141" s="208" t="s">
        <v>2311</v>
      </c>
    </row>
    <row r="142" spans="2:4" x14ac:dyDescent="0.25">
      <c r="B142" s="26"/>
      <c r="C142" s="159"/>
    </row>
    <row r="143" spans="2:4" x14ac:dyDescent="0.25">
      <c r="B143" s="180" t="s">
        <v>247</v>
      </c>
      <c r="C143" s="178">
        <v>15.62</v>
      </c>
      <c r="D143" s="159">
        <v>29.17</v>
      </c>
    </row>
    <row r="144" spans="2:4" x14ac:dyDescent="0.25">
      <c r="B144" s="180" t="s">
        <v>248</v>
      </c>
      <c r="C144" s="178">
        <v>17.3</v>
      </c>
      <c r="D144" s="159">
        <v>29.17</v>
      </c>
    </row>
    <row r="145" spans="2:4" x14ac:dyDescent="0.25">
      <c r="B145" s="180" t="s">
        <v>249</v>
      </c>
      <c r="C145" s="178">
        <v>28</v>
      </c>
      <c r="D145" s="159">
        <v>29.17</v>
      </c>
    </row>
    <row r="146" spans="2:4" x14ac:dyDescent="0.25">
      <c r="B146" s="180" t="s">
        <v>250</v>
      </c>
      <c r="C146" s="178">
        <v>39.5</v>
      </c>
      <c r="D146" s="159">
        <v>29.17</v>
      </c>
    </row>
    <row r="147" spans="2:4" x14ac:dyDescent="0.25">
      <c r="B147" s="180" t="s">
        <v>251</v>
      </c>
      <c r="C147" s="178">
        <v>55.9</v>
      </c>
      <c r="D147" s="159">
        <v>29.17</v>
      </c>
    </row>
    <row r="148" spans="2:4" x14ac:dyDescent="0.25">
      <c r="B148" s="180" t="s">
        <v>252</v>
      </c>
      <c r="C148" s="178">
        <v>120.85</v>
      </c>
      <c r="D148" s="159">
        <v>29.17</v>
      </c>
    </row>
    <row r="149" spans="2:4" x14ac:dyDescent="0.25">
      <c r="B149" s="180"/>
      <c r="C149" s="182"/>
      <c r="D149" s="159"/>
    </row>
    <row r="150" spans="2:4" x14ac:dyDescent="0.25">
      <c r="B150" s="180" t="s">
        <v>277</v>
      </c>
      <c r="C150" s="178">
        <v>37</v>
      </c>
      <c r="D150" s="159">
        <v>29.17</v>
      </c>
    </row>
    <row r="151" spans="2:4" x14ac:dyDescent="0.25">
      <c r="B151" s="180" t="s">
        <v>278</v>
      </c>
      <c r="C151" s="178">
        <v>39.450000000000003</v>
      </c>
      <c r="D151" s="159">
        <v>29.17</v>
      </c>
    </row>
    <row r="152" spans="2:4" x14ac:dyDescent="0.25">
      <c r="B152" s="180" t="s">
        <v>279</v>
      </c>
      <c r="C152" s="178">
        <v>60.85</v>
      </c>
      <c r="D152" s="159">
        <v>29.17</v>
      </c>
    </row>
    <row r="153" spans="2:4" x14ac:dyDescent="0.25">
      <c r="B153" s="180" t="s">
        <v>280</v>
      </c>
      <c r="C153" s="178">
        <v>76.45</v>
      </c>
      <c r="D153" s="159">
        <v>29.17</v>
      </c>
    </row>
    <row r="154" spans="2:4" x14ac:dyDescent="0.25">
      <c r="B154" s="180" t="s">
        <v>281</v>
      </c>
      <c r="C154" s="178">
        <v>102.3</v>
      </c>
      <c r="D154" s="159">
        <v>29.17</v>
      </c>
    </row>
    <row r="155" spans="2:4" x14ac:dyDescent="0.25">
      <c r="B155" s="180" t="s">
        <v>282</v>
      </c>
      <c r="C155" s="178">
        <v>203.85</v>
      </c>
      <c r="D155" s="159">
        <v>29.17</v>
      </c>
    </row>
    <row r="156" spans="2:4" x14ac:dyDescent="0.25">
      <c r="B156" s="180"/>
      <c r="C156" s="185"/>
      <c r="D156" s="159"/>
    </row>
    <row r="157" spans="2:4" x14ac:dyDescent="0.25">
      <c r="B157" s="180" t="s">
        <v>266</v>
      </c>
      <c r="C157" s="178">
        <v>17.3</v>
      </c>
      <c r="D157" s="159">
        <v>29.17</v>
      </c>
    </row>
    <row r="158" spans="2:4" x14ac:dyDescent="0.25">
      <c r="B158" s="180" t="s">
        <v>267</v>
      </c>
      <c r="C158" s="178">
        <v>18.100000000000001</v>
      </c>
      <c r="D158" s="159">
        <v>29.17</v>
      </c>
    </row>
    <row r="159" spans="2:4" x14ac:dyDescent="0.25">
      <c r="B159" s="180" t="s">
        <v>268</v>
      </c>
      <c r="C159" s="178">
        <v>30.45</v>
      </c>
      <c r="D159" s="159">
        <v>29.17</v>
      </c>
    </row>
    <row r="160" spans="2:4" x14ac:dyDescent="0.25">
      <c r="B160" s="180" t="s">
        <v>269</v>
      </c>
      <c r="C160" s="178">
        <v>43.6</v>
      </c>
      <c r="D160" s="159">
        <v>29.17</v>
      </c>
    </row>
    <row r="161" spans="2:4" x14ac:dyDescent="0.25">
      <c r="B161" s="180" t="s">
        <v>270</v>
      </c>
      <c r="C161" s="178">
        <v>58.35</v>
      </c>
      <c r="D161" s="159">
        <v>29.17</v>
      </c>
    </row>
    <row r="162" spans="2:4" x14ac:dyDescent="0.25">
      <c r="B162" s="180" t="s">
        <v>271</v>
      </c>
      <c r="C162" s="178">
        <v>128.25</v>
      </c>
      <c r="D162" s="159">
        <v>29.17</v>
      </c>
    </row>
    <row r="163" spans="2:4" x14ac:dyDescent="0.25">
      <c r="B163" s="180"/>
      <c r="C163" s="182"/>
      <c r="D163" s="159"/>
    </row>
    <row r="164" spans="2:4" x14ac:dyDescent="0.25">
      <c r="B164" s="166" t="s">
        <v>2462</v>
      </c>
      <c r="C164" s="186">
        <v>65.400000000000006</v>
      </c>
      <c r="D164" s="159">
        <v>29.17</v>
      </c>
    </row>
    <row r="165" spans="2:4" x14ac:dyDescent="0.25">
      <c r="B165" s="166" t="s">
        <v>288</v>
      </c>
      <c r="C165" s="186">
        <v>24.2</v>
      </c>
      <c r="D165" s="159">
        <v>29.17</v>
      </c>
    </row>
    <row r="166" spans="2:4" x14ac:dyDescent="0.25">
      <c r="B166" s="166" t="s">
        <v>291</v>
      </c>
      <c r="C166" s="186">
        <v>39.6</v>
      </c>
      <c r="D166" s="159">
        <v>29.17</v>
      </c>
    </row>
    <row r="167" spans="2:4" x14ac:dyDescent="0.25">
      <c r="B167" s="180"/>
      <c r="C167" s="182"/>
      <c r="D167" s="159"/>
    </row>
    <row r="168" spans="2:4" x14ac:dyDescent="0.25">
      <c r="B168" s="166" t="s">
        <v>289</v>
      </c>
      <c r="C168" s="186">
        <v>57.05</v>
      </c>
      <c r="D168" s="159">
        <v>29.17</v>
      </c>
    </row>
    <row r="169" spans="2:4" x14ac:dyDescent="0.25">
      <c r="B169" s="166" t="s">
        <v>289</v>
      </c>
      <c r="C169" s="186">
        <v>57.05</v>
      </c>
      <c r="D169" s="159">
        <v>29.17</v>
      </c>
    </row>
    <row r="170" spans="2:4" x14ac:dyDescent="0.25">
      <c r="B170" s="166" t="s">
        <v>292</v>
      </c>
      <c r="C170" s="186">
        <v>130.80000000000001</v>
      </c>
      <c r="D170" s="159">
        <v>29.17</v>
      </c>
    </row>
    <row r="171" spans="2:4" x14ac:dyDescent="0.25">
      <c r="B171" s="180"/>
      <c r="C171" s="182"/>
      <c r="D171" s="159"/>
    </row>
    <row r="172" spans="2:4" x14ac:dyDescent="0.25">
      <c r="B172" s="166" t="s">
        <v>2463</v>
      </c>
      <c r="C172" s="186">
        <v>65.400000000000006</v>
      </c>
      <c r="D172" s="159">
        <v>29.17</v>
      </c>
    </row>
    <row r="173" spans="2:4" x14ac:dyDescent="0.25">
      <c r="B173" s="166" t="s">
        <v>290</v>
      </c>
      <c r="C173" s="186">
        <v>21.65</v>
      </c>
      <c r="D173" s="159">
        <v>29.17</v>
      </c>
    </row>
    <row r="174" spans="2:4" x14ac:dyDescent="0.25">
      <c r="B174" s="188" t="s">
        <v>293</v>
      </c>
      <c r="C174" s="186">
        <v>46.04</v>
      </c>
      <c r="D174" s="159">
        <v>29.17</v>
      </c>
    </row>
    <row r="175" spans="2:4" x14ac:dyDescent="0.25">
      <c r="D175" s="159"/>
    </row>
    <row r="176" spans="2:4" ht="30" x14ac:dyDescent="0.25">
      <c r="B176" s="173" t="s">
        <v>64</v>
      </c>
      <c r="C176" s="170" t="s">
        <v>2473</v>
      </c>
      <c r="D176" s="159"/>
    </row>
    <row r="177" spans="2:4" x14ac:dyDescent="0.25">
      <c r="B177" s="159" t="s">
        <v>2464</v>
      </c>
      <c r="C177" s="178">
        <v>24.7</v>
      </c>
      <c r="D177" s="159">
        <v>29.17</v>
      </c>
    </row>
    <row r="178" spans="2:4" x14ac:dyDescent="0.25">
      <c r="B178" s="159" t="s">
        <v>2465</v>
      </c>
      <c r="C178" s="178">
        <v>13.15</v>
      </c>
      <c r="D178" s="159">
        <v>29.17</v>
      </c>
    </row>
    <row r="179" spans="2:4" x14ac:dyDescent="0.25">
      <c r="B179" s="159" t="s">
        <v>314</v>
      </c>
      <c r="C179" s="178">
        <v>17.3</v>
      </c>
      <c r="D179" s="159">
        <v>29.17</v>
      </c>
    </row>
    <row r="180" spans="2:4" x14ac:dyDescent="0.25">
      <c r="B180" s="159" t="s">
        <v>318</v>
      </c>
      <c r="C180" s="178">
        <v>56.75</v>
      </c>
      <c r="D180" s="159">
        <v>29.17</v>
      </c>
    </row>
    <row r="181" spans="2:4" x14ac:dyDescent="0.25">
      <c r="B181" s="159" t="s">
        <v>322</v>
      </c>
      <c r="C181" s="178">
        <v>92.9</v>
      </c>
      <c r="D181" s="159">
        <v>29.17</v>
      </c>
    </row>
    <row r="182" spans="2:4" x14ac:dyDescent="0.25">
      <c r="B182" s="159" t="s">
        <v>326</v>
      </c>
      <c r="C182" s="178">
        <v>147.94999999999999</v>
      </c>
      <c r="D182" s="159">
        <v>29.17</v>
      </c>
    </row>
    <row r="183" spans="2:4" x14ac:dyDescent="0.25">
      <c r="B183" s="159" t="s">
        <v>330</v>
      </c>
      <c r="C183" s="178">
        <v>318.05</v>
      </c>
      <c r="D183" s="159">
        <v>29.17</v>
      </c>
    </row>
    <row r="184" spans="2:4" x14ac:dyDescent="0.25">
      <c r="C184" s="182"/>
      <c r="D184" s="159"/>
    </row>
    <row r="185" spans="2:4" x14ac:dyDescent="0.25">
      <c r="B185" s="159" t="s">
        <v>2466</v>
      </c>
      <c r="C185" s="178">
        <v>79.75</v>
      </c>
      <c r="D185" s="159">
        <v>29.17</v>
      </c>
    </row>
    <row r="186" spans="2:4" x14ac:dyDescent="0.25">
      <c r="B186" s="159" t="s">
        <v>2467</v>
      </c>
      <c r="C186" s="178">
        <v>90.45</v>
      </c>
      <c r="D186" s="159">
        <v>29.17</v>
      </c>
    </row>
    <row r="187" spans="2:4" x14ac:dyDescent="0.25">
      <c r="B187" s="159" t="s">
        <v>315</v>
      </c>
      <c r="C187" s="184">
        <v>65.75</v>
      </c>
      <c r="D187" s="159">
        <v>29.17</v>
      </c>
    </row>
    <row r="188" spans="2:4" x14ac:dyDescent="0.25">
      <c r="B188" s="159" t="s">
        <v>319</v>
      </c>
      <c r="C188" s="178">
        <v>103.55</v>
      </c>
      <c r="D188" s="159">
        <v>29.17</v>
      </c>
    </row>
    <row r="189" spans="2:4" x14ac:dyDescent="0.25">
      <c r="B189" s="159" t="s">
        <v>323</v>
      </c>
      <c r="C189" s="178">
        <v>194</v>
      </c>
      <c r="D189" s="159">
        <v>29.17</v>
      </c>
    </row>
    <row r="190" spans="2:4" x14ac:dyDescent="0.25">
      <c r="B190" s="159" t="s">
        <v>327</v>
      </c>
      <c r="C190" s="178">
        <v>310.67</v>
      </c>
      <c r="D190" s="159">
        <v>29.17</v>
      </c>
    </row>
    <row r="191" spans="2:4" x14ac:dyDescent="0.25">
      <c r="B191" s="159" t="s">
        <v>331</v>
      </c>
      <c r="C191" s="178">
        <v>552.29999999999995</v>
      </c>
      <c r="D191" s="159">
        <v>29.17</v>
      </c>
    </row>
    <row r="192" spans="2:4" x14ac:dyDescent="0.25">
      <c r="C192" s="182"/>
      <c r="D192" s="159"/>
    </row>
    <row r="193" spans="2:4" x14ac:dyDescent="0.25">
      <c r="B193" s="159" t="s">
        <v>2468</v>
      </c>
      <c r="C193" s="178">
        <v>27.15</v>
      </c>
      <c r="D193" s="159">
        <v>29.17</v>
      </c>
    </row>
    <row r="194" spans="2:4" x14ac:dyDescent="0.25">
      <c r="B194" s="159" t="s">
        <v>2469</v>
      </c>
      <c r="C194" s="178">
        <v>29.6</v>
      </c>
      <c r="D194" s="159">
        <v>29.17</v>
      </c>
    </row>
    <row r="195" spans="2:4" x14ac:dyDescent="0.25">
      <c r="B195" s="159" t="s">
        <v>316</v>
      </c>
      <c r="C195" s="178">
        <v>45.2</v>
      </c>
      <c r="D195" s="159">
        <v>29.17</v>
      </c>
    </row>
    <row r="196" spans="2:4" x14ac:dyDescent="0.25">
      <c r="B196" s="159" t="s">
        <v>320</v>
      </c>
      <c r="C196" s="178">
        <v>72.349999999999994</v>
      </c>
      <c r="D196" s="159">
        <v>29.17</v>
      </c>
    </row>
    <row r="197" spans="2:4" x14ac:dyDescent="0.25">
      <c r="B197" s="159" t="s">
        <v>324</v>
      </c>
      <c r="C197" s="178">
        <v>122.46</v>
      </c>
      <c r="D197" s="159">
        <v>29.17</v>
      </c>
    </row>
    <row r="198" spans="2:4" x14ac:dyDescent="0.25">
      <c r="B198" s="159" t="s">
        <v>328</v>
      </c>
      <c r="C198" s="178">
        <v>157</v>
      </c>
      <c r="D198" s="159">
        <v>29.17</v>
      </c>
    </row>
    <row r="199" spans="2:4" x14ac:dyDescent="0.25">
      <c r="B199" s="159" t="s">
        <v>332</v>
      </c>
      <c r="C199" s="178">
        <v>349.3</v>
      </c>
      <c r="D199" s="159">
        <v>29.17</v>
      </c>
    </row>
  </sheetData>
  <mergeCells count="12">
    <mergeCell ref="B2:D2"/>
    <mergeCell ref="B1:L1"/>
    <mergeCell ref="F2:H2"/>
    <mergeCell ref="K2:L2"/>
    <mergeCell ref="N2:O2"/>
    <mergeCell ref="B57:D57"/>
    <mergeCell ref="B60:D60"/>
    <mergeCell ref="B46:D46"/>
    <mergeCell ref="B47:B48"/>
    <mergeCell ref="B49:B50"/>
    <mergeCell ref="B51:B52"/>
    <mergeCell ref="B53:B5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B1:P190"/>
  <sheetViews>
    <sheetView zoomScale="80" zoomScaleNormal="80" workbookViewId="0">
      <selection activeCell="D2" sqref="D2"/>
    </sheetView>
  </sheetViews>
  <sheetFormatPr defaultRowHeight="15" x14ac:dyDescent="0.25"/>
  <cols>
    <col min="2" max="2" width="5.28515625" style="3" customWidth="1"/>
    <col min="3" max="3" width="24.85546875" style="206" customWidth="1"/>
    <col min="4" max="4" width="148.7109375" style="206" customWidth="1"/>
    <col min="5" max="5" width="12.42578125" style="113" bestFit="1" customWidth="1"/>
    <col min="6" max="6" width="13" style="3" customWidth="1"/>
    <col min="7" max="7" width="18.28515625" style="3" customWidth="1"/>
    <col min="8" max="8" width="14.85546875" customWidth="1"/>
    <col min="9" max="9" width="4.85546875" customWidth="1"/>
    <col min="10" max="10" width="38.28515625" customWidth="1"/>
    <col min="11" max="11" width="7.7109375" customWidth="1"/>
    <col min="12" max="12" width="32.85546875" customWidth="1"/>
    <col min="14" max="14" width="35.85546875" customWidth="1"/>
    <col min="15" max="15" width="9.5703125" customWidth="1"/>
    <col min="16" max="16" width="36.140625" customWidth="1"/>
    <col min="17" max="17" width="19.85546875" customWidth="1"/>
  </cols>
  <sheetData>
    <row r="1" spans="2:16" ht="15.75" thickBot="1" x14ac:dyDescent="0.3">
      <c r="B1" s="5" t="s">
        <v>643</v>
      </c>
      <c r="C1" s="5" t="s">
        <v>615</v>
      </c>
      <c r="D1" s="5" t="s">
        <v>64</v>
      </c>
      <c r="E1" s="115" t="s">
        <v>63</v>
      </c>
      <c r="F1" s="116" t="s">
        <v>155</v>
      </c>
      <c r="G1" s="116" t="s">
        <v>462</v>
      </c>
      <c r="H1" s="116" t="s">
        <v>2311</v>
      </c>
    </row>
    <row r="2" spans="2:16" ht="30.75" thickBot="1" x14ac:dyDescent="0.3">
      <c r="B2" s="26">
        <v>1</v>
      </c>
      <c r="C2" s="166" t="str">
        <f>'Рабочий стол'!D21</f>
        <v>ВО.324226</v>
      </c>
      <c r="D2" s="166" t="str">
        <f>VLOOKUP(C2,Таблица37[],2,0)</f>
        <v>ВО.324226 - Взрывонепроницаемая оболочка ВЗОР из алюминиевого сплава серии ВО, 320x420x270 мм, Ex db IIB+H2 Gb U, IP66</v>
      </c>
      <c r="E2" s="250">
        <f>VLOOKUP(C2,Таблица37[],8,0)</f>
        <v>47170.8885228</v>
      </c>
      <c r="F2" s="26">
        <v>1</v>
      </c>
      <c r="G2" s="250">
        <f>_xlfn.IFNA(E2*F2,0)</f>
        <v>47170.8885228</v>
      </c>
      <c r="H2" s="250">
        <f>_xlfn.IFNA(VLOOKUP(C2,Таблица37[],7,0),0)*Таблица40[[#This Row],[Количество]]</f>
        <v>0</v>
      </c>
      <c r="L2" s="117" t="s">
        <v>2362</v>
      </c>
      <c r="N2" s="120" t="s">
        <v>2363</v>
      </c>
      <c r="P2" s="147" t="s">
        <v>2506</v>
      </c>
    </row>
    <row r="3" spans="2:16" ht="27" thickBot="1" x14ac:dyDescent="0.3">
      <c r="B3" s="26">
        <v>2</v>
      </c>
      <c r="C3" s="166" t="str">
        <f>'Рабочий стол'!O5</f>
        <v>ВЗ-МБ25</v>
      </c>
      <c r="D3" s="166" t="str">
        <f>VLOOKUP(C3,Таблица37[],2,0)</f>
        <v xml:space="preserve">ВЗ-МБ25 - Взрывозащищенный кабельный ввод ВЗОР для всех типов бронированного кабеля круглого сечения, диаметр обжимаемого кабеля по наружной оболочке 15-25 мм, по внутренней оболочке 12-18 мм, М25х1,5-6g, никелированная латунь, 1Ex d IIC Gb / 1Ex e IIC Gb / 0Ex ia IIC Ga / 2Ex nR IIC Gc / Ex ta IIIC Da, IP66 / IP68 </v>
      </c>
      <c r="E3" s="250">
        <f>VLOOKUP(C3,Таблица37[],8,0)</f>
        <v>1243.8242850000001</v>
      </c>
      <c r="F3" s="26">
        <f>'Рабочий стол'!S5</f>
        <v>2</v>
      </c>
      <c r="G3" s="250">
        <f t="shared" ref="G3:G109" si="0">_xlfn.IFNA(E3*F3,0)</f>
        <v>2487.6485700000003</v>
      </c>
      <c r="H3" s="250">
        <f>_xlfn.IFNA(VLOOKUP(C3,Таблица37[],7,0),0)*Таблица40[[#This Row],[Количество]]</f>
        <v>259.2</v>
      </c>
      <c r="L3" s="146">
        <f>SUM(Таблица38[Точек подключения])</f>
        <v>6</v>
      </c>
      <c r="N3" s="146">
        <f>SUM(Таблица40[Трудозатраты])</f>
        <v>1204.83</v>
      </c>
      <c r="P3" s="146">
        <f>L3*145.8</f>
        <v>874.80000000000007</v>
      </c>
    </row>
    <row r="4" spans="2:16" ht="15.75" thickBot="1" x14ac:dyDescent="0.3">
      <c r="B4" s="26">
        <v>3</v>
      </c>
      <c r="C4" s="166">
        <f>'Рабочий стол'!O8</f>
        <v>0</v>
      </c>
      <c r="D4" s="166" t="e">
        <f>VLOOKUP(C4,Таблица37[],2,0)</f>
        <v>#N/A</v>
      </c>
      <c r="E4" s="250" t="e">
        <f>VLOOKUP(C4,Таблица37[],8,0)</f>
        <v>#N/A</v>
      </c>
      <c r="F4" s="26">
        <f>'Рабочий стол'!S8</f>
        <v>0</v>
      </c>
      <c r="G4" s="250">
        <f t="shared" si="0"/>
        <v>0</v>
      </c>
      <c r="H4" s="250">
        <f>_xlfn.IFNA(VLOOKUP(C4,Таблица37[],7,0),0)*Таблица40[[#This Row],[Количество]]</f>
        <v>0</v>
      </c>
    </row>
    <row r="5" spans="2:16" ht="15.75" thickBot="1" x14ac:dyDescent="0.3">
      <c r="B5" s="26">
        <v>4</v>
      </c>
      <c r="C5" s="166">
        <f>'Рабочий стол'!O11</f>
        <v>0</v>
      </c>
      <c r="D5" s="166" t="e">
        <f>VLOOKUP(C5,Таблица37[],2,0)</f>
        <v>#N/A</v>
      </c>
      <c r="E5" s="250" t="e">
        <f>VLOOKUP(C5,Таблица37[],8,0)</f>
        <v>#N/A</v>
      </c>
      <c r="F5" s="26">
        <f>'Рабочий стол'!S11</f>
        <v>0</v>
      </c>
      <c r="G5" s="250">
        <f t="shared" si="0"/>
        <v>0</v>
      </c>
      <c r="H5" s="250">
        <f>_xlfn.IFNA(VLOOKUP(C5,Таблица37[],7,0),0)*Таблица40[[#This Row],[Количество]]</f>
        <v>0</v>
      </c>
      <c r="L5" s="149" t="s">
        <v>2361</v>
      </c>
    </row>
    <row r="6" spans="2:16" ht="27" thickBot="1" x14ac:dyDescent="0.3">
      <c r="B6" s="26">
        <v>5</v>
      </c>
      <c r="C6" s="166">
        <f>'Рабочий стол'!O14</f>
        <v>0</v>
      </c>
      <c r="D6" s="166" t="e">
        <f>VLOOKUP(C6,Таблица37[],2,0)</f>
        <v>#N/A</v>
      </c>
      <c r="E6" s="250" t="e">
        <f>VLOOKUP(C6,Таблица37[],8,0)</f>
        <v>#N/A</v>
      </c>
      <c r="F6" s="26">
        <f>'Рабочий стол'!S14</f>
        <v>0</v>
      </c>
      <c r="G6" s="250">
        <f t="shared" si="0"/>
        <v>0</v>
      </c>
      <c r="H6" s="250">
        <f>_xlfn.IFNA(VLOOKUP(C6,Таблица37[],7,0),0)*Таблица40[[#This Row],[Количество]]</f>
        <v>0</v>
      </c>
      <c r="L6" s="148">
        <f>N3+P3</f>
        <v>2079.63</v>
      </c>
    </row>
    <row r="7" spans="2:16" ht="15.75" thickBot="1" x14ac:dyDescent="0.3">
      <c r="B7" s="26">
        <v>6</v>
      </c>
      <c r="C7" s="166">
        <f>'Рабочий стол'!O17</f>
        <v>0</v>
      </c>
      <c r="D7" s="166" t="e">
        <f>VLOOKUP(C7,Таблица37[],2,0)</f>
        <v>#N/A</v>
      </c>
      <c r="E7" s="250" t="e">
        <f>VLOOKUP(C7,Таблица37[],8,0)</f>
        <v>#N/A</v>
      </c>
      <c r="F7" s="26">
        <f>'Рабочий стол'!S17</f>
        <v>0</v>
      </c>
      <c r="G7" s="250">
        <f t="shared" si="0"/>
        <v>0</v>
      </c>
      <c r="H7" s="250">
        <f>_xlfn.IFNA(VLOOKUP(C7,Таблица37[],7,0),0)*Таблица40[[#This Row],[Количество]]</f>
        <v>0</v>
      </c>
    </row>
    <row r="8" spans="2:16" x14ac:dyDescent="0.25">
      <c r="B8" s="26">
        <v>7</v>
      </c>
      <c r="C8" s="166">
        <f>'Рабочий стол'!X5</f>
        <v>0</v>
      </c>
      <c r="D8" s="166" t="e">
        <f>VLOOKUP(C8,Таблица37[],2,0)</f>
        <v>#N/A</v>
      </c>
      <c r="E8" s="250" t="e">
        <f>VLOOKUP(C8,Таблица37[],8,0)</f>
        <v>#N/A</v>
      </c>
      <c r="F8" s="26">
        <f>'Рабочий стол'!AB5</f>
        <v>0</v>
      </c>
      <c r="G8" s="250">
        <f t="shared" si="0"/>
        <v>0</v>
      </c>
      <c r="H8" s="250">
        <f>_xlfn.IFNA(VLOOKUP(C8,Таблица37[],7,0),0)*Таблица40[[#This Row],[Количество]]</f>
        <v>0</v>
      </c>
      <c r="J8" s="679" t="s">
        <v>2350</v>
      </c>
      <c r="M8" s="150"/>
      <c r="N8" s="150"/>
    </row>
    <row r="9" spans="2:16" ht="15.75" thickBot="1" x14ac:dyDescent="0.3">
      <c r="B9" s="26">
        <v>8</v>
      </c>
      <c r="C9" s="166" t="str">
        <f>'Рабочий стол'!O23</f>
        <v>ВЗ-МБ32</v>
      </c>
      <c r="D9" s="166" t="str">
        <f>VLOOKUP(C9,Таблица37[],2,0)</f>
        <v xml:space="preserve">ВЗ-МБ32 - Взрывозащищенный кабельный ввод ВЗОР для всех типов бронированного кабеля круглого сечения, диаметр обжимаемого кабеля по наружной оболочке 21-31 мм, по внутренней оболочке 18-25 мм, М32х1,5-6g, никелированная латунь, 1Ex d IIC Gb / 1Ex e IIC Gb / 0Ex ia IIC Ga / 2Ex nR IIC Gc / Ex ta IIIC Da, IP66 / IP68 </v>
      </c>
      <c r="E9" s="250">
        <f>VLOOKUP(C9,Таблица37[],8,0)</f>
        <v>1692.5177639999999</v>
      </c>
      <c r="F9" s="26">
        <f>'Рабочий стол'!S23</f>
        <v>1</v>
      </c>
      <c r="G9" s="250">
        <f t="shared" si="0"/>
        <v>1692.5177639999999</v>
      </c>
      <c r="H9" s="250">
        <f>_xlfn.IFNA(VLOOKUP(C9,Таблица37[],7,0),0)*Таблица40[[#This Row],[Количество]]</f>
        <v>190.08</v>
      </c>
      <c r="J9" s="680"/>
      <c r="M9" s="150"/>
    </row>
    <row r="10" spans="2:16" ht="19.5" thickBot="1" x14ac:dyDescent="0.3">
      <c r="B10" s="26">
        <v>9</v>
      </c>
      <c r="C10" s="166">
        <f>'Рабочий стол'!O35</f>
        <v>0</v>
      </c>
      <c r="D10" s="166" t="e">
        <f>VLOOKUP(C10,Таблица37[],2,0)</f>
        <v>#N/A</v>
      </c>
      <c r="E10" s="250" t="e">
        <f>VLOOKUP(C10,Таблица37[],8,0)</f>
        <v>#N/A</v>
      </c>
      <c r="F10" s="26">
        <f>'Рабочий стол'!S35</f>
        <v>0</v>
      </c>
      <c r="G10" s="250">
        <f t="shared" si="0"/>
        <v>0</v>
      </c>
      <c r="H10" s="250">
        <f>_xlfn.IFNA(VLOOKUP(C10,Таблица37[],7,0),0)*Таблица40[[#This Row],[Количество]]</f>
        <v>0</v>
      </c>
      <c r="J10" s="151">
        <f>SUM(G2:G187,L6)</f>
        <v>66304.475416799993</v>
      </c>
      <c r="N10" s="39">
        <f>J10*1.5</f>
        <v>99456.713125199982</v>
      </c>
    </row>
    <row r="11" spans="2:16" x14ac:dyDescent="0.25">
      <c r="B11" s="26">
        <v>10</v>
      </c>
      <c r="C11" s="166">
        <f>'Рабочий стол'!X35</f>
        <v>0</v>
      </c>
      <c r="D11" s="166" t="e">
        <f>VLOOKUP(C11,Таблица37[],2,0)</f>
        <v>#N/A</v>
      </c>
      <c r="E11" s="250" t="e">
        <f>VLOOKUP(C11,Таблица37[],8,0)</f>
        <v>#N/A</v>
      </c>
      <c r="F11" s="26">
        <f>'Рабочий стол'!AB35</f>
        <v>0</v>
      </c>
      <c r="G11" s="250">
        <f t="shared" si="0"/>
        <v>0</v>
      </c>
      <c r="H11" s="250">
        <f>_xlfn.IFNA(VLOOKUP(C11,Таблица37[],7,0),0)*Таблица40[[#This Row],[Количество]]</f>
        <v>0</v>
      </c>
    </row>
    <row r="12" spans="2:16" ht="15.75" customHeight="1" x14ac:dyDescent="0.25">
      <c r="B12" s="26">
        <v>11</v>
      </c>
      <c r="C12" s="166">
        <f>'Рабочий стол'!AY5</f>
        <v>0</v>
      </c>
      <c r="D12" s="297">
        <f>'Рабочий стол'!AZ5</f>
        <v>0</v>
      </c>
      <c r="E12" s="250">
        <f>'Рабочий стол'!BB5</f>
        <v>0</v>
      </c>
      <c r="F12" s="251">
        <f>'Рабочий стол'!BA5</f>
        <v>0</v>
      </c>
      <c r="G12" s="250">
        <f t="shared" si="0"/>
        <v>0</v>
      </c>
      <c r="H12" s="250">
        <f>_xlfn.IFNA(VLOOKUP(C12,Таблица37[],7,0),0)*Таблица40[[#This Row],[Количество]]</f>
        <v>0</v>
      </c>
    </row>
    <row r="13" spans="2:16" ht="15.75" customHeight="1" x14ac:dyDescent="0.25">
      <c r="B13" s="26">
        <v>12</v>
      </c>
      <c r="C13" s="166">
        <f>'Рабочий стол'!AY27</f>
        <v>0</v>
      </c>
      <c r="D13" s="297">
        <f>'Рабочий стол'!AZ27</f>
        <v>0</v>
      </c>
      <c r="E13" s="250">
        <f>'Рабочий стол'!BB27</f>
        <v>0</v>
      </c>
      <c r="F13" s="251">
        <f>'Рабочий стол'!BA27</f>
        <v>0</v>
      </c>
      <c r="G13" s="250">
        <f t="shared" si="0"/>
        <v>0</v>
      </c>
      <c r="H13" s="250">
        <f>_xlfn.IFNA(VLOOKUP(C13,Таблица37[],7,0),0)*Таблица40[[#This Row],[Количество]]</f>
        <v>0</v>
      </c>
    </row>
    <row r="14" spans="2:16" ht="15.75" customHeight="1" x14ac:dyDescent="0.25">
      <c r="B14" s="26">
        <v>13</v>
      </c>
      <c r="C14" s="166">
        <f>'Рабочий стол'!AY28</f>
        <v>0</v>
      </c>
      <c r="D14" s="297">
        <f>'Рабочий стол'!AZ28</f>
        <v>0</v>
      </c>
      <c r="E14" s="250">
        <f>'Рабочий стол'!BB28</f>
        <v>0</v>
      </c>
      <c r="F14" s="251">
        <f>'Рабочий стол'!BA28</f>
        <v>0</v>
      </c>
      <c r="G14" s="250">
        <f t="shared" si="0"/>
        <v>0</v>
      </c>
      <c r="H14" s="250">
        <f>_xlfn.IFNA(VLOOKUP(C14,Таблица37[],7,0),0)*Таблица40[[#This Row],[Количество]]</f>
        <v>0</v>
      </c>
    </row>
    <row r="15" spans="2:16" ht="15.75" customHeight="1" x14ac:dyDescent="0.25">
      <c r="B15" s="26">
        <v>14</v>
      </c>
      <c r="C15" s="166">
        <f>'Рабочий стол'!AY29</f>
        <v>0</v>
      </c>
      <c r="D15" s="297">
        <f>'Рабочий стол'!AZ29</f>
        <v>0</v>
      </c>
      <c r="E15" s="250">
        <f>'Рабочий стол'!BB29</f>
        <v>0</v>
      </c>
      <c r="F15" s="251">
        <f>'Рабочий стол'!BA29</f>
        <v>0</v>
      </c>
      <c r="G15" s="250">
        <f t="shared" si="0"/>
        <v>0</v>
      </c>
      <c r="H15" s="250">
        <f>_xlfn.IFNA(VLOOKUP(C15,Таблица37[],7,0),0)*Таблица40[[#This Row],[Количество]]</f>
        <v>0</v>
      </c>
    </row>
    <row r="16" spans="2:16" ht="15.75" customHeight="1" x14ac:dyDescent="0.25">
      <c r="B16" s="26">
        <v>15</v>
      </c>
      <c r="C16" s="166">
        <f>'Рабочий стол'!AY30</f>
        <v>0</v>
      </c>
      <c r="D16" s="297">
        <f>'Рабочий стол'!AZ30</f>
        <v>0</v>
      </c>
      <c r="E16" s="250">
        <f>'Рабочий стол'!BB30</f>
        <v>0</v>
      </c>
      <c r="F16" s="251">
        <f>'Рабочий стол'!BA30</f>
        <v>0</v>
      </c>
      <c r="G16" s="250">
        <f t="shared" si="0"/>
        <v>0</v>
      </c>
      <c r="H16" s="250">
        <f>_xlfn.IFNA(VLOOKUP(C16,Таблица37[],7,0),0)*Таблица40[[#This Row],[Количество]]</f>
        <v>0</v>
      </c>
    </row>
    <row r="17" spans="2:8" ht="15.75" customHeight="1" x14ac:dyDescent="0.25">
      <c r="B17" s="26">
        <v>16</v>
      </c>
      <c r="C17" s="166">
        <f>'Рабочий стол'!AY31</f>
        <v>0</v>
      </c>
      <c r="D17" s="297">
        <f>'Рабочий стол'!AZ31</f>
        <v>0</v>
      </c>
      <c r="E17" s="250">
        <f>'Рабочий стол'!BB31</f>
        <v>0</v>
      </c>
      <c r="F17" s="251">
        <f>'Рабочий стол'!BA31</f>
        <v>0</v>
      </c>
      <c r="G17" s="250">
        <f t="shared" si="0"/>
        <v>0</v>
      </c>
      <c r="H17" s="250">
        <f>_xlfn.IFNA(VLOOKUP(C17,Таблица37[],7,0),0)*Таблица40[[#This Row],[Количество]]</f>
        <v>0</v>
      </c>
    </row>
    <row r="18" spans="2:8" ht="15.75" customHeight="1" x14ac:dyDescent="0.25">
      <c r="B18" s="26">
        <v>17</v>
      </c>
      <c r="C18" s="166">
        <f>'Рабочий стол'!AY32</f>
        <v>0</v>
      </c>
      <c r="D18" s="297">
        <f>'Рабочий стол'!AZ32</f>
        <v>0</v>
      </c>
      <c r="E18" s="250">
        <f>'Рабочий стол'!BB32</f>
        <v>0</v>
      </c>
      <c r="F18" s="251">
        <f>'Рабочий стол'!BA32</f>
        <v>0</v>
      </c>
      <c r="G18" s="250">
        <f t="shared" si="0"/>
        <v>0</v>
      </c>
      <c r="H18" s="250">
        <f>_xlfn.IFNA(VLOOKUP(C18,Таблица37[],7,0),0)*Таблица40[[#This Row],[Количество]]</f>
        <v>0</v>
      </c>
    </row>
    <row r="19" spans="2:8" ht="15.75" customHeight="1" x14ac:dyDescent="0.25">
      <c r="B19" s="26">
        <v>18</v>
      </c>
      <c r="C19" s="166">
        <f>'Рабочий стол'!AY33</f>
        <v>0</v>
      </c>
      <c r="D19" s="297">
        <f>'Рабочий стол'!AZ33</f>
        <v>0</v>
      </c>
      <c r="E19" s="250">
        <f>'Рабочий стол'!BB33</f>
        <v>0</v>
      </c>
      <c r="F19" s="251">
        <f>'Рабочий стол'!BA33</f>
        <v>0</v>
      </c>
      <c r="G19" s="250">
        <f t="shared" si="0"/>
        <v>0</v>
      </c>
      <c r="H19" s="250">
        <f>_xlfn.IFNA(VLOOKUP(C19,Таблица37[],7,0),0)*Таблица40[[#This Row],[Количество]]</f>
        <v>0</v>
      </c>
    </row>
    <row r="20" spans="2:8" ht="15.75" customHeight="1" x14ac:dyDescent="0.25">
      <c r="B20" s="26">
        <v>19</v>
      </c>
      <c r="C20" s="166">
        <f>'Рабочий стол'!AY34</f>
        <v>0</v>
      </c>
      <c r="D20" s="297">
        <f>'Рабочий стол'!AZ34</f>
        <v>0</v>
      </c>
      <c r="E20" s="250">
        <f>'Рабочий стол'!BB34</f>
        <v>0</v>
      </c>
      <c r="F20" s="251">
        <f>'Рабочий стол'!BA34</f>
        <v>0</v>
      </c>
      <c r="G20" s="250">
        <f t="shared" si="0"/>
        <v>0</v>
      </c>
      <c r="H20" s="250">
        <f>_xlfn.IFNA(VLOOKUP(C20,Таблица37[],7,0),0)*Таблица40[[#This Row],[Количество]]</f>
        <v>0</v>
      </c>
    </row>
    <row r="21" spans="2:8" ht="15.75" customHeight="1" x14ac:dyDescent="0.25">
      <c r="B21" s="26">
        <v>20</v>
      </c>
      <c r="C21" s="166">
        <f>'Рабочий стол'!AY35</f>
        <v>0</v>
      </c>
      <c r="D21" s="297">
        <f>'Рабочий стол'!AZ35</f>
        <v>0</v>
      </c>
      <c r="E21" s="250">
        <f>'Рабочий стол'!BB35</f>
        <v>0</v>
      </c>
      <c r="F21" s="251">
        <f>'Рабочий стол'!BA35</f>
        <v>0</v>
      </c>
      <c r="G21" s="250">
        <f t="shared" ref="G21:G63" si="1">E21*F21</f>
        <v>0</v>
      </c>
      <c r="H21" s="250">
        <f>_xlfn.IFNA(VLOOKUP(C21,Таблица37[],7,0),0)*Таблица40[[#This Row],[Количество]]</f>
        <v>0</v>
      </c>
    </row>
    <row r="22" spans="2:8" ht="15.75" customHeight="1" x14ac:dyDescent="0.25">
      <c r="B22" s="26">
        <v>21</v>
      </c>
      <c r="C22" s="166">
        <f>'Рабочий стол'!AY36</f>
        <v>0</v>
      </c>
      <c r="D22" s="297">
        <f>'Рабочий стол'!AZ36</f>
        <v>0</v>
      </c>
      <c r="E22" s="250">
        <f>'Рабочий стол'!BB36</f>
        <v>0</v>
      </c>
      <c r="F22" s="251">
        <f>'Рабочий стол'!BA36</f>
        <v>0</v>
      </c>
      <c r="G22" s="250">
        <f t="shared" si="1"/>
        <v>0</v>
      </c>
      <c r="H22" s="250">
        <f>_xlfn.IFNA(VLOOKUP(C22,Таблица37[],7,0),0)*Таблица40[[#This Row],[Количество]]</f>
        <v>0</v>
      </c>
    </row>
    <row r="23" spans="2:8" ht="15.75" customHeight="1" x14ac:dyDescent="0.25">
      <c r="B23" s="26">
        <v>22</v>
      </c>
      <c r="C23" s="166">
        <f>'Рабочий стол'!AY37</f>
        <v>0</v>
      </c>
      <c r="D23" s="297">
        <f>'Рабочий стол'!AZ37</f>
        <v>0</v>
      </c>
      <c r="E23" s="250">
        <f>'Рабочий стол'!BB37</f>
        <v>0</v>
      </c>
      <c r="F23" s="251">
        <f>'Рабочий стол'!BA37</f>
        <v>0</v>
      </c>
      <c r="G23" s="250">
        <f t="shared" si="1"/>
        <v>0</v>
      </c>
      <c r="H23" s="250">
        <f>_xlfn.IFNA(VLOOKUP(C23,Таблица37[],7,0),0)*Таблица40[[#This Row],[Количество]]</f>
        <v>0</v>
      </c>
    </row>
    <row r="24" spans="2:8" x14ac:dyDescent="0.25">
      <c r="B24" s="26">
        <v>23</v>
      </c>
      <c r="C24" s="166">
        <f>'Рабочий стол'!AY38</f>
        <v>0</v>
      </c>
      <c r="D24" s="297">
        <f>'Рабочий стол'!AZ38</f>
        <v>0</v>
      </c>
      <c r="E24" s="250">
        <f>'Рабочий стол'!BB38</f>
        <v>0</v>
      </c>
      <c r="F24" s="251">
        <f>'Рабочий стол'!BA38</f>
        <v>0</v>
      </c>
      <c r="G24" s="250">
        <f t="shared" si="1"/>
        <v>0</v>
      </c>
      <c r="H24" s="250">
        <f>_xlfn.IFNA(VLOOKUP(C24,Таблица37[],7,0),0)*Таблица40[[#This Row],[Количество]]</f>
        <v>0</v>
      </c>
    </row>
    <row r="25" spans="2:8" x14ac:dyDescent="0.25">
      <c r="B25" s="26">
        <v>24</v>
      </c>
      <c r="C25" s="166">
        <f>'Рабочий стол'!AY39</f>
        <v>0</v>
      </c>
      <c r="D25" s="297">
        <f>'Рабочий стол'!AZ39</f>
        <v>0</v>
      </c>
      <c r="E25" s="250">
        <f>'Рабочий стол'!BB39</f>
        <v>0</v>
      </c>
      <c r="F25" s="251">
        <f>'Рабочий стол'!BA39</f>
        <v>0</v>
      </c>
      <c r="G25" s="250">
        <f t="shared" si="1"/>
        <v>0</v>
      </c>
      <c r="H25" s="250">
        <f>_xlfn.IFNA(VLOOKUP(C25,Таблица37[],7,0),0)*Таблица40[[#This Row],[Количество]]</f>
        <v>0</v>
      </c>
    </row>
    <row r="26" spans="2:8" ht="15.75" customHeight="1" x14ac:dyDescent="0.25">
      <c r="B26" s="26">
        <v>25</v>
      </c>
      <c r="C26" s="166">
        <f>'Рабочий стол'!AY40</f>
        <v>0</v>
      </c>
      <c r="D26" s="297">
        <f>'Рабочий стол'!AZ40</f>
        <v>0</v>
      </c>
      <c r="E26" s="250">
        <f>'Рабочий стол'!BB40</f>
        <v>0</v>
      </c>
      <c r="F26" s="251">
        <f>'Рабочий стол'!BA40</f>
        <v>0</v>
      </c>
      <c r="G26" s="250">
        <f t="shared" si="1"/>
        <v>0</v>
      </c>
      <c r="H26" s="250">
        <f>_xlfn.IFNA(VLOOKUP(C26,Таблица37[],7,0),0)*Таблица40[[#This Row],[Количество]]</f>
        <v>0</v>
      </c>
    </row>
    <row r="27" spans="2:8" x14ac:dyDescent="0.25">
      <c r="B27" s="26">
        <v>26</v>
      </c>
      <c r="C27" s="166">
        <f>'Рабочий стол'!AY41</f>
        <v>0</v>
      </c>
      <c r="D27" s="297">
        <f>'Рабочий стол'!AZ41</f>
        <v>0</v>
      </c>
      <c r="E27" s="250">
        <f>'Рабочий стол'!BB41</f>
        <v>0</v>
      </c>
      <c r="F27" s="251">
        <f>'Рабочий стол'!BA41</f>
        <v>0</v>
      </c>
      <c r="G27" s="250">
        <f t="shared" si="1"/>
        <v>0</v>
      </c>
      <c r="H27" s="250">
        <f>_xlfn.IFNA(VLOOKUP(C27,Таблица37[],7,0),0)*Таблица40[[#This Row],[Количество]]</f>
        <v>0</v>
      </c>
    </row>
    <row r="28" spans="2:8" ht="15.75" customHeight="1" x14ac:dyDescent="0.25">
      <c r="B28" s="26">
        <v>27</v>
      </c>
      <c r="C28" s="166">
        <f>'Рабочий стол'!AY42</f>
        <v>0</v>
      </c>
      <c r="D28" s="297">
        <f>'Рабочий стол'!AZ42</f>
        <v>0</v>
      </c>
      <c r="E28" s="250">
        <f>'Рабочий стол'!BB42</f>
        <v>0</v>
      </c>
      <c r="F28" s="251">
        <f>'Рабочий стол'!BA42</f>
        <v>0</v>
      </c>
      <c r="G28" s="250">
        <f t="shared" si="1"/>
        <v>0</v>
      </c>
      <c r="H28" s="250">
        <f>_xlfn.IFNA(VLOOKUP(C28,Таблица37[],7,0),0)*Таблица40[[#This Row],[Количество]]</f>
        <v>0</v>
      </c>
    </row>
    <row r="29" spans="2:8" ht="15.75" customHeight="1" x14ac:dyDescent="0.25">
      <c r="B29" s="26">
        <v>28</v>
      </c>
      <c r="C29" s="166">
        <f>'Рабочий стол'!AY43</f>
        <v>0</v>
      </c>
      <c r="D29" s="297">
        <f>'Рабочий стол'!AZ43</f>
        <v>0</v>
      </c>
      <c r="E29" s="250">
        <f>'Рабочий стол'!BB43</f>
        <v>0</v>
      </c>
      <c r="F29" s="251">
        <f>'Рабочий стол'!BA43</f>
        <v>0</v>
      </c>
      <c r="G29" s="250">
        <f t="shared" si="1"/>
        <v>0</v>
      </c>
      <c r="H29" s="250">
        <f>_xlfn.IFNA(VLOOKUP(C29,Таблица37[],7,0),0)*Таблица40[[#This Row],[Количество]]</f>
        <v>0</v>
      </c>
    </row>
    <row r="30" spans="2:8" ht="15.75" customHeight="1" x14ac:dyDescent="0.25">
      <c r="B30" s="26">
        <v>29</v>
      </c>
      <c r="C30" s="166">
        <f>'Рабочий стол'!AY44</f>
        <v>0</v>
      </c>
      <c r="D30" s="297">
        <f>'Рабочий стол'!AZ44</f>
        <v>0</v>
      </c>
      <c r="E30" s="250">
        <f>'Рабочий стол'!BB44</f>
        <v>0</v>
      </c>
      <c r="F30" s="251">
        <f>'Рабочий стол'!BA44</f>
        <v>0</v>
      </c>
      <c r="G30" s="250">
        <f t="shared" si="1"/>
        <v>0</v>
      </c>
      <c r="H30" s="250">
        <f>_xlfn.IFNA(VLOOKUP(C30,Таблица37[],7,0),0)*Таблица40[[#This Row],[Количество]]</f>
        <v>0</v>
      </c>
    </row>
    <row r="31" spans="2:8" ht="15.75" customHeight="1" x14ac:dyDescent="0.25">
      <c r="B31" s="26">
        <v>30</v>
      </c>
      <c r="C31" s="166">
        <f>'Рабочий стол'!AY45</f>
        <v>0</v>
      </c>
      <c r="D31" s="297">
        <f>'Рабочий стол'!AZ45</f>
        <v>0</v>
      </c>
      <c r="E31" s="250">
        <f>'Рабочий стол'!BB45</f>
        <v>0</v>
      </c>
      <c r="F31" s="251">
        <f>'Рабочий стол'!BA45</f>
        <v>0</v>
      </c>
      <c r="G31" s="250">
        <f t="shared" si="1"/>
        <v>0</v>
      </c>
      <c r="H31" s="250">
        <f>_xlfn.IFNA(VLOOKUP(C31,Таблица37[],7,0),0)*Таблица40[[#This Row],[Количество]]</f>
        <v>0</v>
      </c>
    </row>
    <row r="32" spans="2:8" ht="15.75" customHeight="1" x14ac:dyDescent="0.25">
      <c r="B32" s="26">
        <v>31</v>
      </c>
      <c r="C32" s="166">
        <f>'Рабочий стол'!AY46</f>
        <v>0</v>
      </c>
      <c r="D32" s="297">
        <f>'Рабочий стол'!AZ46</f>
        <v>0</v>
      </c>
      <c r="E32" s="250">
        <f>'Рабочий стол'!BB46</f>
        <v>0</v>
      </c>
      <c r="F32" s="251">
        <f>'Рабочий стол'!BA46</f>
        <v>0</v>
      </c>
      <c r="G32" s="250">
        <f t="shared" si="1"/>
        <v>0</v>
      </c>
      <c r="H32" s="250">
        <f>_xlfn.IFNA(VLOOKUP(C32,Таблица37[],7,0),0)*Таблица40[[#This Row],[Количество]]</f>
        <v>0</v>
      </c>
    </row>
    <row r="33" spans="2:8" ht="15.75" customHeight="1" x14ac:dyDescent="0.25">
      <c r="B33" s="26">
        <v>32</v>
      </c>
      <c r="C33" s="166">
        <f>'Рабочий стол'!AY47</f>
        <v>0</v>
      </c>
      <c r="D33" s="297">
        <f>'Рабочий стол'!AZ47</f>
        <v>0</v>
      </c>
      <c r="E33" s="250">
        <f>'Рабочий стол'!BB47</f>
        <v>0</v>
      </c>
      <c r="F33" s="251">
        <f>'Рабочий стол'!BA47</f>
        <v>0</v>
      </c>
      <c r="G33" s="250">
        <f t="shared" si="1"/>
        <v>0</v>
      </c>
      <c r="H33" s="250">
        <f>_xlfn.IFNA(VLOOKUP(C33,Таблица37[],7,0),0)*Таблица40[[#This Row],[Количество]]</f>
        <v>0</v>
      </c>
    </row>
    <row r="34" spans="2:8" ht="15.75" customHeight="1" x14ac:dyDescent="0.25">
      <c r="B34" s="26">
        <v>33</v>
      </c>
      <c r="C34" s="166">
        <f>'Рабочий стол'!AY48</f>
        <v>0</v>
      </c>
      <c r="D34" s="297">
        <f>'Рабочий стол'!AZ48</f>
        <v>0</v>
      </c>
      <c r="E34" s="250">
        <f>'Рабочий стол'!BB48</f>
        <v>0</v>
      </c>
      <c r="F34" s="251">
        <f>'Рабочий стол'!BA48</f>
        <v>0</v>
      </c>
      <c r="G34" s="250">
        <f t="shared" si="1"/>
        <v>0</v>
      </c>
      <c r="H34" s="250">
        <f>_xlfn.IFNA(VLOOKUP(C34,Таблица37[],7,0),0)*Таблица40[[#This Row],[Количество]]</f>
        <v>0</v>
      </c>
    </row>
    <row r="35" spans="2:8" ht="15.75" customHeight="1" x14ac:dyDescent="0.25">
      <c r="B35" s="26">
        <v>34</v>
      </c>
      <c r="C35" s="166">
        <f>'Рабочий стол'!AY49</f>
        <v>0</v>
      </c>
      <c r="D35" s="297">
        <f>'Рабочий стол'!AZ49</f>
        <v>0</v>
      </c>
      <c r="E35" s="250">
        <f>'Рабочий стол'!BB49</f>
        <v>0</v>
      </c>
      <c r="F35" s="251">
        <f>'Рабочий стол'!BA49</f>
        <v>0</v>
      </c>
      <c r="G35" s="250">
        <f t="shared" si="1"/>
        <v>0</v>
      </c>
      <c r="H35" s="250">
        <f>_xlfn.IFNA(VLOOKUP(C35,Таблица37[],7,0),0)*Таблица40[[#This Row],[Количество]]</f>
        <v>0</v>
      </c>
    </row>
    <row r="36" spans="2:8" ht="15.75" customHeight="1" x14ac:dyDescent="0.25">
      <c r="B36" s="26">
        <v>35</v>
      </c>
      <c r="C36" s="166">
        <f>'Рабочий стол'!AY50</f>
        <v>0</v>
      </c>
      <c r="D36" s="297">
        <f>'Рабочий стол'!AZ50</f>
        <v>0</v>
      </c>
      <c r="E36" s="250">
        <f>'Рабочий стол'!BB50</f>
        <v>0</v>
      </c>
      <c r="F36" s="251">
        <f>'Рабочий стол'!BA50</f>
        <v>0</v>
      </c>
      <c r="G36" s="250">
        <f t="shared" si="1"/>
        <v>0</v>
      </c>
      <c r="H36" s="250">
        <f>_xlfn.IFNA(VLOOKUP(C36,Таблица37[],7,0),0)*Таблица40[[#This Row],[Количество]]</f>
        <v>0</v>
      </c>
    </row>
    <row r="37" spans="2:8" ht="15.75" customHeight="1" x14ac:dyDescent="0.25">
      <c r="B37" s="26">
        <v>36</v>
      </c>
      <c r="C37" s="166">
        <f>'Рабочий стол'!AY51</f>
        <v>0</v>
      </c>
      <c r="D37" s="297">
        <f>'Рабочий стол'!AZ51</f>
        <v>0</v>
      </c>
      <c r="E37" s="250">
        <f>'Рабочий стол'!BB51</f>
        <v>0</v>
      </c>
      <c r="F37" s="251">
        <f>'Рабочий стол'!BA51</f>
        <v>0</v>
      </c>
      <c r="G37" s="250">
        <f t="shared" si="1"/>
        <v>0</v>
      </c>
      <c r="H37" s="250">
        <f>_xlfn.IFNA(VLOOKUP(C37,Таблица37[],7,0),0)*Таблица40[[#This Row],[Количество]]</f>
        <v>0</v>
      </c>
    </row>
    <row r="38" spans="2:8" ht="15.75" customHeight="1" x14ac:dyDescent="0.25">
      <c r="B38" s="26">
        <v>37</v>
      </c>
      <c r="C38" s="166">
        <f>'Рабочий стол'!AY52</f>
        <v>0</v>
      </c>
      <c r="D38" s="297">
        <f>'Рабочий стол'!AZ52</f>
        <v>0</v>
      </c>
      <c r="E38" s="250">
        <f>'Рабочий стол'!BB52</f>
        <v>0</v>
      </c>
      <c r="F38" s="251">
        <f>'Рабочий стол'!BA52</f>
        <v>0</v>
      </c>
      <c r="G38" s="250">
        <f t="shared" si="1"/>
        <v>0</v>
      </c>
      <c r="H38" s="250">
        <f>_xlfn.IFNA(VLOOKUP(C38,Таблица37[],7,0),0)*Таблица40[[#This Row],[Количество]]</f>
        <v>0</v>
      </c>
    </row>
    <row r="39" spans="2:8" ht="15.75" customHeight="1" x14ac:dyDescent="0.25">
      <c r="B39" s="26">
        <v>38</v>
      </c>
      <c r="C39" s="166">
        <f>'Рабочий стол'!AY53</f>
        <v>0</v>
      </c>
      <c r="D39" s="297">
        <f>'Рабочий стол'!AZ53</f>
        <v>0</v>
      </c>
      <c r="E39" s="250">
        <f>'Рабочий стол'!BB53</f>
        <v>0</v>
      </c>
      <c r="F39" s="251">
        <f>'Рабочий стол'!BA53</f>
        <v>0</v>
      </c>
      <c r="G39" s="250">
        <f t="shared" si="1"/>
        <v>0</v>
      </c>
      <c r="H39" s="250">
        <f>_xlfn.IFNA(VLOOKUP(C39,Таблица37[],7,0),0)*Таблица40[[#This Row],[Количество]]</f>
        <v>0</v>
      </c>
    </row>
    <row r="40" spans="2:8" ht="15.75" customHeight="1" x14ac:dyDescent="0.25">
      <c r="B40" s="26">
        <v>39</v>
      </c>
      <c r="C40" s="166">
        <f>'Рабочий стол'!AY54</f>
        <v>0</v>
      </c>
      <c r="D40" s="297">
        <f>'Рабочий стол'!AZ54</f>
        <v>0</v>
      </c>
      <c r="E40" s="250">
        <f>'Рабочий стол'!BB54</f>
        <v>0</v>
      </c>
      <c r="F40" s="251">
        <f>'Рабочий стол'!BA54</f>
        <v>0</v>
      </c>
      <c r="G40" s="250">
        <f t="shared" si="1"/>
        <v>0</v>
      </c>
      <c r="H40" s="250">
        <f>_xlfn.IFNA(VLOOKUP(C40,Таблица37[],7,0),0)*Таблица40[[#This Row],[Количество]]</f>
        <v>0</v>
      </c>
    </row>
    <row r="41" spans="2:8" ht="15.75" customHeight="1" x14ac:dyDescent="0.25">
      <c r="B41" s="26">
        <v>40</v>
      </c>
      <c r="C41" s="166">
        <f>'Рабочий стол'!AY55</f>
        <v>0</v>
      </c>
      <c r="D41" s="297">
        <f>'Рабочий стол'!AZ55</f>
        <v>0</v>
      </c>
      <c r="E41" s="250">
        <f>'Рабочий стол'!BB55</f>
        <v>0</v>
      </c>
      <c r="F41" s="251">
        <f>'Рабочий стол'!BA55</f>
        <v>0</v>
      </c>
      <c r="G41" s="250">
        <f t="shared" si="1"/>
        <v>0</v>
      </c>
      <c r="H41" s="250">
        <f>_xlfn.IFNA(VLOOKUP(C41,Таблица37[],7,0),0)*Таблица40[[#This Row],[Количество]]</f>
        <v>0</v>
      </c>
    </row>
    <row r="42" spans="2:8" ht="15.75" customHeight="1" x14ac:dyDescent="0.25">
      <c r="B42" s="26">
        <v>41</v>
      </c>
      <c r="C42" s="166">
        <f>'Рабочий стол'!AY56</f>
        <v>0</v>
      </c>
      <c r="D42" s="297">
        <f>'Рабочий стол'!AZ56</f>
        <v>0</v>
      </c>
      <c r="E42" s="250">
        <f>'Рабочий стол'!BB56</f>
        <v>0</v>
      </c>
      <c r="F42" s="251">
        <f>'Рабочий стол'!BA56</f>
        <v>0</v>
      </c>
      <c r="G42" s="250">
        <f t="shared" si="1"/>
        <v>0</v>
      </c>
      <c r="H42" s="250">
        <f>_xlfn.IFNA(VLOOKUP(C42,Таблица37[],7,0),0)*Таблица40[[#This Row],[Количество]]</f>
        <v>0</v>
      </c>
    </row>
    <row r="43" spans="2:8" ht="15.75" customHeight="1" x14ac:dyDescent="0.25">
      <c r="B43" s="26">
        <v>42</v>
      </c>
      <c r="C43" s="166">
        <f>'Рабочий стол'!AY57</f>
        <v>0</v>
      </c>
      <c r="D43" s="297">
        <f>'Рабочий стол'!AZ57</f>
        <v>0</v>
      </c>
      <c r="E43" s="250">
        <f>'Рабочий стол'!BB57</f>
        <v>0</v>
      </c>
      <c r="F43" s="251">
        <f>'Рабочий стол'!BA57</f>
        <v>0</v>
      </c>
      <c r="G43" s="250">
        <f t="shared" si="1"/>
        <v>0</v>
      </c>
      <c r="H43" s="250">
        <f>_xlfn.IFNA(VLOOKUP(C43,Таблица37[],7,0),0)*Таблица40[[#This Row],[Количество]]</f>
        <v>0</v>
      </c>
    </row>
    <row r="44" spans="2:8" ht="15.75" customHeight="1" x14ac:dyDescent="0.25">
      <c r="B44" s="26">
        <v>43</v>
      </c>
      <c r="C44" s="166">
        <f>'Рабочий стол'!AY58</f>
        <v>0</v>
      </c>
      <c r="D44" s="297">
        <f>'Рабочий стол'!AZ58</f>
        <v>0</v>
      </c>
      <c r="E44" s="250">
        <f>'Рабочий стол'!BB58</f>
        <v>0</v>
      </c>
      <c r="F44" s="251">
        <f>'Рабочий стол'!BA58</f>
        <v>0</v>
      </c>
      <c r="G44" s="250">
        <f t="shared" si="1"/>
        <v>0</v>
      </c>
      <c r="H44" s="250">
        <f>_xlfn.IFNA(VLOOKUP(C44,Таблица37[],7,0),0)*Таблица40[[#This Row],[Количество]]</f>
        <v>0</v>
      </c>
    </row>
    <row r="45" spans="2:8" ht="15.75" customHeight="1" x14ac:dyDescent="0.25">
      <c r="B45" s="26">
        <v>44</v>
      </c>
      <c r="C45" s="166">
        <f>'Рабочий стол'!AY59</f>
        <v>0</v>
      </c>
      <c r="D45" s="297">
        <f>'Рабочий стол'!AZ59</f>
        <v>0</v>
      </c>
      <c r="E45" s="250">
        <f>'Рабочий стол'!BB59</f>
        <v>0</v>
      </c>
      <c r="F45" s="251">
        <f>'Рабочий стол'!BA59</f>
        <v>0</v>
      </c>
      <c r="G45" s="250">
        <f t="shared" si="1"/>
        <v>0</v>
      </c>
      <c r="H45" s="250">
        <f>_xlfn.IFNA(VLOOKUP(C45,Таблица37[],7,0),0)*Таблица40[[#This Row],[Количество]]</f>
        <v>0</v>
      </c>
    </row>
    <row r="46" spans="2:8" ht="15.75" customHeight="1" x14ac:dyDescent="0.25">
      <c r="B46" s="26">
        <v>45</v>
      </c>
      <c r="C46" s="166">
        <f>'Рабочий стол'!AY60</f>
        <v>0</v>
      </c>
      <c r="D46" s="297">
        <f>'Рабочий стол'!AZ60</f>
        <v>0</v>
      </c>
      <c r="E46" s="250">
        <f>'Рабочий стол'!BB60</f>
        <v>0</v>
      </c>
      <c r="F46" s="251">
        <f>'Рабочий стол'!BA60</f>
        <v>0</v>
      </c>
      <c r="G46" s="250">
        <f t="shared" si="1"/>
        <v>0</v>
      </c>
      <c r="H46" s="250">
        <f>_xlfn.IFNA(VLOOKUP(C46,Таблица37[],7,0),0)*Таблица40[[#This Row],[Количество]]</f>
        <v>0</v>
      </c>
    </row>
    <row r="47" spans="2:8" ht="15.75" customHeight="1" x14ac:dyDescent="0.25">
      <c r="B47" s="26">
        <v>46</v>
      </c>
      <c r="C47" s="166">
        <f>'Рабочий стол'!AY61</f>
        <v>0</v>
      </c>
      <c r="D47" s="297">
        <f>'Рабочий стол'!AZ61</f>
        <v>0</v>
      </c>
      <c r="E47" s="250">
        <f>'Рабочий стол'!BB61</f>
        <v>0</v>
      </c>
      <c r="F47" s="251">
        <f>'Рабочий стол'!BA61</f>
        <v>0</v>
      </c>
      <c r="G47" s="250">
        <f t="shared" si="1"/>
        <v>0</v>
      </c>
      <c r="H47" s="250">
        <f>_xlfn.IFNA(VLOOKUP(C47,Таблица37[],7,0),0)*Таблица40[[#This Row],[Количество]]</f>
        <v>0</v>
      </c>
    </row>
    <row r="48" spans="2:8" ht="15.75" customHeight="1" x14ac:dyDescent="0.25">
      <c r="B48" s="26">
        <v>47</v>
      </c>
      <c r="C48" s="166">
        <f>'Рабочий стол'!AY62</f>
        <v>0</v>
      </c>
      <c r="D48" s="297">
        <f>'Рабочий стол'!AZ62</f>
        <v>0</v>
      </c>
      <c r="E48" s="250">
        <f>'Рабочий стол'!BB62</f>
        <v>0</v>
      </c>
      <c r="F48" s="251">
        <f>'Рабочий стол'!BA62</f>
        <v>0</v>
      </c>
      <c r="G48" s="250">
        <f t="shared" si="1"/>
        <v>0</v>
      </c>
      <c r="H48" s="250">
        <f>_xlfn.IFNA(VLOOKUP(C48,Таблица37[],7,0),0)*Таблица40[[#This Row],[Количество]]</f>
        <v>0</v>
      </c>
    </row>
    <row r="49" spans="2:8" ht="15.75" customHeight="1" x14ac:dyDescent="0.25">
      <c r="B49" s="26">
        <v>48</v>
      </c>
      <c r="C49" s="166">
        <f>'Рабочий стол'!AY63</f>
        <v>0</v>
      </c>
      <c r="D49" s="297">
        <f>'Рабочий стол'!AZ63</f>
        <v>0</v>
      </c>
      <c r="E49" s="250">
        <f>'Рабочий стол'!BB63</f>
        <v>0</v>
      </c>
      <c r="F49" s="251">
        <f>'Рабочий стол'!BA63</f>
        <v>0</v>
      </c>
      <c r="G49" s="250">
        <f t="shared" si="1"/>
        <v>0</v>
      </c>
      <c r="H49" s="250">
        <f>_xlfn.IFNA(VLOOKUP(C49,Таблица37[],7,0),0)*Таблица40[[#This Row],[Количество]]</f>
        <v>0</v>
      </c>
    </row>
    <row r="50" spans="2:8" ht="15.75" customHeight="1" x14ac:dyDescent="0.25">
      <c r="B50" s="26">
        <v>49</v>
      </c>
      <c r="C50" s="166">
        <f>'Рабочий стол'!AY64</f>
        <v>0</v>
      </c>
      <c r="D50" s="297">
        <f>'Рабочий стол'!AZ64</f>
        <v>0</v>
      </c>
      <c r="E50" s="250">
        <f>'Рабочий стол'!BB64</f>
        <v>0</v>
      </c>
      <c r="F50" s="251">
        <f>'Рабочий стол'!BA64</f>
        <v>0</v>
      </c>
      <c r="G50" s="250">
        <f t="shared" si="1"/>
        <v>0</v>
      </c>
      <c r="H50" s="250">
        <f>_xlfn.IFNA(VLOOKUP(C50,Таблица37[],7,0),0)*Таблица40[[#This Row],[Количество]]</f>
        <v>0</v>
      </c>
    </row>
    <row r="51" spans="2:8" ht="15.75" customHeight="1" x14ac:dyDescent="0.25">
      <c r="B51" s="26">
        <v>50</v>
      </c>
      <c r="C51" s="166">
        <f>'Рабочий стол'!AY65</f>
        <v>0</v>
      </c>
      <c r="D51" s="297">
        <f>'Рабочий стол'!AZ65</f>
        <v>0</v>
      </c>
      <c r="E51" s="250">
        <f>'Рабочий стол'!BB65</f>
        <v>0</v>
      </c>
      <c r="F51" s="251">
        <f>'Рабочий стол'!BA65</f>
        <v>0</v>
      </c>
      <c r="G51" s="250">
        <f t="shared" si="1"/>
        <v>0</v>
      </c>
      <c r="H51" s="250">
        <f>_xlfn.IFNA(VLOOKUP(C51,Таблица37[],7,0),0)*Таблица40[[#This Row],[Количество]]</f>
        <v>0</v>
      </c>
    </row>
    <row r="52" spans="2:8" x14ac:dyDescent="0.25">
      <c r="B52" s="26">
        <v>51</v>
      </c>
      <c r="C52" s="166">
        <f>'Рабочий стол'!AY66</f>
        <v>0</v>
      </c>
      <c r="D52" s="297">
        <f>'Рабочий стол'!AZ66</f>
        <v>0</v>
      </c>
      <c r="E52" s="250">
        <f>'Рабочий стол'!BB66</f>
        <v>0</v>
      </c>
      <c r="F52" s="251">
        <f>'Рабочий стол'!BA66</f>
        <v>0</v>
      </c>
      <c r="G52" s="250">
        <f t="shared" si="1"/>
        <v>0</v>
      </c>
      <c r="H52" s="250">
        <f>_xlfn.IFNA(VLOOKUP(C52,Таблица37[],7,0),0)*Таблица40[[#This Row],[Количество]]</f>
        <v>0</v>
      </c>
    </row>
    <row r="53" spans="2:8" x14ac:dyDescent="0.25">
      <c r="B53" s="26">
        <v>52</v>
      </c>
      <c r="C53" s="166">
        <f>'Рабочий стол'!AY67</f>
        <v>0</v>
      </c>
      <c r="D53" s="297">
        <f>'Рабочий стол'!AZ67</f>
        <v>0</v>
      </c>
      <c r="E53" s="250">
        <f>'Рабочий стол'!BB67</f>
        <v>0</v>
      </c>
      <c r="F53" s="251">
        <f>'Рабочий стол'!BA67</f>
        <v>0</v>
      </c>
      <c r="G53" s="250">
        <f t="shared" si="1"/>
        <v>0</v>
      </c>
      <c r="H53" s="250">
        <f>_xlfn.IFNA(VLOOKUP(C53,Таблица37[],7,0),0)*Таблица40[[#This Row],[Количество]]</f>
        <v>0</v>
      </c>
    </row>
    <row r="54" spans="2:8" ht="15.75" customHeight="1" x14ac:dyDescent="0.25">
      <c r="B54" s="26">
        <v>53</v>
      </c>
      <c r="C54" s="166">
        <f>'Рабочий стол'!AY68</f>
        <v>0</v>
      </c>
      <c r="D54" s="297">
        <f>'Рабочий стол'!AZ68</f>
        <v>0</v>
      </c>
      <c r="E54" s="250">
        <f>'Рабочий стол'!BB68</f>
        <v>0</v>
      </c>
      <c r="F54" s="251">
        <f>'Рабочий стол'!BA68</f>
        <v>0</v>
      </c>
      <c r="G54" s="250">
        <f t="shared" si="1"/>
        <v>0</v>
      </c>
      <c r="H54" s="250">
        <f>_xlfn.IFNA(VLOOKUP(C54,Таблица37[],7,0),0)*Таблица40[[#This Row],[Количество]]</f>
        <v>0</v>
      </c>
    </row>
    <row r="55" spans="2:8" ht="15.75" customHeight="1" x14ac:dyDescent="0.25">
      <c r="B55" s="26">
        <v>54</v>
      </c>
      <c r="C55" s="166">
        <f>'Рабочий стол'!AY69</f>
        <v>0</v>
      </c>
      <c r="D55" s="297">
        <f>'Рабочий стол'!AZ69</f>
        <v>0</v>
      </c>
      <c r="E55" s="250">
        <f>'Рабочий стол'!BB69</f>
        <v>0</v>
      </c>
      <c r="F55" s="251">
        <f>'Рабочий стол'!BA69</f>
        <v>0</v>
      </c>
      <c r="G55" s="250">
        <f t="shared" si="1"/>
        <v>0</v>
      </c>
      <c r="H55" s="250">
        <f>_xlfn.IFNA(VLOOKUP(C55,Таблица37[],7,0),0)*Таблица40[[#This Row],[Количество]]</f>
        <v>0</v>
      </c>
    </row>
    <row r="56" spans="2:8" x14ac:dyDescent="0.25">
      <c r="B56" s="26">
        <v>55</v>
      </c>
      <c r="C56" s="166">
        <f>'Рабочий стол'!AY70</f>
        <v>0</v>
      </c>
      <c r="D56" s="297">
        <f>'Рабочий стол'!AZ70</f>
        <v>0</v>
      </c>
      <c r="E56" s="250">
        <f>'Рабочий стол'!BB70</f>
        <v>0</v>
      </c>
      <c r="F56" s="251">
        <f>'Рабочий стол'!BA70</f>
        <v>0</v>
      </c>
      <c r="G56" s="250">
        <f t="shared" si="1"/>
        <v>0</v>
      </c>
      <c r="H56" s="250">
        <f>_xlfn.IFNA(VLOOKUP(C56,Таблица37[],7,0),0)*Таблица40[[#This Row],[Количество]]</f>
        <v>0</v>
      </c>
    </row>
    <row r="57" spans="2:8" ht="15.75" customHeight="1" x14ac:dyDescent="0.25">
      <c r="B57" s="26">
        <v>56</v>
      </c>
      <c r="C57" s="166">
        <f>'Рабочий стол'!AY71</f>
        <v>0</v>
      </c>
      <c r="D57" s="297">
        <f>'Рабочий стол'!AZ71</f>
        <v>0</v>
      </c>
      <c r="E57" s="250">
        <f>'Рабочий стол'!BB71</f>
        <v>0</v>
      </c>
      <c r="F57" s="251">
        <f>'Рабочий стол'!BA71</f>
        <v>0</v>
      </c>
      <c r="G57" s="250">
        <f t="shared" si="1"/>
        <v>0</v>
      </c>
      <c r="H57" s="250">
        <f>_xlfn.IFNA(VLOOKUP(C57,Таблица37[],7,0),0)*Таблица40[[#This Row],[Количество]]</f>
        <v>0</v>
      </c>
    </row>
    <row r="58" spans="2:8" ht="15.75" customHeight="1" x14ac:dyDescent="0.25">
      <c r="B58" s="26">
        <v>57</v>
      </c>
      <c r="C58" s="166">
        <f>'Рабочий стол'!AY72</f>
        <v>0</v>
      </c>
      <c r="D58" s="297">
        <f>'Рабочий стол'!AZ72</f>
        <v>0</v>
      </c>
      <c r="E58" s="250">
        <f>'Рабочий стол'!BB72</f>
        <v>0</v>
      </c>
      <c r="F58" s="251">
        <f>'Рабочий стол'!BA72</f>
        <v>0</v>
      </c>
      <c r="G58" s="250">
        <f t="shared" si="1"/>
        <v>0</v>
      </c>
      <c r="H58" s="250">
        <f>_xlfn.IFNA(VLOOKUP(C58,Таблица37[],7,0),0)*Таблица40[[#This Row],[Количество]]</f>
        <v>0</v>
      </c>
    </row>
    <row r="59" spans="2:8" x14ac:dyDescent="0.25">
      <c r="B59" s="26">
        <v>58</v>
      </c>
      <c r="C59" s="166">
        <f>'Рабочий стол'!AY73</f>
        <v>0</v>
      </c>
      <c r="D59" s="297">
        <f>'Рабочий стол'!AZ73</f>
        <v>0</v>
      </c>
      <c r="E59" s="250">
        <f>'Рабочий стол'!BB73</f>
        <v>0</v>
      </c>
      <c r="F59" s="251">
        <f>'Рабочий стол'!BA73</f>
        <v>0</v>
      </c>
      <c r="G59" s="250">
        <f t="shared" si="1"/>
        <v>0</v>
      </c>
      <c r="H59" s="250">
        <f>_xlfn.IFNA(VLOOKUP(C59,Таблица37[],7,0),0)*Таблица40[[#This Row],[Количество]]</f>
        <v>0</v>
      </c>
    </row>
    <row r="60" spans="2:8" ht="15.75" customHeight="1" x14ac:dyDescent="0.25">
      <c r="B60" s="26">
        <v>59</v>
      </c>
      <c r="C60" s="166">
        <f>'Рабочий стол'!AY74</f>
        <v>0</v>
      </c>
      <c r="D60" s="297">
        <f>'Рабочий стол'!AZ74</f>
        <v>0</v>
      </c>
      <c r="E60" s="250">
        <f>'Рабочий стол'!BB74</f>
        <v>0</v>
      </c>
      <c r="F60" s="251">
        <f>'Рабочий стол'!BA74</f>
        <v>0</v>
      </c>
      <c r="G60" s="250">
        <f t="shared" si="1"/>
        <v>0</v>
      </c>
      <c r="H60" s="250">
        <f>_xlfn.IFNA(VLOOKUP(C60,Таблица37[],7,0),0)*Таблица40[[#This Row],[Количество]]</f>
        <v>0</v>
      </c>
    </row>
    <row r="61" spans="2:8" ht="15.75" customHeight="1" x14ac:dyDescent="0.25">
      <c r="B61" s="26">
        <v>60</v>
      </c>
      <c r="C61" s="166">
        <f>'Рабочий стол'!AY75</f>
        <v>0</v>
      </c>
      <c r="D61" s="297">
        <f>'Рабочий стол'!AZ75</f>
        <v>0</v>
      </c>
      <c r="E61" s="250">
        <f>'Рабочий стол'!BB75</f>
        <v>0</v>
      </c>
      <c r="F61" s="251">
        <f>'Рабочий стол'!BA75</f>
        <v>0</v>
      </c>
      <c r="G61" s="250">
        <f t="shared" si="1"/>
        <v>0</v>
      </c>
      <c r="H61" s="250">
        <f>_xlfn.IFNA(VLOOKUP(C61,Таблица37[],7,0),0)*Таблица40[[#This Row],[Количество]]</f>
        <v>0</v>
      </c>
    </row>
    <row r="62" spans="2:8" ht="15.75" customHeight="1" x14ac:dyDescent="0.25">
      <c r="B62" s="26">
        <v>61</v>
      </c>
      <c r="C62" s="166">
        <f>'Рабочий стол'!AY76</f>
        <v>0</v>
      </c>
      <c r="D62" s="297">
        <f>'Рабочий стол'!AZ76</f>
        <v>0</v>
      </c>
      <c r="E62" s="250">
        <f>'Рабочий стол'!BB76</f>
        <v>0</v>
      </c>
      <c r="F62" s="251">
        <f>'Рабочий стол'!BA76</f>
        <v>0</v>
      </c>
      <c r="G62" s="250">
        <f t="shared" si="1"/>
        <v>0</v>
      </c>
      <c r="H62" s="250">
        <f>_xlfn.IFNA(VLOOKUP(C62,Таблица37[],7,0),0)*Таблица40[[#This Row],[Количество]]</f>
        <v>0</v>
      </c>
    </row>
    <row r="63" spans="2:8" ht="15.75" customHeight="1" x14ac:dyDescent="0.25">
      <c r="B63" s="26">
        <v>62</v>
      </c>
      <c r="C63" s="166">
        <f>'Рабочий стол'!AY77</f>
        <v>0</v>
      </c>
      <c r="D63" s="297">
        <f>'Рабочий стол'!AZ77</f>
        <v>0</v>
      </c>
      <c r="E63" s="250">
        <f>'Рабочий стол'!BB77</f>
        <v>0</v>
      </c>
      <c r="F63" s="251">
        <f>'Рабочий стол'!BA77</f>
        <v>0</v>
      </c>
      <c r="G63" s="250">
        <f t="shared" si="1"/>
        <v>0</v>
      </c>
      <c r="H63" s="250">
        <f>_xlfn.IFNA(VLOOKUP(C63,Таблица37[],7,0),0)*Таблица40[[#This Row],[Количество]]</f>
        <v>0</v>
      </c>
    </row>
    <row r="64" spans="2:8" ht="15.75" customHeight="1" x14ac:dyDescent="0.25">
      <c r="B64" s="26">
        <v>20</v>
      </c>
      <c r="C64" s="166">
        <f>'Рабочий стол'!AY35</f>
        <v>0</v>
      </c>
      <c r="D64" s="297">
        <f>'Рабочий стол'!AZ35</f>
        <v>0</v>
      </c>
      <c r="E64" s="250">
        <f>'Рабочий стол'!BB35</f>
        <v>0</v>
      </c>
      <c r="F64" s="251">
        <f>'Рабочий стол'!BA35</f>
        <v>0</v>
      </c>
      <c r="G64" s="250">
        <f t="shared" si="0"/>
        <v>0</v>
      </c>
      <c r="H64" s="250">
        <f>_xlfn.IFNA(VLOOKUP(C64,Таблица37[],7,0),0)*Таблица40[[#This Row],[Количество]]</f>
        <v>0</v>
      </c>
    </row>
    <row r="65" spans="2:8" x14ac:dyDescent="0.25">
      <c r="B65" s="26">
        <v>21</v>
      </c>
      <c r="C65" s="166" t="str">
        <f>'Рабочий стол'!AY6</f>
        <v>12311DEK</v>
      </c>
      <c r="D65" s="297" t="str">
        <f>'Рабочий стол'!AZ6</f>
        <v>Выключатель автоматический ВА103-3P-063A-C</v>
      </c>
      <c r="E65" s="250">
        <f>'Рабочий стол'!BB6</f>
        <v>1330</v>
      </c>
      <c r="F65" s="251">
        <f>'Рабочий стол'!BA6</f>
        <v>1</v>
      </c>
      <c r="G65" s="250">
        <f t="shared" si="0"/>
        <v>1330</v>
      </c>
      <c r="H65" s="250">
        <f>_xlfn.IFNA(VLOOKUP(C65,Таблица37[],7,0),0)*Таблица40[[#This Row],[Количество]]</f>
        <v>0</v>
      </c>
    </row>
    <row r="66" spans="2:8" ht="15.75" customHeight="1" x14ac:dyDescent="0.25">
      <c r="B66" s="26">
        <v>22</v>
      </c>
      <c r="C66" s="166">
        <f>'Рабочий стол'!AY7</f>
        <v>0</v>
      </c>
      <c r="D66" s="297">
        <f>'Рабочий стол'!AZ7</f>
        <v>0</v>
      </c>
      <c r="E66" s="250">
        <f>'Рабочий стол'!BB7</f>
        <v>0</v>
      </c>
      <c r="F66" s="251">
        <f>'Рабочий стол'!BA7</f>
        <v>0</v>
      </c>
      <c r="G66" s="250">
        <f t="shared" si="0"/>
        <v>0</v>
      </c>
      <c r="H66" s="250">
        <f>_xlfn.IFNA(VLOOKUP(C66,Таблица37[],7,0),0)*Таблица40[[#This Row],[Количество]]</f>
        <v>0</v>
      </c>
    </row>
    <row r="67" spans="2:8" x14ac:dyDescent="0.25">
      <c r="B67" s="26">
        <v>23</v>
      </c>
      <c r="C67" s="166">
        <f>'Рабочий стол'!AY8</f>
        <v>0</v>
      </c>
      <c r="D67" s="297" t="str">
        <f>'Рабочий стол'!AZ8</f>
        <v>Обогрев, провода и расходные материалы</v>
      </c>
      <c r="E67" s="250">
        <f>'Рабочий стол'!BB8</f>
        <v>8000</v>
      </c>
      <c r="F67" s="251">
        <f>'Рабочий стол'!BA8</f>
        <v>1</v>
      </c>
      <c r="G67" s="250">
        <f t="shared" si="0"/>
        <v>8000</v>
      </c>
      <c r="H67" s="250">
        <f>_xlfn.IFNA(VLOOKUP(C67,Таблица37[],7,0),0)*Таблица40[[#This Row],[Количество]]</f>
        <v>0</v>
      </c>
    </row>
    <row r="68" spans="2:8" ht="15.75" customHeight="1" x14ac:dyDescent="0.25">
      <c r="B68" s="26">
        <v>24</v>
      </c>
      <c r="C68" s="166">
        <f>'Рабочий стол'!AY9</f>
        <v>0</v>
      </c>
      <c r="D68" s="297">
        <f>'Рабочий стол'!AZ9</f>
        <v>0</v>
      </c>
      <c r="E68" s="250">
        <f>'Рабочий стол'!BB9</f>
        <v>0</v>
      </c>
      <c r="F68" s="251">
        <f>'Рабочий стол'!BA9</f>
        <v>0</v>
      </c>
      <c r="G68" s="250">
        <f t="shared" si="0"/>
        <v>0</v>
      </c>
      <c r="H68" s="250">
        <f>_xlfn.IFNA(VLOOKUP(C68,Таблица37[],7,0),0)*Таблица40[[#This Row],[Количество]]</f>
        <v>0</v>
      </c>
    </row>
    <row r="69" spans="2:8" ht="15.75" customHeight="1" x14ac:dyDescent="0.25">
      <c r="B69" s="26">
        <v>25</v>
      </c>
      <c r="C69" s="166">
        <f>'Рабочий стол'!AY10</f>
        <v>0</v>
      </c>
      <c r="D69" s="297">
        <f>'Рабочий стол'!AZ10</f>
        <v>0</v>
      </c>
      <c r="E69" s="250">
        <f>'Рабочий стол'!BB10</f>
        <v>0</v>
      </c>
      <c r="F69" s="251">
        <f>'Рабочий стол'!BA10</f>
        <v>0</v>
      </c>
      <c r="G69" s="250">
        <f t="shared" si="0"/>
        <v>0</v>
      </c>
      <c r="H69" s="250">
        <f>_xlfn.IFNA(VLOOKUP(C69,Таблица37[],7,0),0)*Таблица40[[#This Row],[Количество]]</f>
        <v>0</v>
      </c>
    </row>
    <row r="70" spans="2:8" ht="16.5" customHeight="1" x14ac:dyDescent="0.25">
      <c r="B70" s="26">
        <v>26</v>
      </c>
      <c r="C70" s="166">
        <f>'Рабочий стол'!AY11</f>
        <v>0</v>
      </c>
      <c r="D70" s="297">
        <f>'Рабочий стол'!AZ11</f>
        <v>0</v>
      </c>
      <c r="E70" s="250">
        <f>'Рабочий стол'!BB11</f>
        <v>0</v>
      </c>
      <c r="F70" s="251">
        <f>'Рабочий стол'!BA11</f>
        <v>0</v>
      </c>
      <c r="G70" s="250">
        <f t="shared" si="0"/>
        <v>0</v>
      </c>
      <c r="H70" s="250">
        <f>_xlfn.IFNA(VLOOKUP(C70,Таблица37[],7,0),0)*Таблица40[[#This Row],[Количество]]</f>
        <v>0</v>
      </c>
    </row>
    <row r="71" spans="2:8" ht="16.5" customHeight="1" x14ac:dyDescent="0.25">
      <c r="B71" s="26">
        <v>27</v>
      </c>
      <c r="C71" s="166">
        <f>'Рабочий стол'!AY12</f>
        <v>0</v>
      </c>
      <c r="D71" s="297">
        <f>'Рабочий стол'!AZ12</f>
        <v>0</v>
      </c>
      <c r="E71" s="250">
        <f>'Рабочий стол'!BB12</f>
        <v>0</v>
      </c>
      <c r="F71" s="251">
        <f>'Рабочий стол'!BA12</f>
        <v>0</v>
      </c>
      <c r="G71" s="250">
        <f t="shared" si="0"/>
        <v>0</v>
      </c>
      <c r="H71" s="250">
        <f>_xlfn.IFNA(VLOOKUP(C71,Таблица37[],7,0),0)*Таблица40[[#This Row],[Количество]]</f>
        <v>0</v>
      </c>
    </row>
    <row r="72" spans="2:8" ht="16.5" customHeight="1" x14ac:dyDescent="0.25">
      <c r="B72" s="26">
        <v>28</v>
      </c>
      <c r="C72" s="166">
        <f>'Рабочий стол'!AY13</f>
        <v>0</v>
      </c>
      <c r="D72" s="297">
        <f>'Рабочий стол'!AZ13</f>
        <v>0</v>
      </c>
      <c r="E72" s="250">
        <f>'Рабочий стол'!BB13</f>
        <v>0</v>
      </c>
      <c r="F72" s="251">
        <f>'Рабочий стол'!BA13</f>
        <v>0</v>
      </c>
      <c r="G72" s="250">
        <f t="shared" si="0"/>
        <v>0</v>
      </c>
      <c r="H72" s="250">
        <f>_xlfn.IFNA(VLOOKUP(C72,Таблица37[],7,0),0)*Таблица40[[#This Row],[Количество]]</f>
        <v>0</v>
      </c>
    </row>
    <row r="73" spans="2:8" ht="16.5" customHeight="1" x14ac:dyDescent="0.25">
      <c r="B73" s="26">
        <v>29</v>
      </c>
      <c r="C73" s="166">
        <f>'Рабочий стол'!AY14</f>
        <v>0</v>
      </c>
      <c r="D73" s="297">
        <f>'Рабочий стол'!AZ14</f>
        <v>0</v>
      </c>
      <c r="E73" s="250">
        <f>'Рабочий стол'!BB14</f>
        <v>0</v>
      </c>
      <c r="F73" s="251">
        <f>'Рабочий стол'!BA14</f>
        <v>0</v>
      </c>
      <c r="G73" s="250">
        <f t="shared" si="0"/>
        <v>0</v>
      </c>
      <c r="H73" s="250">
        <f>_xlfn.IFNA(VLOOKUP(C73,Таблица37[],7,0),0)*Таблица40[[#This Row],[Количество]]</f>
        <v>0</v>
      </c>
    </row>
    <row r="74" spans="2:8" ht="16.5" customHeight="1" x14ac:dyDescent="0.25">
      <c r="B74" s="26">
        <v>30</v>
      </c>
      <c r="C74" s="166">
        <f>'Рабочий стол'!AY15</f>
        <v>0</v>
      </c>
      <c r="D74" s="297">
        <f>'Рабочий стол'!AZ15</f>
        <v>0</v>
      </c>
      <c r="E74" s="250">
        <f>'Рабочий стол'!BB15</f>
        <v>0</v>
      </c>
      <c r="F74" s="251">
        <f>'Рабочий стол'!BA15</f>
        <v>0</v>
      </c>
      <c r="G74" s="250">
        <f t="shared" si="0"/>
        <v>0</v>
      </c>
      <c r="H74" s="250">
        <f>_xlfn.IFNA(VLOOKUP(C74,Таблица37[],7,0),0)*Таблица40[[#This Row],[Количество]]</f>
        <v>0</v>
      </c>
    </row>
    <row r="75" spans="2:8" ht="16.5" customHeight="1" x14ac:dyDescent="0.25">
      <c r="B75" s="26">
        <v>31</v>
      </c>
      <c r="C75" s="166">
        <f>'Рабочий стол'!AY16</f>
        <v>0</v>
      </c>
      <c r="D75" s="297">
        <f>'Рабочий стол'!AZ16</f>
        <v>0</v>
      </c>
      <c r="E75" s="250">
        <f>'Рабочий стол'!BB16</f>
        <v>0</v>
      </c>
      <c r="F75" s="251">
        <f>'Рабочий стол'!BA16</f>
        <v>0</v>
      </c>
      <c r="G75" s="250">
        <f t="shared" si="0"/>
        <v>0</v>
      </c>
      <c r="H75" s="250">
        <f>_xlfn.IFNA(VLOOKUP(C75,Таблица37[],7,0),0)*Таблица40[[#This Row],[Количество]]</f>
        <v>0</v>
      </c>
    </row>
    <row r="76" spans="2:8" ht="16.5" customHeight="1" x14ac:dyDescent="0.25">
      <c r="B76" s="26">
        <v>32</v>
      </c>
      <c r="C76" s="166">
        <f>'Рабочий стол'!AY17</f>
        <v>0</v>
      </c>
      <c r="D76" s="297">
        <f>'Рабочий стол'!AZ17</f>
        <v>0</v>
      </c>
      <c r="E76" s="250">
        <f>'Рабочий стол'!BB17</f>
        <v>0</v>
      </c>
      <c r="F76" s="251">
        <f>'Рабочий стол'!BA17</f>
        <v>0</v>
      </c>
      <c r="G76" s="250">
        <f t="shared" si="0"/>
        <v>0</v>
      </c>
      <c r="H76" s="250">
        <f>_xlfn.IFNA(VLOOKUP(C76,Таблица37[],7,0),0)*Таблица40[[#This Row],[Количество]]</f>
        <v>0</v>
      </c>
    </row>
    <row r="77" spans="2:8" ht="16.5" customHeight="1" x14ac:dyDescent="0.25">
      <c r="B77" s="26">
        <v>33</v>
      </c>
      <c r="C77" s="166">
        <f>'Рабочий стол'!AY18</f>
        <v>0</v>
      </c>
      <c r="D77" s="297">
        <f>'Рабочий стол'!AZ18</f>
        <v>0</v>
      </c>
      <c r="E77" s="250">
        <f>'Рабочий стол'!BB18</f>
        <v>0</v>
      </c>
      <c r="F77" s="251">
        <f>'Рабочий стол'!BA18</f>
        <v>0</v>
      </c>
      <c r="G77" s="250">
        <f t="shared" si="0"/>
        <v>0</v>
      </c>
      <c r="H77" s="250">
        <f>_xlfn.IFNA(VLOOKUP(C77,Таблица37[],7,0),0)*Таблица40[[#This Row],[Количество]]</f>
        <v>0</v>
      </c>
    </row>
    <row r="78" spans="2:8" ht="16.5" customHeight="1" x14ac:dyDescent="0.25">
      <c r="B78" s="26">
        <v>34</v>
      </c>
      <c r="C78" s="166">
        <f>'Рабочий стол'!AY19</f>
        <v>0</v>
      </c>
      <c r="D78" s="297">
        <f>'Рабочий стол'!AZ19</f>
        <v>0</v>
      </c>
      <c r="E78" s="250">
        <f>'Рабочий стол'!BB19</f>
        <v>0</v>
      </c>
      <c r="F78" s="251">
        <f>'Рабочий стол'!BA19</f>
        <v>0</v>
      </c>
      <c r="G78" s="250">
        <f t="shared" si="0"/>
        <v>0</v>
      </c>
      <c r="H78" s="250">
        <f>_xlfn.IFNA(VLOOKUP(C78,Таблица37[],7,0),0)*Таблица40[[#This Row],[Количество]]</f>
        <v>0</v>
      </c>
    </row>
    <row r="79" spans="2:8" ht="16.5" customHeight="1" x14ac:dyDescent="0.25">
      <c r="B79" s="26">
        <v>35</v>
      </c>
      <c r="C79" s="166">
        <f>'Рабочий стол'!AY20</f>
        <v>0</v>
      </c>
      <c r="D79" s="297">
        <f>'Рабочий стол'!AZ20</f>
        <v>0</v>
      </c>
      <c r="E79" s="250">
        <f>'Рабочий стол'!BB20</f>
        <v>0</v>
      </c>
      <c r="F79" s="251">
        <f>'Рабочий стол'!BA20</f>
        <v>0</v>
      </c>
      <c r="G79" s="250">
        <f t="shared" si="0"/>
        <v>0</v>
      </c>
      <c r="H79" s="250">
        <f>_xlfn.IFNA(VLOOKUP(C79,Таблица37[],7,0),0)*Таблица40[[#This Row],[Количество]]</f>
        <v>0</v>
      </c>
    </row>
    <row r="80" spans="2:8" ht="16.5" customHeight="1" x14ac:dyDescent="0.25">
      <c r="B80" s="26">
        <v>36</v>
      </c>
      <c r="C80" s="166">
        <f>'Рабочий стол'!AY21</f>
        <v>0</v>
      </c>
      <c r="D80" s="297">
        <f>'Рабочий стол'!AZ21</f>
        <v>0</v>
      </c>
      <c r="E80" s="250">
        <f>'Рабочий стол'!BB21</f>
        <v>0</v>
      </c>
      <c r="F80" s="251">
        <f>'Рабочий стол'!BA21</f>
        <v>0</v>
      </c>
      <c r="G80" s="250">
        <f t="shared" si="0"/>
        <v>0</v>
      </c>
      <c r="H80" s="250">
        <f>_xlfn.IFNA(VLOOKUP(C80,Таблица37[],7,0),0)*Таблица40[[#This Row],[Количество]]</f>
        <v>0</v>
      </c>
    </row>
    <row r="81" spans="2:8" ht="16.5" customHeight="1" x14ac:dyDescent="0.25">
      <c r="B81" s="26">
        <v>37</v>
      </c>
      <c r="C81" s="166">
        <f>'Рабочий стол'!AY22</f>
        <v>0</v>
      </c>
      <c r="D81" s="297">
        <f>'Рабочий стол'!AZ22</f>
        <v>0</v>
      </c>
      <c r="E81" s="250">
        <f>'Рабочий стол'!BB22</f>
        <v>0</v>
      </c>
      <c r="F81" s="251">
        <f>'Рабочий стол'!BA22</f>
        <v>0</v>
      </c>
      <c r="G81" s="250">
        <f t="shared" si="0"/>
        <v>0</v>
      </c>
      <c r="H81" s="250">
        <f>_xlfn.IFNA(VLOOKUP(C81,Таблица37[],7,0),0)*Таблица40[[#This Row],[Количество]]</f>
        <v>0</v>
      </c>
    </row>
    <row r="82" spans="2:8" ht="16.5" customHeight="1" x14ac:dyDescent="0.25">
      <c r="B82" s="26">
        <v>38</v>
      </c>
      <c r="C82" s="166">
        <f>'Рабочий стол'!AY23</f>
        <v>0</v>
      </c>
      <c r="D82" s="297">
        <f>'Рабочий стол'!AZ23</f>
        <v>0</v>
      </c>
      <c r="E82" s="250">
        <f>'Рабочий стол'!BB23</f>
        <v>0</v>
      </c>
      <c r="F82" s="251">
        <f>'Рабочий стол'!BA23</f>
        <v>0</v>
      </c>
      <c r="G82" s="250">
        <f t="shared" si="0"/>
        <v>0</v>
      </c>
      <c r="H82" s="250">
        <f>_xlfn.IFNA(VLOOKUP(C82,Таблица37[],7,0),0)*Таблица40[[#This Row],[Количество]]</f>
        <v>0</v>
      </c>
    </row>
    <row r="83" spans="2:8" ht="16.5" customHeight="1" x14ac:dyDescent="0.25">
      <c r="B83" s="26">
        <v>39</v>
      </c>
      <c r="C83" s="166">
        <f>'Рабочий стол'!AY24</f>
        <v>0</v>
      </c>
      <c r="D83" s="297">
        <f>'Рабочий стол'!AZ24</f>
        <v>0</v>
      </c>
      <c r="E83" s="250">
        <f>'Рабочий стол'!BB24</f>
        <v>0</v>
      </c>
      <c r="F83" s="251">
        <f>'Рабочий стол'!BA24</f>
        <v>0</v>
      </c>
      <c r="G83" s="250">
        <f t="shared" si="0"/>
        <v>0</v>
      </c>
      <c r="H83" s="250">
        <f>_xlfn.IFNA(VLOOKUP(C83,Таблица37[],7,0),0)*Таблица40[[#This Row],[Количество]]</f>
        <v>0</v>
      </c>
    </row>
    <row r="84" spans="2:8" ht="16.5" customHeight="1" x14ac:dyDescent="0.25">
      <c r="B84" s="26">
        <v>40</v>
      </c>
      <c r="C84" s="166">
        <f>'Рабочий стол'!AY25</f>
        <v>0</v>
      </c>
      <c r="D84" s="297">
        <f>'Рабочий стол'!AZ25</f>
        <v>0</v>
      </c>
      <c r="E84" s="250">
        <f>'Рабочий стол'!BB25</f>
        <v>0</v>
      </c>
      <c r="F84" s="251">
        <f>'Рабочий стол'!BA25</f>
        <v>0</v>
      </c>
      <c r="G84" s="250">
        <f t="shared" si="0"/>
        <v>0</v>
      </c>
      <c r="H84" s="250">
        <f>_xlfn.IFNA(VLOOKUP(C84,Таблица37[],7,0),0)*Таблица40[[#This Row],[Количество]]</f>
        <v>0</v>
      </c>
    </row>
    <row r="85" spans="2:8" ht="16.5" customHeight="1" x14ac:dyDescent="0.25">
      <c r="B85" s="26">
        <v>41</v>
      </c>
      <c r="C85" s="166">
        <f>'Рабочий стол'!AY26</f>
        <v>0</v>
      </c>
      <c r="D85" s="297">
        <f>'Рабочий стол'!AZ26</f>
        <v>0</v>
      </c>
      <c r="E85" s="250">
        <f>'Рабочий стол'!BB26</f>
        <v>0</v>
      </c>
      <c r="F85" s="251">
        <f>'Рабочий стол'!BA26</f>
        <v>0</v>
      </c>
      <c r="G85" s="250">
        <f t="shared" si="0"/>
        <v>0</v>
      </c>
      <c r="H85" s="250">
        <f>_xlfn.IFNA(VLOOKUP(C85,Таблица37[],7,0),0)*Таблица40[[#This Row],[Количество]]</f>
        <v>0</v>
      </c>
    </row>
    <row r="86" spans="2:8" ht="16.5" customHeight="1" x14ac:dyDescent="0.25">
      <c r="B86" s="26">
        <v>42</v>
      </c>
      <c r="C86" s="166">
        <f>'Рабочий стол'!AJ27</f>
        <v>0</v>
      </c>
      <c r="D86" s="166" t="e">
        <f>VLOOKUP(C86,Таблица37[],2,0)</f>
        <v>#N/A</v>
      </c>
      <c r="E86" s="250" t="e">
        <f>VLOOKUP(C86,Таблица37[],8,0)</f>
        <v>#N/A</v>
      </c>
      <c r="F86" s="26">
        <f>'Рабочий стол'!AT27</f>
        <v>0</v>
      </c>
      <c r="G86" s="250">
        <f t="shared" si="0"/>
        <v>0</v>
      </c>
      <c r="H86" s="250">
        <f>_xlfn.IFNA(VLOOKUP(C86,Таблица37[],7,0),0)*Таблица40[[#This Row],[Количество]]</f>
        <v>0</v>
      </c>
    </row>
    <row r="87" spans="2:8" ht="16.5" customHeight="1" x14ac:dyDescent="0.25">
      <c r="B87" s="26">
        <v>43</v>
      </c>
      <c r="C87" s="166">
        <f>'Рабочий стол'!AJ29</f>
        <v>0</v>
      </c>
      <c r="D87" s="166" t="e">
        <f>VLOOKUP(C87,Таблица37[],2,0)</f>
        <v>#N/A</v>
      </c>
      <c r="E87" s="250" t="e">
        <f>VLOOKUP(C87,Таблица37[],8,0)</f>
        <v>#N/A</v>
      </c>
      <c r="F87" s="26">
        <f>'Рабочий стол'!AT29</f>
        <v>0</v>
      </c>
      <c r="G87" s="250">
        <f t="shared" si="0"/>
        <v>0</v>
      </c>
      <c r="H87" s="250">
        <f>_xlfn.IFNA(VLOOKUP(C87,Таблица37[],7,0),0)*Таблица40[[#This Row],[Количество]]</f>
        <v>0</v>
      </c>
    </row>
    <row r="88" spans="2:8" ht="16.5" customHeight="1" x14ac:dyDescent="0.25">
      <c r="B88" s="26">
        <v>44</v>
      </c>
      <c r="C88" s="166">
        <f>'Рабочий стол'!AJ30</f>
        <v>0</v>
      </c>
      <c r="D88" s="166" t="e">
        <f>VLOOKUP(C88,Таблица37[],2,0)</f>
        <v>#N/A</v>
      </c>
      <c r="E88" s="250" t="e">
        <f>VLOOKUP(C88,Таблица37[],8,0)</f>
        <v>#N/A</v>
      </c>
      <c r="F88" s="26">
        <f>'Рабочий стол'!AT30</f>
        <v>0</v>
      </c>
      <c r="G88" s="250">
        <f t="shared" si="0"/>
        <v>0</v>
      </c>
      <c r="H88" s="250">
        <f>_xlfn.IFNA(VLOOKUP(C88,Таблица37[],7,0),0)*Таблица40[[#This Row],[Количество]]</f>
        <v>0</v>
      </c>
    </row>
    <row r="89" spans="2:8" ht="16.5" customHeight="1" x14ac:dyDescent="0.25">
      <c r="B89" s="26">
        <v>45</v>
      </c>
      <c r="C89" s="166">
        <f>'Рабочий стол'!AJ31</f>
        <v>0</v>
      </c>
      <c r="D89" s="166" t="e">
        <f>VLOOKUP(C89,Таблица37[],2,0)</f>
        <v>#N/A</v>
      </c>
      <c r="E89" s="250" t="e">
        <f>VLOOKUP(C89,Таблица37[],8,0)</f>
        <v>#N/A</v>
      </c>
      <c r="F89" s="26">
        <f>'Рабочий стол'!AT31</f>
        <v>0</v>
      </c>
      <c r="G89" s="250">
        <f t="shared" si="0"/>
        <v>0</v>
      </c>
      <c r="H89" s="250">
        <f>_xlfn.IFNA(VLOOKUP(C89,Таблица37[],7,0),0)*Таблица40[[#This Row],[Количество]]</f>
        <v>0</v>
      </c>
    </row>
    <row r="90" spans="2:8" ht="16.5" customHeight="1" x14ac:dyDescent="0.25">
      <c r="B90" s="26">
        <v>46</v>
      </c>
      <c r="C90" s="166">
        <f>'Рабочий стол'!AJ32</f>
        <v>0</v>
      </c>
      <c r="D90" s="166" t="e">
        <f>VLOOKUP(C90,Таблица37[],2,0)</f>
        <v>#N/A</v>
      </c>
      <c r="E90" s="250" t="e">
        <f>VLOOKUP(C90,Таблица37[],8,0)</f>
        <v>#N/A</v>
      </c>
      <c r="F90" s="26">
        <f>'Рабочий стол'!AT32</f>
        <v>0</v>
      </c>
      <c r="G90" s="250">
        <f t="shared" si="0"/>
        <v>0</v>
      </c>
      <c r="H90" s="250">
        <f>_xlfn.IFNA(VLOOKUP(C90,Таблица37[],7,0),0)*Таблица40[[#This Row],[Количество]]</f>
        <v>0</v>
      </c>
    </row>
    <row r="91" spans="2:8" ht="16.5" customHeight="1" x14ac:dyDescent="0.25">
      <c r="B91" s="26">
        <v>47</v>
      </c>
      <c r="C91" s="166">
        <f>'Рабочий стол'!AJ33</f>
        <v>0</v>
      </c>
      <c r="D91" s="166" t="e">
        <f>VLOOKUP(C91,Таблица37[],2,0)</f>
        <v>#N/A</v>
      </c>
      <c r="E91" s="250" t="e">
        <f>VLOOKUP(C91,Таблица37[],8,0)</f>
        <v>#N/A</v>
      </c>
      <c r="F91" s="26">
        <f>'Рабочий стол'!AT33</f>
        <v>0</v>
      </c>
      <c r="G91" s="250">
        <f t="shared" si="0"/>
        <v>0</v>
      </c>
      <c r="H91" s="250">
        <f>_xlfn.IFNA(VLOOKUP(C91,Таблица37[],7,0),0)*Таблица40[[#This Row],[Количество]]</f>
        <v>0</v>
      </c>
    </row>
    <row r="92" spans="2:8" ht="16.5" customHeight="1" x14ac:dyDescent="0.25">
      <c r="B92" s="26">
        <v>48</v>
      </c>
      <c r="C92" s="166">
        <f>'Рабочий стол'!AJ35</f>
        <v>0</v>
      </c>
      <c r="D92" s="166" t="e">
        <f>VLOOKUP(C92,Таблица37[],2,0)</f>
        <v>#N/A</v>
      </c>
      <c r="E92" s="250" t="e">
        <f>VLOOKUP(C92,Таблица37[],8,0)</f>
        <v>#N/A</v>
      </c>
      <c r="F92" s="26">
        <f>'Рабочий стол'!AT35</f>
        <v>0</v>
      </c>
      <c r="G92" s="250">
        <f t="shared" si="0"/>
        <v>0</v>
      </c>
      <c r="H92" s="250">
        <f>_xlfn.IFNA(VLOOKUP(C92,Таблица37[],7,0),0)*Таблица40[[#This Row],[Количество]]</f>
        <v>0</v>
      </c>
    </row>
    <row r="93" spans="2:8" ht="16.5" customHeight="1" x14ac:dyDescent="0.25">
      <c r="B93" s="26">
        <v>49</v>
      </c>
      <c r="C93" s="166" t="str">
        <f>'Рабочий стол'!AO4</f>
        <v>WDU 35</v>
      </c>
      <c r="D93" s="166" t="str">
        <f>VLOOKUP(C93,Таблица37[],2,0)</f>
        <v>Клемма проходная для провода сечением 35кв.мм</v>
      </c>
      <c r="E93" s="250">
        <f>VLOOKUP(C93,Таблица37[],8,0)</f>
        <v>152.93700000000001</v>
      </c>
      <c r="F93" s="26">
        <f>'Рабочий стол'!AN4</f>
        <v>10</v>
      </c>
      <c r="G93" s="250">
        <f t="shared" si="0"/>
        <v>1529.3700000000001</v>
      </c>
      <c r="H93" s="250">
        <f>_xlfn.IFNA(VLOOKUP(C93,Таблица37[],7,0),0)*Таблица40[[#This Row],[Количество]]</f>
        <v>291.70000000000005</v>
      </c>
    </row>
    <row r="94" spans="2:8" ht="16.5" customHeight="1" x14ac:dyDescent="0.25">
      <c r="B94" s="26">
        <v>50</v>
      </c>
      <c r="C94" s="166" t="str">
        <f>'Рабочий стол'!AO9</f>
        <v/>
      </c>
      <c r="D94" s="166" t="e">
        <f>VLOOKUP(C94,Таблица37[],2,0)</f>
        <v>#N/A</v>
      </c>
      <c r="E94" s="250" t="e">
        <f>VLOOKUP(C94,Таблица37[],8,0)</f>
        <v>#N/A</v>
      </c>
      <c r="F94" s="26">
        <f>'Рабочий стол'!AN9</f>
        <v>0</v>
      </c>
      <c r="G94" s="250">
        <f t="shared" si="0"/>
        <v>0</v>
      </c>
      <c r="H94" s="250">
        <f>_xlfn.IFNA(VLOOKUP(C94,Таблица37[],7,0),0)*Таблица40[[#This Row],[Количество]]</f>
        <v>0</v>
      </c>
    </row>
    <row r="95" spans="2:8" ht="16.5" customHeight="1" x14ac:dyDescent="0.25">
      <c r="B95" s="26">
        <v>51</v>
      </c>
      <c r="C95" s="166" t="str">
        <f>'Рабочий стол'!AO10</f>
        <v/>
      </c>
      <c r="D95" s="166" t="e">
        <f>VLOOKUP(C95,Таблица37[],2,0)</f>
        <v>#N/A</v>
      </c>
      <c r="E95" s="250" t="e">
        <f>VLOOKUP(C95,Таблица37[],8,0)</f>
        <v>#N/A</v>
      </c>
      <c r="F95" s="26">
        <f>'Рабочий стол'!AN10</f>
        <v>0</v>
      </c>
      <c r="G95" s="250">
        <f t="shared" si="0"/>
        <v>0</v>
      </c>
      <c r="H95" s="250">
        <f>_xlfn.IFNA(VLOOKUP(C95,Таблица37[],7,0),0)*Таблица40[[#This Row],[Количество]]</f>
        <v>0</v>
      </c>
    </row>
    <row r="96" spans="2:8" ht="16.5" customHeight="1" x14ac:dyDescent="0.25">
      <c r="B96" s="26">
        <v>52</v>
      </c>
      <c r="C96" s="166" t="str">
        <f>'Рабочий стол'!AQ4</f>
        <v/>
      </c>
      <c r="D96" s="166" t="e">
        <f>VLOOKUP(C96,Таблица37[],2,0)</f>
        <v>#N/A</v>
      </c>
      <c r="E96" s="250" t="e">
        <f>VLOOKUP(C96,Таблица37[],8,0)</f>
        <v>#N/A</v>
      </c>
      <c r="F96" s="26">
        <f>'Рабочий стол'!AP4</f>
        <v>0</v>
      </c>
      <c r="G96" s="250">
        <f t="shared" si="0"/>
        <v>0</v>
      </c>
      <c r="H96" s="250">
        <f>_xlfn.IFNA(VLOOKUP(C96,Таблица37[],7,0),0)*Таблица40[[#This Row],[Количество]]</f>
        <v>0</v>
      </c>
    </row>
    <row r="97" spans="2:8" x14ac:dyDescent="0.25">
      <c r="B97" s="26">
        <v>53</v>
      </c>
      <c r="C97" s="166" t="str">
        <f>'Рабочий стол'!AQ9</f>
        <v/>
      </c>
      <c r="D97" s="166" t="e">
        <f>VLOOKUP(C97,Таблица37[],2,0)</f>
        <v>#N/A</v>
      </c>
      <c r="E97" s="250" t="e">
        <f>VLOOKUP(C97,Таблица37[],8,0)</f>
        <v>#N/A</v>
      </c>
      <c r="F97" s="26">
        <f>'Рабочий стол'!AP9</f>
        <v>0</v>
      </c>
      <c r="G97" s="250">
        <f t="shared" si="0"/>
        <v>0</v>
      </c>
      <c r="H97" s="250">
        <f>_xlfn.IFNA(VLOOKUP(C97,Таблица37[],7,0),0)*Таблица40[[#This Row],[Количество]]</f>
        <v>0</v>
      </c>
    </row>
    <row r="98" spans="2:8" ht="16.5" customHeight="1" x14ac:dyDescent="0.25">
      <c r="B98" s="26">
        <v>54</v>
      </c>
      <c r="C98" s="166" t="str">
        <f>'Рабочий стол'!AQ10</f>
        <v/>
      </c>
      <c r="D98" s="166" t="e">
        <f>VLOOKUP(C98,Таблица37[],2,0)</f>
        <v>#N/A</v>
      </c>
      <c r="E98" s="250" t="e">
        <f>VLOOKUP(C98,Таблица37[],8,0)</f>
        <v>#N/A</v>
      </c>
      <c r="F98" s="26">
        <f>'Рабочий стол'!AP10</f>
        <v>0</v>
      </c>
      <c r="G98" s="250">
        <f t="shared" si="0"/>
        <v>0</v>
      </c>
      <c r="H98" s="250">
        <f>_xlfn.IFNA(VLOOKUP(C98,Таблица37[],7,0),0)*Таблица40[[#This Row],[Количество]]</f>
        <v>0</v>
      </c>
    </row>
    <row r="99" spans="2:8" ht="16.5" customHeight="1" x14ac:dyDescent="0.25">
      <c r="B99" s="26">
        <v>55</v>
      </c>
      <c r="C99" s="166" t="str">
        <f>'Рабочий стол'!AS4</f>
        <v/>
      </c>
      <c r="D99" s="166" t="e">
        <f>VLOOKUP(C99,Таблица37[],2,0)</f>
        <v>#N/A</v>
      </c>
      <c r="E99" s="250" t="e">
        <f>VLOOKUP(C99,Таблица37[],8,0)</f>
        <v>#N/A</v>
      </c>
      <c r="F99" s="26">
        <f>'Рабочий стол'!AR4</f>
        <v>0</v>
      </c>
      <c r="G99" s="250">
        <f t="shared" si="0"/>
        <v>0</v>
      </c>
      <c r="H99" s="250">
        <f>_xlfn.IFNA(VLOOKUP(C99,Таблица37[],7,0),0)*Таблица40[[#This Row],[Количество]]</f>
        <v>0</v>
      </c>
    </row>
    <row r="100" spans="2:8" ht="16.5" customHeight="1" x14ac:dyDescent="0.25">
      <c r="B100" s="26">
        <v>56</v>
      </c>
      <c r="C100" s="166" t="str">
        <f>'Рабочий стол'!AS9</f>
        <v/>
      </c>
      <c r="D100" s="166" t="e">
        <f>VLOOKUP(C100,Таблица37[],2,0)</f>
        <v>#N/A</v>
      </c>
      <c r="E100" s="250" t="e">
        <f>VLOOKUP(C100,Таблица37[],8,0)</f>
        <v>#N/A</v>
      </c>
      <c r="F100" s="26">
        <f>'Рабочий стол'!AR9</f>
        <v>0</v>
      </c>
      <c r="G100" s="250">
        <f t="shared" si="0"/>
        <v>0</v>
      </c>
      <c r="H100" s="250">
        <f>_xlfn.IFNA(VLOOKUP(C100,Таблица37[],7,0),0)*Таблица40[[#This Row],[Количество]]</f>
        <v>0</v>
      </c>
    </row>
    <row r="101" spans="2:8" x14ac:dyDescent="0.25">
      <c r="B101" s="26">
        <v>57</v>
      </c>
      <c r="C101" s="166" t="str">
        <f>'Рабочий стол'!AS10</f>
        <v/>
      </c>
      <c r="D101" s="166" t="e">
        <f>VLOOKUP(C101,Таблица37[],2,0)</f>
        <v>#N/A</v>
      </c>
      <c r="E101" s="250" t="e">
        <f>VLOOKUP(C101,Таблица37[],8,0)</f>
        <v>#N/A</v>
      </c>
      <c r="F101" s="26">
        <f>'Рабочий стол'!AR10</f>
        <v>0</v>
      </c>
      <c r="G101" s="250">
        <f t="shared" si="0"/>
        <v>0</v>
      </c>
      <c r="H101" s="250">
        <f>_xlfn.IFNA(VLOOKUP(C101,Таблица37[],7,0),0)*Таблица40[[#This Row],[Количество]]</f>
        <v>0</v>
      </c>
    </row>
    <row r="102" spans="2:8" x14ac:dyDescent="0.25">
      <c r="B102" s="26">
        <v>58</v>
      </c>
      <c r="C102" s="166" t="str">
        <f>'Рабочий стол'!AU4</f>
        <v/>
      </c>
      <c r="D102" s="166" t="e">
        <f>VLOOKUP(C102,Таблица37[],2,0)</f>
        <v>#N/A</v>
      </c>
      <c r="E102" s="250" t="e">
        <f>VLOOKUP(C102,Таблица37[],8,0)</f>
        <v>#N/A</v>
      </c>
      <c r="F102" s="26">
        <f>'Рабочий стол'!AT4</f>
        <v>0</v>
      </c>
      <c r="G102" s="250">
        <f t="shared" si="0"/>
        <v>0</v>
      </c>
      <c r="H102" s="250">
        <f>_xlfn.IFNA(VLOOKUP(C102,Таблица37[],7,0),0)*Таблица40[[#This Row],[Количество]]</f>
        <v>0</v>
      </c>
    </row>
    <row r="103" spans="2:8" x14ac:dyDescent="0.25">
      <c r="B103" s="26">
        <v>59</v>
      </c>
      <c r="C103" s="166" t="str">
        <f>'Рабочий стол'!AU9</f>
        <v/>
      </c>
      <c r="D103" s="166" t="e">
        <f>VLOOKUP(C103,Таблица37[],2,0)</f>
        <v>#N/A</v>
      </c>
      <c r="E103" s="250" t="e">
        <f>VLOOKUP(C103,Таблица37[],8,0)</f>
        <v>#N/A</v>
      </c>
      <c r="F103" s="26">
        <f>'Рабочий стол'!AT9</f>
        <v>0</v>
      </c>
      <c r="G103" s="250">
        <f t="shared" si="0"/>
        <v>0</v>
      </c>
      <c r="H103" s="250">
        <f>_xlfn.IFNA(VLOOKUP(C103,Таблица37[],7,0),0)*Таблица40[[#This Row],[Количество]]</f>
        <v>0</v>
      </c>
    </row>
    <row r="104" spans="2:8" x14ac:dyDescent="0.25">
      <c r="B104" s="26">
        <v>60</v>
      </c>
      <c r="C104" s="166" t="str">
        <f>'Рабочий стол'!AU10</f>
        <v/>
      </c>
      <c r="D104" s="166" t="e">
        <f>VLOOKUP(C104,Таблица37[],2,0)</f>
        <v>#N/A</v>
      </c>
      <c r="E104" s="250" t="e">
        <f>VLOOKUP(C104,Таблица37[],8,0)</f>
        <v>#N/A</v>
      </c>
      <c r="F104" s="26">
        <f>'Рабочий стол'!AT10</f>
        <v>0</v>
      </c>
      <c r="G104" s="250">
        <f t="shared" si="0"/>
        <v>0</v>
      </c>
      <c r="H104" s="250">
        <f>_xlfn.IFNA(VLOOKUP(C104,Таблица37[],7,0),0)*Таблица40[[#This Row],[Количество]]</f>
        <v>0</v>
      </c>
    </row>
    <row r="105" spans="2:8" x14ac:dyDescent="0.25">
      <c r="B105" s="26">
        <v>61</v>
      </c>
      <c r="C105" s="166">
        <f>'Рабочий стол'!AI14</f>
        <v>0</v>
      </c>
      <c r="D105" s="166" t="e">
        <f>VLOOKUP(C105,Таблица37[],2,0)</f>
        <v>#N/A</v>
      </c>
      <c r="E105" s="250" t="e">
        <f>VLOOKUP(C105,Таблица37[],8,0)</f>
        <v>#N/A</v>
      </c>
      <c r="F105" s="26">
        <f>'Рабочий стол'!AG14</f>
        <v>0</v>
      </c>
      <c r="G105" s="250">
        <f t="shared" si="0"/>
        <v>0</v>
      </c>
      <c r="H105" s="250">
        <f>_xlfn.IFNA(VLOOKUP(C105,Таблица37[],7,0),0)*Таблица40[[#This Row],[Количество]]</f>
        <v>0</v>
      </c>
    </row>
    <row r="106" spans="2:8" x14ac:dyDescent="0.25">
      <c r="B106" s="26">
        <v>62</v>
      </c>
      <c r="C106" s="166" t="str">
        <f>'Рабочий стол'!AI15</f>
        <v/>
      </c>
      <c r="D106" s="166" t="e">
        <f>VLOOKUP(C106,Таблица37[],2,0)</f>
        <v>#N/A</v>
      </c>
      <c r="E106" s="250" t="e">
        <f>VLOOKUP(C106,Таблица37[],8,0)</f>
        <v>#N/A</v>
      </c>
      <c r="F106" s="26">
        <f>'Рабочий стол'!AG15</f>
        <v>0</v>
      </c>
      <c r="G106" s="250">
        <f t="shared" si="0"/>
        <v>0</v>
      </c>
      <c r="H106" s="250">
        <f>_xlfn.IFNA(VLOOKUP(C106,Таблица37[],7,0),0)*Таблица40[[#This Row],[Количество]]</f>
        <v>0</v>
      </c>
    </row>
    <row r="107" spans="2:8" x14ac:dyDescent="0.25">
      <c r="B107" s="26">
        <v>63</v>
      </c>
      <c r="C107" s="166" t="str">
        <f>'Рабочий стол'!AJ25</f>
        <v>ВД-ЛМ(З)-230</v>
      </c>
      <c r="D107" s="166" t="str">
        <f>VLOOKUP(C107,Таблица37[],2,0)</f>
        <v>Взрывонепроницаемая лампа ВД-ЛМ, зеленая, М32х1.5, 1~230 B, Ex db IIС Gb U, IP66 / IP67</v>
      </c>
      <c r="E107" s="250">
        <f>VLOOKUP(C107,Таблица37[],8,0)</f>
        <v>1005.98556</v>
      </c>
      <c r="F107" s="26">
        <f>'Рабочий стол'!AT25</f>
        <v>1</v>
      </c>
      <c r="G107" s="250">
        <f t="shared" si="0"/>
        <v>1005.98556</v>
      </c>
      <c r="H107" s="250">
        <f>_xlfn.IFNA(VLOOKUP(C107,Таблица37[],7,0),0)*Таблица40[[#This Row],[Количество]]</f>
        <v>159</v>
      </c>
    </row>
    <row r="108" spans="2:8" x14ac:dyDescent="0.25">
      <c r="B108" s="26">
        <v>64</v>
      </c>
      <c r="C108" s="166" t="str">
        <f>'Рабочий стол'!AJ26</f>
        <v>ВД-РА</v>
      </c>
      <c r="D108" s="166" t="str">
        <f>VLOOKUP(C108,Таблица37[],2,0)</f>
        <v>Переключатель модульного автомата (узел управления)</v>
      </c>
      <c r="E108" s="250">
        <v>708</v>
      </c>
      <c r="F108" s="26">
        <f>'Рабочий стол'!AT26</f>
        <v>1</v>
      </c>
      <c r="G108" s="250">
        <f t="shared" si="0"/>
        <v>708</v>
      </c>
      <c r="H108" s="250">
        <f>_xlfn.IFNA(VLOOKUP(C108,Таблица37[],7,0),0)*Таблица40[[#This Row],[Количество]]</f>
        <v>159</v>
      </c>
    </row>
    <row r="109" spans="2:8" x14ac:dyDescent="0.25">
      <c r="B109" s="26">
        <v>65</v>
      </c>
      <c r="C109" s="166">
        <f>'Рабочий стол'!AJ28</f>
        <v>0</v>
      </c>
      <c r="D109" s="166" t="e">
        <f>VLOOKUP(C109,Таблица37[],2,0)</f>
        <v>#N/A</v>
      </c>
      <c r="E109" s="250" t="e">
        <f>VLOOKUP(C109,Таблица37[],8,0)</f>
        <v>#N/A</v>
      </c>
      <c r="F109" s="26">
        <f>'Рабочий стол'!AT28</f>
        <v>0</v>
      </c>
      <c r="G109" s="250">
        <f t="shared" si="0"/>
        <v>0</v>
      </c>
      <c r="H109" s="250">
        <f>_xlfn.IFNA(VLOOKUP(C109,Таблица37[],7,0),0)*Таблица40[[#This Row],[Количество]]</f>
        <v>0</v>
      </c>
    </row>
    <row r="110" spans="2:8" x14ac:dyDescent="0.25">
      <c r="B110" s="26">
        <v>66</v>
      </c>
      <c r="C110" s="166">
        <f>'Рабочий стол'!AJ34</f>
        <v>0</v>
      </c>
      <c r="D110" s="166" t="e">
        <f>VLOOKUP(C110,Таблица37[],2,0)</f>
        <v>#N/A</v>
      </c>
      <c r="E110" s="250" t="e">
        <f>VLOOKUP(C110,Таблица37[],8,0)</f>
        <v>#N/A</v>
      </c>
      <c r="F110" s="26">
        <f>'Рабочий стол'!AT34</f>
        <v>0</v>
      </c>
      <c r="G110" s="250">
        <f t="shared" ref="G110:G139" si="2">_xlfn.IFNA(E110*F110,0)</f>
        <v>0</v>
      </c>
      <c r="H110" s="250">
        <f>_xlfn.IFNA(VLOOKUP(C110,Таблица37[],7,0),0)*Таблица40[[#This Row],[Количество]]</f>
        <v>0</v>
      </c>
    </row>
    <row r="111" spans="2:8" x14ac:dyDescent="0.25">
      <c r="B111" s="26">
        <v>67</v>
      </c>
      <c r="C111" s="166" t="str">
        <f>'Рабочий стол'!AO5</f>
        <v>WDU 6</v>
      </c>
      <c r="D111" s="166" t="str">
        <f>VLOOKUP(C111,Таблица37[],2,0)</f>
        <v>Клемма проходная для провода сечением 6кв.мм</v>
      </c>
      <c r="E111" s="250">
        <f>VLOOKUP(C111,Таблица37[],8,0)</f>
        <v>60.087000000000003</v>
      </c>
      <c r="F111" s="26">
        <f>'Рабочий стол'!AN5</f>
        <v>5</v>
      </c>
      <c r="G111" s="250">
        <f t="shared" si="2"/>
        <v>300.435</v>
      </c>
      <c r="H111" s="250">
        <f>_xlfn.IFNA(VLOOKUP(C111,Таблица37[],7,0),0)*Таблица40[[#This Row],[Количество]]</f>
        <v>145.85000000000002</v>
      </c>
    </row>
    <row r="112" spans="2:8" x14ac:dyDescent="0.25">
      <c r="B112" s="26">
        <v>68</v>
      </c>
      <c r="C112" s="166">
        <f>'Рабочий стол'!AO6</f>
        <v>0</v>
      </c>
      <c r="D112" s="166" t="e">
        <f>VLOOKUP(C112,Таблица37[],2,0)</f>
        <v>#N/A</v>
      </c>
      <c r="E112" s="250" t="e">
        <f>VLOOKUP(C112,Таблица37[],8,0)</f>
        <v>#N/A</v>
      </c>
      <c r="F112" s="26">
        <f>'Рабочий стол'!AN6</f>
        <v>0</v>
      </c>
      <c r="G112" s="250">
        <f t="shared" si="2"/>
        <v>0</v>
      </c>
      <c r="H112" s="250">
        <f>_xlfn.IFNA(VLOOKUP(C112,Таблица37[],7,0),0)*Таблица40[[#This Row],[Количество]]</f>
        <v>0</v>
      </c>
    </row>
    <row r="113" spans="2:8" x14ac:dyDescent="0.25">
      <c r="B113" s="26">
        <v>69</v>
      </c>
      <c r="C113" s="166" t="str">
        <f>'Рабочий стол'!AO7</f>
        <v/>
      </c>
      <c r="D113" s="166" t="e">
        <f>VLOOKUP(C113,Таблица37[],2,0)</f>
        <v>#N/A</v>
      </c>
      <c r="E113" s="250" t="e">
        <f>VLOOKUP(C113,Таблица37[],8,0)</f>
        <v>#N/A</v>
      </c>
      <c r="F113" s="26">
        <f>'Рабочий стол'!AN7</f>
        <v>0</v>
      </c>
      <c r="G113" s="250">
        <f t="shared" si="2"/>
        <v>0</v>
      </c>
      <c r="H113" s="250">
        <f>_xlfn.IFNA(VLOOKUP(C113,Таблица37[],7,0),0)*Таблица40[[#This Row],[Количество]]</f>
        <v>0</v>
      </c>
    </row>
    <row r="114" spans="2:8" x14ac:dyDescent="0.25">
      <c r="B114" s="26">
        <v>70</v>
      </c>
      <c r="C114" s="166" t="str">
        <f>'Рабочий стол'!AO8</f>
        <v/>
      </c>
      <c r="D114" s="166" t="e">
        <f>VLOOKUP(C114,Таблица37[],2,0)</f>
        <v>#N/A</v>
      </c>
      <c r="E114" s="250" t="e">
        <f>VLOOKUP(C114,Таблица37[],8,0)</f>
        <v>#N/A</v>
      </c>
      <c r="F114" s="26">
        <f>'Рабочий стол'!AN8</f>
        <v>0</v>
      </c>
      <c r="G114" s="250">
        <f t="shared" si="2"/>
        <v>0</v>
      </c>
      <c r="H114" s="250">
        <f>_xlfn.IFNA(VLOOKUP(C114,Таблица37[],7,0),0)*Таблица40[[#This Row],[Количество]]</f>
        <v>0</v>
      </c>
    </row>
    <row r="115" spans="2:8" x14ac:dyDescent="0.25">
      <c r="B115" s="26">
        <v>71</v>
      </c>
      <c r="C115" s="166" t="str">
        <f>'Рабочий стол'!AQ5</f>
        <v/>
      </c>
      <c r="D115" s="166" t="e">
        <f>VLOOKUP(C115,Таблица37[],2,0)</f>
        <v>#N/A</v>
      </c>
      <c r="E115" s="250" t="e">
        <f>VLOOKUP(C115,Таблица37[],8,0)</f>
        <v>#N/A</v>
      </c>
      <c r="F115" s="26">
        <f>'Рабочий стол'!AP5</f>
        <v>0</v>
      </c>
      <c r="G115" s="250">
        <f t="shared" si="2"/>
        <v>0</v>
      </c>
      <c r="H115" s="250">
        <f>_xlfn.IFNA(VLOOKUP(C115,Таблица37[],7,0),0)*Таблица40[[#This Row],[Количество]]</f>
        <v>0</v>
      </c>
    </row>
    <row r="116" spans="2:8" x14ac:dyDescent="0.25">
      <c r="B116" s="26">
        <v>72</v>
      </c>
      <c r="C116" s="166" t="str">
        <f>'Рабочий стол'!AQ6</f>
        <v/>
      </c>
      <c r="D116" s="166" t="e">
        <f>VLOOKUP(C116,Таблица37[],2,0)</f>
        <v>#N/A</v>
      </c>
      <c r="E116" s="250" t="e">
        <f>VLOOKUP(C116,Таблица37[],8,0)</f>
        <v>#N/A</v>
      </c>
      <c r="F116" s="26">
        <f>'Рабочий стол'!AP6</f>
        <v>0</v>
      </c>
      <c r="G116" s="250">
        <f t="shared" si="2"/>
        <v>0</v>
      </c>
      <c r="H116" s="250">
        <f>_xlfn.IFNA(VLOOKUP(C116,Таблица37[],7,0),0)*Таблица40[[#This Row],[Количество]]</f>
        <v>0</v>
      </c>
    </row>
    <row r="117" spans="2:8" x14ac:dyDescent="0.25">
      <c r="B117" s="26">
        <v>73</v>
      </c>
      <c r="C117" s="166" t="str">
        <f>'Рабочий стол'!AQ7</f>
        <v/>
      </c>
      <c r="D117" s="166" t="e">
        <f>VLOOKUP(C117,Таблица37[],2,0)</f>
        <v>#N/A</v>
      </c>
      <c r="E117" s="250" t="e">
        <f>VLOOKUP(C117,Таблица37[],8,0)</f>
        <v>#N/A</v>
      </c>
      <c r="F117" s="26">
        <f>'Рабочий стол'!AP7</f>
        <v>0</v>
      </c>
      <c r="G117" s="250">
        <f t="shared" si="2"/>
        <v>0</v>
      </c>
      <c r="H117" s="250">
        <f>_xlfn.IFNA(VLOOKUP(C117,Таблица37[],7,0),0)*Таблица40[[#This Row],[Количество]]</f>
        <v>0</v>
      </c>
    </row>
    <row r="118" spans="2:8" x14ac:dyDescent="0.25">
      <c r="B118" s="26">
        <v>74</v>
      </c>
      <c r="C118" s="166" t="str">
        <f>'Рабочий стол'!AQ8</f>
        <v/>
      </c>
      <c r="D118" s="166" t="e">
        <f>VLOOKUP(C118,Таблица37[],2,0)</f>
        <v>#N/A</v>
      </c>
      <c r="E118" s="250" t="e">
        <f>VLOOKUP(C118,Таблица37[],8,0)</f>
        <v>#N/A</v>
      </c>
      <c r="F118" s="26">
        <f>'Рабочий стол'!AP8</f>
        <v>0</v>
      </c>
      <c r="G118" s="250">
        <f t="shared" si="2"/>
        <v>0</v>
      </c>
      <c r="H118" s="250">
        <f>_xlfn.IFNA(VLOOKUP(C118,Таблица37[],7,0),0)*Таблица40[[#This Row],[Количество]]</f>
        <v>0</v>
      </c>
    </row>
    <row r="119" spans="2:8" x14ac:dyDescent="0.25">
      <c r="B119" s="26">
        <v>75</v>
      </c>
      <c r="C119" s="166" t="str">
        <f>'Рабочий стол'!AS5</f>
        <v/>
      </c>
      <c r="D119" s="166" t="e">
        <f>VLOOKUP(C119,Таблица37[],2,0)</f>
        <v>#N/A</v>
      </c>
      <c r="E119" s="250" t="e">
        <f>VLOOKUP(C119,Таблица37[],8,0)</f>
        <v>#N/A</v>
      </c>
      <c r="F119" s="26">
        <f>'Рабочий стол'!AR5</f>
        <v>0</v>
      </c>
      <c r="G119" s="250">
        <f t="shared" si="2"/>
        <v>0</v>
      </c>
      <c r="H119" s="250">
        <f>_xlfn.IFNA(VLOOKUP(C119,Таблица37[],7,0),0)*Таблица40[[#This Row],[Количество]]</f>
        <v>0</v>
      </c>
    </row>
    <row r="120" spans="2:8" x14ac:dyDescent="0.25">
      <c r="B120" s="26">
        <v>76</v>
      </c>
      <c r="C120" s="166" t="str">
        <f>'Рабочий стол'!AS6</f>
        <v/>
      </c>
      <c r="D120" s="166" t="e">
        <f>VLOOKUP(C120,Таблица37[],2,0)</f>
        <v>#N/A</v>
      </c>
      <c r="E120" s="250" t="e">
        <f>VLOOKUP(C120,Таблица37[],8,0)</f>
        <v>#N/A</v>
      </c>
      <c r="F120" s="26">
        <f>'Рабочий стол'!AR6</f>
        <v>0</v>
      </c>
      <c r="G120" s="250">
        <f t="shared" si="2"/>
        <v>0</v>
      </c>
      <c r="H120" s="250">
        <f>_xlfn.IFNA(VLOOKUP(C120,Таблица37[],7,0),0)*Таблица40[[#This Row],[Количество]]</f>
        <v>0</v>
      </c>
    </row>
    <row r="121" spans="2:8" x14ac:dyDescent="0.25">
      <c r="B121" s="26">
        <v>77</v>
      </c>
      <c r="C121" s="166" t="str">
        <f>'Рабочий стол'!AS7</f>
        <v/>
      </c>
      <c r="D121" s="166" t="e">
        <f>VLOOKUP(C121,Таблица37[],2,0)</f>
        <v>#N/A</v>
      </c>
      <c r="E121" s="250" t="e">
        <f>VLOOKUP(C121,Таблица37[],8,0)</f>
        <v>#N/A</v>
      </c>
      <c r="F121" s="26">
        <f>'Рабочий стол'!AR7</f>
        <v>0</v>
      </c>
      <c r="G121" s="250">
        <f t="shared" si="2"/>
        <v>0</v>
      </c>
      <c r="H121" s="250">
        <f>_xlfn.IFNA(VLOOKUP(C121,Таблица37[],7,0),0)*Таблица40[[#This Row],[Количество]]</f>
        <v>0</v>
      </c>
    </row>
    <row r="122" spans="2:8" x14ac:dyDescent="0.25">
      <c r="B122" s="26">
        <v>78</v>
      </c>
      <c r="C122" s="166" t="str">
        <f>'Рабочий стол'!AS8</f>
        <v/>
      </c>
      <c r="D122" s="166" t="e">
        <f>VLOOKUP(C122,Таблица37[],2,0)</f>
        <v>#N/A</v>
      </c>
      <c r="E122" s="250" t="e">
        <f>VLOOKUP(C122,Таблица37[],8,0)</f>
        <v>#N/A</v>
      </c>
      <c r="F122" s="26">
        <f>'Рабочий стол'!AR8</f>
        <v>0</v>
      </c>
      <c r="G122" s="250">
        <f t="shared" si="2"/>
        <v>0</v>
      </c>
      <c r="H122" s="250">
        <f>_xlfn.IFNA(VLOOKUP(C122,Таблица37[],7,0),0)*Таблица40[[#This Row],[Количество]]</f>
        <v>0</v>
      </c>
    </row>
    <row r="123" spans="2:8" x14ac:dyDescent="0.25">
      <c r="B123" s="26">
        <v>79</v>
      </c>
      <c r="C123" s="166" t="str">
        <f>'Рабочий стол'!AU5</f>
        <v/>
      </c>
      <c r="D123" s="166" t="e">
        <f>VLOOKUP(C123,Таблица37[],2,0)</f>
        <v>#N/A</v>
      </c>
      <c r="E123" s="250" t="e">
        <f>VLOOKUP(C123,Таблица37[],8,0)</f>
        <v>#N/A</v>
      </c>
      <c r="F123" s="26">
        <f>'Рабочий стол'!AT5</f>
        <v>0</v>
      </c>
      <c r="G123" s="250">
        <f t="shared" si="2"/>
        <v>0</v>
      </c>
      <c r="H123" s="250">
        <f>_xlfn.IFNA(VLOOKUP(C123,Таблица37[],7,0),0)*Таблица40[[#This Row],[Количество]]</f>
        <v>0</v>
      </c>
    </row>
    <row r="124" spans="2:8" x14ac:dyDescent="0.25">
      <c r="B124" s="26">
        <v>80</v>
      </c>
      <c r="C124" s="166" t="str">
        <f>'Рабочий стол'!AU6</f>
        <v/>
      </c>
      <c r="D124" s="166" t="e">
        <f>VLOOKUP(C124,Таблица37[],2,0)</f>
        <v>#N/A</v>
      </c>
      <c r="E124" s="250" t="e">
        <f>VLOOKUP(C124,Таблица37[],8,0)</f>
        <v>#N/A</v>
      </c>
      <c r="F124" s="26">
        <f>'Рабочий стол'!AT6</f>
        <v>0</v>
      </c>
      <c r="G124" s="250">
        <f t="shared" si="2"/>
        <v>0</v>
      </c>
      <c r="H124" s="250">
        <f>_xlfn.IFNA(VLOOKUP(C124,Таблица37[],7,0),0)*Таблица40[[#This Row],[Количество]]</f>
        <v>0</v>
      </c>
    </row>
    <row r="125" spans="2:8" x14ac:dyDescent="0.25">
      <c r="B125" s="26">
        <v>81</v>
      </c>
      <c r="C125" s="166" t="str">
        <f>'Рабочий стол'!AU7</f>
        <v/>
      </c>
      <c r="D125" s="166" t="e">
        <f>VLOOKUP(C125,Таблица37[],2,0)</f>
        <v>#N/A</v>
      </c>
      <c r="E125" s="250" t="e">
        <f>VLOOKUP(C125,Таблица37[],8,0)</f>
        <v>#N/A</v>
      </c>
      <c r="F125" s="26">
        <f>'Рабочий стол'!AT7</f>
        <v>0</v>
      </c>
      <c r="G125" s="250">
        <f t="shared" si="2"/>
        <v>0</v>
      </c>
      <c r="H125" s="250">
        <f>_xlfn.IFNA(VLOOKUP(C125,Таблица37[],7,0),0)*Таблица40[[#This Row],[Количество]]</f>
        <v>0</v>
      </c>
    </row>
    <row r="126" spans="2:8" x14ac:dyDescent="0.25">
      <c r="B126" s="26">
        <v>82</v>
      </c>
      <c r="C126" s="166" t="str">
        <f>'Рабочий стол'!AU8</f>
        <v/>
      </c>
      <c r="D126" s="166" t="e">
        <f>VLOOKUP(C126,Таблица37[],2,0)</f>
        <v>#N/A</v>
      </c>
      <c r="E126" s="250" t="e">
        <f>VLOOKUP(C126,Таблица37[],8,0)</f>
        <v>#N/A</v>
      </c>
      <c r="F126" s="26">
        <f>'Рабочий стол'!AT8</f>
        <v>0</v>
      </c>
      <c r="G126" s="250">
        <f t="shared" si="2"/>
        <v>0</v>
      </c>
      <c r="H126" s="250">
        <f>_xlfn.IFNA(VLOOKUP(C126,Таблица37[],7,0),0)*Таблица40[[#This Row],[Количество]]</f>
        <v>0</v>
      </c>
    </row>
    <row r="127" spans="2:8" x14ac:dyDescent="0.25">
      <c r="B127" s="26">
        <v>83</v>
      </c>
      <c r="C127" s="166">
        <f>'Рабочий стол'!X8</f>
        <v>0</v>
      </c>
      <c r="D127" s="166" t="e">
        <f>VLOOKUP(C127,Таблица37[],2,0)</f>
        <v>#N/A</v>
      </c>
      <c r="E127" s="250" t="e">
        <f>VLOOKUP(C127,Таблица37[],8,0)</f>
        <v>#N/A</v>
      </c>
      <c r="F127" s="26">
        <f>'Рабочий стол'!AB8</f>
        <v>0</v>
      </c>
      <c r="G127" s="250">
        <f t="shared" si="2"/>
        <v>0</v>
      </c>
      <c r="H127" s="250">
        <f>_xlfn.IFNA(VLOOKUP(C127,Таблица37[],7,0),0)*Таблица40[[#This Row],[Количество]]</f>
        <v>0</v>
      </c>
    </row>
    <row r="128" spans="2:8" x14ac:dyDescent="0.25">
      <c r="B128" s="26">
        <v>84</v>
      </c>
      <c r="C128" s="166">
        <f>'Рабочий стол'!X11</f>
        <v>0</v>
      </c>
      <c r="D128" s="166" t="e">
        <f>VLOOKUP(C128,Таблица37[],2,0)</f>
        <v>#N/A</v>
      </c>
      <c r="E128" s="250" t="e">
        <f>VLOOKUP(C128,Таблица37[],8,0)</f>
        <v>#N/A</v>
      </c>
      <c r="F128" s="26">
        <f>'Рабочий стол'!AB11</f>
        <v>0</v>
      </c>
      <c r="G128" s="250">
        <f t="shared" si="2"/>
        <v>0</v>
      </c>
      <c r="H128" s="250">
        <f>_xlfn.IFNA(VLOOKUP(C128,Таблица37[],7,0),0)*Таблица40[[#This Row],[Количество]]</f>
        <v>0</v>
      </c>
    </row>
    <row r="129" spans="2:8" x14ac:dyDescent="0.25">
      <c r="B129" s="26">
        <v>85</v>
      </c>
      <c r="C129" s="166">
        <f>'Рабочий стол'!X14</f>
        <v>0</v>
      </c>
      <c r="D129" s="166" t="e">
        <f>VLOOKUP(C129,Таблица37[],2,0)</f>
        <v>#N/A</v>
      </c>
      <c r="E129" s="250" t="e">
        <f>VLOOKUP(C129,Таблица37[],8,0)</f>
        <v>#N/A</v>
      </c>
      <c r="F129" s="26">
        <f>'Рабочий стол'!AB14</f>
        <v>0</v>
      </c>
      <c r="G129" s="250">
        <f t="shared" si="2"/>
        <v>0</v>
      </c>
      <c r="H129" s="250">
        <f>_xlfn.IFNA(VLOOKUP(C129,Таблица37[],7,0),0)*Таблица40[[#This Row],[Количество]]</f>
        <v>0</v>
      </c>
    </row>
    <row r="130" spans="2:8" x14ac:dyDescent="0.25">
      <c r="B130" s="26">
        <v>86</v>
      </c>
      <c r="C130" s="166">
        <f>'Рабочий стол'!X17</f>
        <v>0</v>
      </c>
      <c r="D130" s="166" t="e">
        <f>VLOOKUP(C130,Таблица37[],2,0)</f>
        <v>#N/A</v>
      </c>
      <c r="E130" s="250" t="e">
        <f>VLOOKUP(C130,Таблица37[],8,0)</f>
        <v>#N/A</v>
      </c>
      <c r="F130" s="26">
        <f>'Рабочий стол'!AB17</f>
        <v>0</v>
      </c>
      <c r="G130" s="250">
        <f t="shared" si="2"/>
        <v>0</v>
      </c>
      <c r="H130" s="250">
        <f>_xlfn.IFNA(VLOOKUP(C130,Таблица37[],7,0),0)*Таблица40[[#This Row],[Количество]]</f>
        <v>0</v>
      </c>
    </row>
    <row r="131" spans="2:8" x14ac:dyDescent="0.25">
      <c r="B131" s="26">
        <v>87</v>
      </c>
      <c r="C131" s="166">
        <f>'Рабочий стол'!O26</f>
        <v>0</v>
      </c>
      <c r="D131" s="166" t="e">
        <f>VLOOKUP(C131,Таблица37[],2,0)</f>
        <v>#N/A</v>
      </c>
      <c r="E131" s="250" t="e">
        <f>VLOOKUP(C131,Таблица37[],8,0)</f>
        <v>#N/A</v>
      </c>
      <c r="F131" s="26">
        <f>'Рабочий стол'!S26</f>
        <v>0</v>
      </c>
      <c r="G131" s="250">
        <f t="shared" si="2"/>
        <v>0</v>
      </c>
      <c r="H131" s="250">
        <f>_xlfn.IFNA(VLOOKUP(C131,Таблица37[],7,0),0)*Таблица40[[#This Row],[Количество]]</f>
        <v>0</v>
      </c>
    </row>
    <row r="132" spans="2:8" x14ac:dyDescent="0.25">
      <c r="B132" s="26">
        <v>88</v>
      </c>
      <c r="C132" s="166">
        <f>'Рабочий стол'!O29</f>
        <v>0</v>
      </c>
      <c r="D132" s="166" t="e">
        <f>VLOOKUP(C132,Таблица37[],2,0)</f>
        <v>#N/A</v>
      </c>
      <c r="E132" s="250" t="e">
        <f>VLOOKUP(C132,Таблица37[],8,0)</f>
        <v>#N/A</v>
      </c>
      <c r="F132" s="26">
        <f>'Рабочий стол'!S29</f>
        <v>0</v>
      </c>
      <c r="G132" s="250">
        <f t="shared" si="2"/>
        <v>0</v>
      </c>
      <c r="H132" s="250">
        <f>_xlfn.IFNA(VLOOKUP(C132,Таблица37[],7,0),0)*Таблица40[[#This Row],[Количество]]</f>
        <v>0</v>
      </c>
    </row>
    <row r="133" spans="2:8" x14ac:dyDescent="0.25">
      <c r="B133" s="26">
        <v>89</v>
      </c>
      <c r="C133" s="166">
        <f>'Рабочий стол'!O32</f>
        <v>0</v>
      </c>
      <c r="D133" s="166" t="e">
        <f>VLOOKUP(C133,Таблица37[],2,0)</f>
        <v>#N/A</v>
      </c>
      <c r="E133" s="250" t="e">
        <f>VLOOKUP(C133,Таблица37[],8,0)</f>
        <v>#N/A</v>
      </c>
      <c r="F133" s="26">
        <f>'Рабочий стол'!S32</f>
        <v>0</v>
      </c>
      <c r="G133" s="250">
        <f t="shared" si="2"/>
        <v>0</v>
      </c>
      <c r="H133" s="250">
        <f>_xlfn.IFNA(VLOOKUP(C133,Таблица37[],7,0),0)*Таблица40[[#This Row],[Количество]]</f>
        <v>0</v>
      </c>
    </row>
    <row r="134" spans="2:8" x14ac:dyDescent="0.25">
      <c r="B134" s="26">
        <v>90</v>
      </c>
      <c r="C134" s="166">
        <f>'Рабочий стол'!X23</f>
        <v>0</v>
      </c>
      <c r="D134" s="166" t="e">
        <f>VLOOKUP(C134,Таблица37[],2,0)</f>
        <v>#N/A</v>
      </c>
      <c r="E134" s="250" t="e">
        <f>VLOOKUP(C134,Таблица37[],8,0)</f>
        <v>#N/A</v>
      </c>
      <c r="F134" s="26">
        <f>'Рабочий стол'!AB23</f>
        <v>0</v>
      </c>
      <c r="G134" s="250">
        <f t="shared" si="2"/>
        <v>0</v>
      </c>
      <c r="H134" s="250">
        <f>_xlfn.IFNA(VLOOKUP(C134,Таблица37[],7,0),0)*Таблица40[[#This Row],[Количество]]</f>
        <v>0</v>
      </c>
    </row>
    <row r="135" spans="2:8" x14ac:dyDescent="0.25">
      <c r="B135" s="26">
        <v>91</v>
      </c>
      <c r="C135" s="166">
        <f>'Рабочий стол'!X26</f>
        <v>0</v>
      </c>
      <c r="D135" s="166" t="e">
        <f>VLOOKUP(C135,Таблица37[],2,0)</f>
        <v>#N/A</v>
      </c>
      <c r="E135" s="250" t="e">
        <f>VLOOKUP(C135,Таблица37[],8,0)</f>
        <v>#N/A</v>
      </c>
      <c r="F135" s="26">
        <f>'Рабочий стол'!AB26</f>
        <v>0</v>
      </c>
      <c r="G135" s="250">
        <f t="shared" si="2"/>
        <v>0</v>
      </c>
      <c r="H135" s="250">
        <f>_xlfn.IFNA(VLOOKUP(C135,Таблица37[],7,0),0)*Таблица40[[#This Row],[Количество]]</f>
        <v>0</v>
      </c>
    </row>
    <row r="136" spans="2:8" x14ac:dyDescent="0.25">
      <c r="B136" s="26">
        <v>92</v>
      </c>
      <c r="C136" s="166">
        <f>'Рабочий стол'!X29</f>
        <v>0</v>
      </c>
      <c r="D136" s="166" t="e">
        <f>VLOOKUP(C136,Таблица37[],2,0)</f>
        <v>#N/A</v>
      </c>
      <c r="E136" s="250" t="e">
        <f>VLOOKUP(C136,Таблица37[],8,0)</f>
        <v>#N/A</v>
      </c>
      <c r="F136" s="26">
        <f>'Рабочий стол'!AB29</f>
        <v>0</v>
      </c>
      <c r="G136" s="250">
        <f t="shared" si="2"/>
        <v>0</v>
      </c>
      <c r="H136" s="250">
        <f>_xlfn.IFNA(VLOOKUP(C136,Таблица37[],7,0),0)*Таблица40[[#This Row],[Количество]]</f>
        <v>0</v>
      </c>
    </row>
    <row r="137" spans="2:8" x14ac:dyDescent="0.25">
      <c r="B137" s="26">
        <v>93</v>
      </c>
      <c r="C137" s="166">
        <f>'Рабочий стол'!X32</f>
        <v>0</v>
      </c>
      <c r="D137" s="166" t="e">
        <f>VLOOKUP(C137,Таблица37[],2,0)</f>
        <v>#N/A</v>
      </c>
      <c r="E137" s="250" t="e">
        <f>VLOOKUP(C137,Таблица37[],8,0)</f>
        <v>#N/A</v>
      </c>
      <c r="F137" s="26">
        <f>'Рабочий стол'!AB32</f>
        <v>0</v>
      </c>
      <c r="G137" s="250">
        <f t="shared" si="2"/>
        <v>0</v>
      </c>
      <c r="H137" s="250">
        <f>_xlfn.IFNA(VLOOKUP(C137,Таблица37[],7,0),0)*Таблица40[[#This Row],[Количество]]</f>
        <v>0</v>
      </c>
    </row>
    <row r="138" spans="2:8" x14ac:dyDescent="0.25">
      <c r="B138" s="26">
        <v>94</v>
      </c>
      <c r="C138" s="166" t="e">
        <f>'Рабочий стол'!AR14</f>
        <v>#N/A</v>
      </c>
      <c r="D138" s="166" t="e">
        <f>VLOOKUP(C138,Таблица37[],2,0)</f>
        <v>#N/A</v>
      </c>
      <c r="E138" s="250" t="e">
        <f>VLOOKUP(C138,Таблица37[],8,0)</f>
        <v>#N/A</v>
      </c>
      <c r="F138" s="26">
        <f>'Рабочий стол'!AP14</f>
        <v>0</v>
      </c>
      <c r="G138" s="250">
        <f t="shared" si="2"/>
        <v>0</v>
      </c>
      <c r="H138" s="250">
        <f>_xlfn.IFNA(VLOOKUP(C138,Таблица37[],7,0),0)*Таблица40[[#This Row],[Количество]]</f>
        <v>0</v>
      </c>
    </row>
    <row r="139" spans="2:8" x14ac:dyDescent="0.25">
      <c r="B139" s="26">
        <v>95</v>
      </c>
      <c r="C139" s="166" t="e">
        <f>'Рабочий стол'!AR15</f>
        <v>#N/A</v>
      </c>
      <c r="D139" s="166" t="e">
        <f>VLOOKUP(C139,Таблица37[],2,0)</f>
        <v>#N/A</v>
      </c>
      <c r="E139" s="250" t="e">
        <f>VLOOKUP(C139,Таблица37[],8,0)</f>
        <v>#N/A</v>
      </c>
      <c r="F139" s="26">
        <f>'Рабочий стол'!AP15</f>
        <v>0</v>
      </c>
      <c r="G139" s="250">
        <f t="shared" si="2"/>
        <v>0</v>
      </c>
      <c r="H139" s="250">
        <f>_xlfn.IFNA(VLOOKUP(C139,Таблица37[],7,0),0)*Таблица40[[#This Row],[Количество]]</f>
        <v>0</v>
      </c>
    </row>
    <row r="140" spans="2:8" x14ac:dyDescent="0.25">
      <c r="B140" s="26">
        <v>96</v>
      </c>
      <c r="C140" s="166"/>
      <c r="D140" s="297"/>
      <c r="E140" s="250"/>
      <c r="F140" s="251"/>
      <c r="G140" s="250"/>
      <c r="H140" s="250">
        <f>_xlfn.IFNA(VLOOKUP(C140,Таблица37[],7,0),0)*Таблица40[[#This Row],[Количество]]</f>
        <v>0</v>
      </c>
    </row>
    <row r="141" spans="2:8" x14ac:dyDescent="0.25">
      <c r="B141" s="26">
        <v>97</v>
      </c>
      <c r="C141" s="166">
        <f>'Рабочий стол'!D119</f>
        <v>0</v>
      </c>
      <c r="D141" s="166" t="e">
        <f>VLOOKUP(C141,Таблица37[],2,0)</f>
        <v>#N/A</v>
      </c>
      <c r="E141" s="250" t="e">
        <f>VLOOKUP(C141,Таблица37[],8,0)</f>
        <v>#N/A</v>
      </c>
      <c r="F141" s="26">
        <v>2</v>
      </c>
      <c r="G141" s="250">
        <f>_xlfn.IFNA(E141*F141,0)</f>
        <v>0</v>
      </c>
      <c r="H141" s="250">
        <f>_xlfn.IFNA(VLOOKUP(C141,Таблица37[],7,0),0)*Таблица40[[#This Row],[Количество]]</f>
        <v>0</v>
      </c>
    </row>
    <row r="142" spans="2:8" x14ac:dyDescent="0.25">
      <c r="B142" s="26">
        <v>98</v>
      </c>
      <c r="C142" s="166">
        <f>'Рабочий стол'!O103</f>
        <v>0</v>
      </c>
      <c r="D142" s="166" t="e">
        <f>VLOOKUP(C142,Таблица37[],2,0)</f>
        <v>#N/A</v>
      </c>
      <c r="E142" s="250" t="e">
        <f>VLOOKUP(C142,Таблица37[],8,0)</f>
        <v>#N/A</v>
      </c>
      <c r="F142" s="26">
        <f>'Рабочий стол'!S103</f>
        <v>0</v>
      </c>
      <c r="G142" s="250">
        <f t="shared" ref="G142:G153" si="3">_xlfn.IFNA(E142*F142,0)</f>
        <v>0</v>
      </c>
      <c r="H142" s="250">
        <f>_xlfn.IFNA(VLOOKUP(C142,Таблица37[],7,0),0)*Таблица40[[#This Row],[Количество]]</f>
        <v>0</v>
      </c>
    </row>
    <row r="143" spans="2:8" x14ac:dyDescent="0.25">
      <c r="B143" s="26">
        <v>99</v>
      </c>
      <c r="C143" s="166">
        <f>'Рабочий стол'!O106</f>
        <v>0</v>
      </c>
      <c r="D143" s="166" t="e">
        <f>VLOOKUP(C143,Таблица37[],2,0)</f>
        <v>#N/A</v>
      </c>
      <c r="E143" s="250" t="e">
        <f>VLOOKUP(C143,Таблица37[],8,0)</f>
        <v>#N/A</v>
      </c>
      <c r="F143" s="26">
        <f>'Рабочий стол'!S106</f>
        <v>0</v>
      </c>
      <c r="G143" s="250">
        <f t="shared" si="3"/>
        <v>0</v>
      </c>
      <c r="H143" s="250">
        <f>_xlfn.IFNA(VLOOKUP(C143,Таблица37[],7,0),0)*Таблица40[[#This Row],[Количество]]</f>
        <v>0</v>
      </c>
    </row>
    <row r="144" spans="2:8" x14ac:dyDescent="0.25">
      <c r="B144" s="26">
        <v>100</v>
      </c>
      <c r="C144" s="166">
        <f>'Рабочий стол'!O109</f>
        <v>0</v>
      </c>
      <c r="D144" s="166" t="e">
        <f>VLOOKUP(C144,Таблица37[],2,0)</f>
        <v>#N/A</v>
      </c>
      <c r="E144" s="250" t="e">
        <f>VLOOKUP(C144,Таблица37[],8,0)</f>
        <v>#N/A</v>
      </c>
      <c r="F144" s="26">
        <f>'Рабочий стол'!S109</f>
        <v>0</v>
      </c>
      <c r="G144" s="250">
        <f t="shared" si="3"/>
        <v>0</v>
      </c>
      <c r="H144" s="250">
        <f>_xlfn.IFNA(VLOOKUP(C144,Таблица37[],7,0),0)*Таблица40[[#This Row],[Количество]]</f>
        <v>0</v>
      </c>
    </row>
    <row r="145" spans="2:8" x14ac:dyDescent="0.25">
      <c r="B145" s="26">
        <v>101</v>
      </c>
      <c r="C145" s="166">
        <f>'Рабочий стол'!O112</f>
        <v>0</v>
      </c>
      <c r="D145" s="166" t="e">
        <f>VLOOKUP(C145,Таблица37[],2,0)</f>
        <v>#N/A</v>
      </c>
      <c r="E145" s="250" t="e">
        <f>VLOOKUP(C145,Таблица37[],8,0)</f>
        <v>#N/A</v>
      </c>
      <c r="F145" s="26">
        <f>'Рабочий стол'!S112</f>
        <v>0</v>
      </c>
      <c r="G145" s="250">
        <f t="shared" si="3"/>
        <v>0</v>
      </c>
      <c r="H145" s="250">
        <f>_xlfn.IFNA(VLOOKUP(C145,Таблица37[],7,0),0)*Таблица40[[#This Row],[Количество]]</f>
        <v>0</v>
      </c>
    </row>
    <row r="146" spans="2:8" x14ac:dyDescent="0.25">
      <c r="B146" s="26">
        <v>102</v>
      </c>
      <c r="C146" s="166">
        <f>'Рабочий стол'!O115</f>
        <v>0</v>
      </c>
      <c r="D146" s="166" t="e">
        <f>VLOOKUP(C146,Таблица37[],2,0)</f>
        <v>#N/A</v>
      </c>
      <c r="E146" s="250" t="e">
        <f>VLOOKUP(C146,Таблица37[],8,0)</f>
        <v>#N/A</v>
      </c>
      <c r="F146" s="26">
        <f>'Рабочий стол'!S115</f>
        <v>0</v>
      </c>
      <c r="G146" s="250">
        <f t="shared" si="3"/>
        <v>0</v>
      </c>
      <c r="H146" s="250">
        <f>_xlfn.IFNA(VLOOKUP(C146,Таблица37[],7,0),0)*Таблица40[[#This Row],[Количество]]</f>
        <v>0</v>
      </c>
    </row>
    <row r="147" spans="2:8" x14ac:dyDescent="0.25">
      <c r="B147" s="26">
        <v>103</v>
      </c>
      <c r="C147" s="166">
        <f>'Рабочий стол'!X103</f>
        <v>0</v>
      </c>
      <c r="D147" s="166" t="e">
        <f>VLOOKUP(C147,Таблица37[],2,0)</f>
        <v>#N/A</v>
      </c>
      <c r="E147" s="250" t="e">
        <f>VLOOKUP(C147,Таблица37[],8,0)</f>
        <v>#N/A</v>
      </c>
      <c r="F147" s="26">
        <f>'Рабочий стол'!AB103</f>
        <v>0</v>
      </c>
      <c r="G147" s="250">
        <f t="shared" si="3"/>
        <v>0</v>
      </c>
      <c r="H147" s="250">
        <f>_xlfn.IFNA(VLOOKUP(C147,Таблица37[],7,0),0)*Таблица40[[#This Row],[Количество]]</f>
        <v>0</v>
      </c>
    </row>
    <row r="148" spans="2:8" x14ac:dyDescent="0.25">
      <c r="B148" s="26">
        <v>104</v>
      </c>
      <c r="C148" s="166">
        <f>'Рабочий стол'!O121</f>
        <v>0</v>
      </c>
      <c r="D148" s="166" t="e">
        <f>VLOOKUP(C148,Таблица37[],2,0)</f>
        <v>#N/A</v>
      </c>
      <c r="E148" s="250" t="e">
        <f>VLOOKUP(C148,Таблица37[],8,0)</f>
        <v>#N/A</v>
      </c>
      <c r="F148" s="26">
        <f>'Рабочий стол'!S121</f>
        <v>0</v>
      </c>
      <c r="G148" s="250">
        <f t="shared" si="3"/>
        <v>0</v>
      </c>
      <c r="H148" s="250">
        <f>_xlfn.IFNA(VLOOKUP(C148,Таблица37[],7,0),0)*Таблица40[[#This Row],[Количество]]</f>
        <v>0</v>
      </c>
    </row>
    <row r="149" spans="2:8" x14ac:dyDescent="0.25">
      <c r="B149" s="26">
        <v>105</v>
      </c>
      <c r="C149" s="166">
        <f>'Рабочий стол'!O133</f>
        <v>0</v>
      </c>
      <c r="D149" s="166" t="e">
        <f>VLOOKUP(C149,Таблица37[],2,0)</f>
        <v>#N/A</v>
      </c>
      <c r="E149" s="250" t="e">
        <f>VLOOKUP(C149,Таблица37[],8,0)</f>
        <v>#N/A</v>
      </c>
      <c r="F149" s="26">
        <f>'Рабочий стол'!S133</f>
        <v>0</v>
      </c>
      <c r="G149" s="250">
        <f t="shared" si="3"/>
        <v>0</v>
      </c>
      <c r="H149" s="250">
        <f>_xlfn.IFNA(VLOOKUP(C149,Таблица37[],7,0),0)*Таблица40[[#This Row],[Количество]]</f>
        <v>0</v>
      </c>
    </row>
    <row r="150" spans="2:8" x14ac:dyDescent="0.25">
      <c r="B150" s="26">
        <v>106</v>
      </c>
      <c r="C150" s="166">
        <f>'Рабочий стол'!X133</f>
        <v>0</v>
      </c>
      <c r="D150" s="166" t="e">
        <f>VLOOKUP(C150,Таблица37[],2,0)</f>
        <v>#N/A</v>
      </c>
      <c r="E150" s="250" t="e">
        <f>VLOOKUP(C150,Таблица37[],8,0)</f>
        <v>#N/A</v>
      </c>
      <c r="F150" s="26">
        <f>'Рабочий стол'!AB133</f>
        <v>0</v>
      </c>
      <c r="G150" s="250">
        <f t="shared" si="3"/>
        <v>0</v>
      </c>
      <c r="H150" s="250">
        <f>_xlfn.IFNA(VLOOKUP(C150,Таблица37[],7,0),0)*Таблица40[[#This Row],[Количество]]</f>
        <v>0</v>
      </c>
    </row>
    <row r="151" spans="2:8" x14ac:dyDescent="0.25">
      <c r="B151" s="26">
        <v>107</v>
      </c>
      <c r="C151" s="166">
        <f>'Рабочий стол'!AY103</f>
        <v>0</v>
      </c>
      <c r="D151" s="297">
        <f>'Рабочий стол'!AZ103</f>
        <v>0</v>
      </c>
      <c r="E151" s="250">
        <f>'Рабочий стол'!BB103</f>
        <v>0</v>
      </c>
      <c r="F151" s="251">
        <f>'Рабочий стол'!BA103</f>
        <v>0</v>
      </c>
      <c r="G151" s="250">
        <f t="shared" si="3"/>
        <v>0</v>
      </c>
      <c r="H151" s="250">
        <f>_xlfn.IFNA(VLOOKUP(C151,Таблица37[],7,0),0)*Таблица40[[#This Row],[Количество]]</f>
        <v>0</v>
      </c>
    </row>
    <row r="152" spans="2:8" x14ac:dyDescent="0.25">
      <c r="B152" s="26">
        <v>108</v>
      </c>
      <c r="C152" s="166">
        <f>'Рабочий стол'!AY125</f>
        <v>0</v>
      </c>
      <c r="D152" s="297">
        <f>'Рабочий стол'!AZ125</f>
        <v>0</v>
      </c>
      <c r="E152" s="250">
        <f>'Рабочий стол'!BB125</f>
        <v>0</v>
      </c>
      <c r="F152" s="251">
        <f>'Рабочий стол'!BA125</f>
        <v>0</v>
      </c>
      <c r="G152" s="250">
        <f t="shared" si="3"/>
        <v>0</v>
      </c>
      <c r="H152" s="250">
        <f>_xlfn.IFNA(VLOOKUP(C152,Таблица37[],7,0),0)*Таблица40[[#This Row],[Количество]]</f>
        <v>0</v>
      </c>
    </row>
    <row r="153" spans="2:8" x14ac:dyDescent="0.25">
      <c r="B153" s="26">
        <v>109</v>
      </c>
      <c r="C153" s="166">
        <f>'Рабочий стол'!AY126</f>
        <v>0</v>
      </c>
      <c r="D153" s="297">
        <f>'Рабочий стол'!AZ126</f>
        <v>0</v>
      </c>
      <c r="E153" s="250">
        <f>'Рабочий стол'!BB126</f>
        <v>0</v>
      </c>
      <c r="F153" s="251">
        <f>'Рабочий стол'!BA126</f>
        <v>0</v>
      </c>
      <c r="G153" s="250">
        <f t="shared" si="3"/>
        <v>0</v>
      </c>
      <c r="H153" s="250">
        <f>_xlfn.IFNA(VLOOKUP(C153,Таблица37[],7,0),0)*Таблица40[[#This Row],[Количество]]</f>
        <v>0</v>
      </c>
    </row>
    <row r="154" spans="2:8" x14ac:dyDescent="0.25">
      <c r="B154" s="26">
        <v>110</v>
      </c>
      <c r="C154" s="166">
        <f>'Рабочий стол'!D132</f>
        <v>0</v>
      </c>
      <c r="D154" s="166" t="e">
        <f>VLOOKUP(C154,Таблица37[],2,0)</f>
        <v>#N/A</v>
      </c>
      <c r="E154" s="250" t="e">
        <f>VLOOKUP(C154,Таблица37[],8,0)</f>
        <v>#N/A</v>
      </c>
      <c r="F154" s="26">
        <v>2</v>
      </c>
      <c r="G154" s="250">
        <f>_xlfn.IFNA(E154*F154,0)</f>
        <v>0</v>
      </c>
      <c r="H154" s="250">
        <f>_xlfn.IFNA(VLOOKUP(C154,Таблица37[],7,0),0)*Таблица40[[#This Row],[Количество]]</f>
        <v>0</v>
      </c>
    </row>
    <row r="155" spans="2:8" x14ac:dyDescent="0.25">
      <c r="B155" s="26">
        <v>111</v>
      </c>
      <c r="C155" s="166">
        <f>'Рабочий стол'!O116</f>
        <v>0</v>
      </c>
      <c r="D155" s="166" t="e">
        <f>VLOOKUP(C155,Таблица37[],2,0)</f>
        <v>#N/A</v>
      </c>
      <c r="E155" s="250" t="e">
        <f>VLOOKUP(C155,Таблица37[],8,0)</f>
        <v>#N/A</v>
      </c>
      <c r="F155" s="26">
        <f>'Рабочий стол'!S116</f>
        <v>0</v>
      </c>
      <c r="G155" s="250">
        <f t="shared" ref="G155:G166" si="4">_xlfn.IFNA(E155*F155,0)</f>
        <v>0</v>
      </c>
      <c r="H155" s="250">
        <f>_xlfn.IFNA(VLOOKUP(C155,Таблица37[],7,0),0)*Таблица40[[#This Row],[Количество]]</f>
        <v>0</v>
      </c>
    </row>
    <row r="156" spans="2:8" x14ac:dyDescent="0.25">
      <c r="B156" s="26">
        <v>112</v>
      </c>
      <c r="C156" s="166">
        <f>'Рабочий стол'!O119</f>
        <v>0</v>
      </c>
      <c r="D156" s="166" t="e">
        <f>VLOOKUP(C156,Таблица37[],2,0)</f>
        <v>#N/A</v>
      </c>
      <c r="E156" s="250" t="e">
        <f>VLOOKUP(C156,Таблица37[],8,0)</f>
        <v>#N/A</v>
      </c>
      <c r="F156" s="26">
        <f>'Рабочий стол'!S119</f>
        <v>0</v>
      </c>
      <c r="G156" s="250">
        <f t="shared" si="4"/>
        <v>0</v>
      </c>
      <c r="H156" s="250">
        <f>_xlfn.IFNA(VLOOKUP(C156,Таблица37[],7,0),0)*Таблица40[[#This Row],[Количество]]</f>
        <v>0</v>
      </c>
    </row>
    <row r="157" spans="2:8" x14ac:dyDescent="0.25">
      <c r="B157" s="26">
        <v>113</v>
      </c>
      <c r="C157" s="166">
        <f>'Рабочий стол'!O122</f>
        <v>0</v>
      </c>
      <c r="D157" s="166" t="e">
        <f>VLOOKUP(C157,Таблица37[],2,0)</f>
        <v>#N/A</v>
      </c>
      <c r="E157" s="250" t="e">
        <f>VLOOKUP(C157,Таблица37[],8,0)</f>
        <v>#N/A</v>
      </c>
      <c r="F157" s="26">
        <f>'Рабочий стол'!S122</f>
        <v>0</v>
      </c>
      <c r="G157" s="250">
        <f t="shared" si="4"/>
        <v>0</v>
      </c>
      <c r="H157" s="250">
        <f>_xlfn.IFNA(VLOOKUP(C157,Таблица37[],7,0),0)*Таблица40[[#This Row],[Количество]]</f>
        <v>0</v>
      </c>
    </row>
    <row r="158" spans="2:8" x14ac:dyDescent="0.25">
      <c r="B158" s="26">
        <v>114</v>
      </c>
      <c r="C158" s="166">
        <f>'Рабочий стол'!O125</f>
        <v>0</v>
      </c>
      <c r="D158" s="166" t="e">
        <f>VLOOKUP(C158,Таблица37[],2,0)</f>
        <v>#N/A</v>
      </c>
      <c r="E158" s="250" t="e">
        <f>VLOOKUP(C158,Таблица37[],8,0)</f>
        <v>#N/A</v>
      </c>
      <c r="F158" s="26">
        <f>'Рабочий стол'!S125</f>
        <v>0</v>
      </c>
      <c r="G158" s="250">
        <f t="shared" si="4"/>
        <v>0</v>
      </c>
      <c r="H158" s="250">
        <f>_xlfn.IFNA(VLOOKUP(C158,Таблица37[],7,0),0)*Таблица40[[#This Row],[Количество]]</f>
        <v>0</v>
      </c>
    </row>
    <row r="159" spans="2:8" x14ac:dyDescent="0.25">
      <c r="B159" s="26">
        <v>115</v>
      </c>
      <c r="C159" s="166">
        <f>'Рабочий стол'!O128</f>
        <v>0</v>
      </c>
      <c r="D159" s="166" t="e">
        <f>VLOOKUP(C159,Таблица37[],2,0)</f>
        <v>#N/A</v>
      </c>
      <c r="E159" s="250" t="e">
        <f>VLOOKUP(C159,Таблица37[],8,0)</f>
        <v>#N/A</v>
      </c>
      <c r="F159" s="26">
        <f>'Рабочий стол'!S128</f>
        <v>0</v>
      </c>
      <c r="G159" s="250">
        <f t="shared" si="4"/>
        <v>0</v>
      </c>
      <c r="H159" s="250">
        <f>_xlfn.IFNA(VLOOKUP(C159,Таблица37[],7,0),0)*Таблица40[[#This Row],[Количество]]</f>
        <v>0</v>
      </c>
    </row>
    <row r="160" spans="2:8" x14ac:dyDescent="0.25">
      <c r="B160" s="26">
        <v>116</v>
      </c>
      <c r="C160" s="166">
        <f>'Рабочий стол'!X116</f>
        <v>0</v>
      </c>
      <c r="D160" s="166" t="e">
        <f>VLOOKUP(C160,Таблица37[],2,0)</f>
        <v>#N/A</v>
      </c>
      <c r="E160" s="250" t="e">
        <f>VLOOKUP(C160,Таблица37[],8,0)</f>
        <v>#N/A</v>
      </c>
      <c r="F160" s="26">
        <f>'Рабочий стол'!AB116</f>
        <v>0</v>
      </c>
      <c r="G160" s="250">
        <f t="shared" si="4"/>
        <v>0</v>
      </c>
      <c r="H160" s="250">
        <f>_xlfn.IFNA(VLOOKUP(C160,Таблица37[],7,0),0)*Таблица40[[#This Row],[Количество]]</f>
        <v>0</v>
      </c>
    </row>
    <row r="161" spans="2:8" x14ac:dyDescent="0.25">
      <c r="B161" s="26">
        <v>117</v>
      </c>
      <c r="C161" s="166">
        <f>'Рабочий стол'!O134</f>
        <v>0</v>
      </c>
      <c r="D161" s="166" t="e">
        <f>VLOOKUP(C161,Таблица37[],2,0)</f>
        <v>#N/A</v>
      </c>
      <c r="E161" s="250" t="e">
        <f>VLOOKUP(C161,Таблица37[],8,0)</f>
        <v>#N/A</v>
      </c>
      <c r="F161" s="26">
        <f>'Рабочий стол'!S134</f>
        <v>0</v>
      </c>
      <c r="G161" s="250">
        <f t="shared" si="4"/>
        <v>0</v>
      </c>
      <c r="H161" s="250">
        <f>_xlfn.IFNA(VLOOKUP(C161,Таблица37[],7,0),0)*Таблица40[[#This Row],[Количество]]</f>
        <v>0</v>
      </c>
    </row>
    <row r="162" spans="2:8" x14ac:dyDescent="0.25">
      <c r="B162" s="26">
        <v>118</v>
      </c>
      <c r="C162" s="166">
        <f>'Рабочий стол'!O146</f>
        <v>0</v>
      </c>
      <c r="D162" s="166" t="e">
        <f>VLOOKUP(C162,Таблица37[],2,0)</f>
        <v>#N/A</v>
      </c>
      <c r="E162" s="250" t="e">
        <f>VLOOKUP(C162,Таблица37[],8,0)</f>
        <v>#N/A</v>
      </c>
      <c r="F162" s="26">
        <f>'Рабочий стол'!S146</f>
        <v>0</v>
      </c>
      <c r="G162" s="250">
        <f t="shared" si="4"/>
        <v>0</v>
      </c>
      <c r="H162" s="250">
        <f>_xlfn.IFNA(VLOOKUP(C162,Таблица37[],7,0),0)*Таблица40[[#This Row],[Количество]]</f>
        <v>0</v>
      </c>
    </row>
    <row r="163" spans="2:8" x14ac:dyDescent="0.25">
      <c r="B163" s="26">
        <v>119</v>
      </c>
      <c r="C163" s="166">
        <f>'Рабочий стол'!X146</f>
        <v>0</v>
      </c>
      <c r="D163" s="166" t="e">
        <f>VLOOKUP(C163,Таблица37[],2,0)</f>
        <v>#N/A</v>
      </c>
      <c r="E163" s="250" t="e">
        <f>VLOOKUP(C163,Таблица37[],8,0)</f>
        <v>#N/A</v>
      </c>
      <c r="F163" s="26">
        <f>'Рабочий стол'!AB146</f>
        <v>0</v>
      </c>
      <c r="G163" s="250">
        <f t="shared" si="4"/>
        <v>0</v>
      </c>
      <c r="H163" s="250">
        <f>_xlfn.IFNA(VLOOKUP(C163,Таблица37[],7,0),0)*Таблица40[[#This Row],[Количество]]</f>
        <v>0</v>
      </c>
    </row>
    <row r="164" spans="2:8" x14ac:dyDescent="0.25">
      <c r="B164" s="26">
        <v>120</v>
      </c>
      <c r="C164" s="166">
        <f>'Рабочий стол'!AY116</f>
        <v>0</v>
      </c>
      <c r="D164" s="297">
        <f>'Рабочий стол'!AZ116</f>
        <v>0</v>
      </c>
      <c r="E164" s="250">
        <f>'Рабочий стол'!BB116</f>
        <v>0</v>
      </c>
      <c r="F164" s="251">
        <f>'Рабочий стол'!BA116</f>
        <v>0</v>
      </c>
      <c r="G164" s="250">
        <f t="shared" si="4"/>
        <v>0</v>
      </c>
      <c r="H164" s="250">
        <f>_xlfn.IFNA(VLOOKUP(C164,Таблица37[],7,0),0)*Таблица40[[#This Row],[Количество]]</f>
        <v>0</v>
      </c>
    </row>
    <row r="165" spans="2:8" x14ac:dyDescent="0.25">
      <c r="B165" s="26">
        <v>121</v>
      </c>
      <c r="C165" s="166">
        <f>'Рабочий стол'!AY138</f>
        <v>0</v>
      </c>
      <c r="D165" s="297">
        <f>'Рабочий стол'!AZ138</f>
        <v>0</v>
      </c>
      <c r="E165" s="250">
        <f>'Рабочий стол'!BB138</f>
        <v>0</v>
      </c>
      <c r="F165" s="251">
        <f>'Рабочий стол'!BA138</f>
        <v>0</v>
      </c>
      <c r="G165" s="250">
        <f t="shared" si="4"/>
        <v>0</v>
      </c>
      <c r="H165" s="250">
        <f>_xlfn.IFNA(VLOOKUP(C165,Таблица37[],7,0),0)*Таблица40[[#This Row],[Количество]]</f>
        <v>0</v>
      </c>
    </row>
    <row r="166" spans="2:8" x14ac:dyDescent="0.25">
      <c r="B166" s="26">
        <v>122</v>
      </c>
      <c r="C166" s="166">
        <f>'Рабочий стол'!AY139</f>
        <v>0</v>
      </c>
      <c r="D166" s="297">
        <f>'Рабочий стол'!AZ139</f>
        <v>0</v>
      </c>
      <c r="E166" s="250">
        <f>'Рабочий стол'!BB139</f>
        <v>0</v>
      </c>
      <c r="F166" s="251">
        <f>'Рабочий стол'!BA139</f>
        <v>0</v>
      </c>
      <c r="G166" s="250">
        <f t="shared" si="4"/>
        <v>0</v>
      </c>
      <c r="H166" s="250">
        <f>_xlfn.IFNA(VLOOKUP(C166,Таблица37[],7,0),0)*Таблица40[[#This Row],[Количество]]</f>
        <v>0</v>
      </c>
    </row>
    <row r="167" spans="2:8" x14ac:dyDescent="0.25">
      <c r="B167" s="26">
        <v>123</v>
      </c>
      <c r="C167" s="166">
        <f>'Рабочий стол'!D145</f>
        <v>0</v>
      </c>
      <c r="D167" s="166" t="e">
        <f>VLOOKUP(C167,Таблица37[],2,0)</f>
        <v>#N/A</v>
      </c>
      <c r="E167" s="250" t="e">
        <f>VLOOKUP(C167,Таблица37[],8,0)</f>
        <v>#N/A</v>
      </c>
      <c r="F167" s="26">
        <v>2</v>
      </c>
      <c r="G167" s="250">
        <f>_xlfn.IFNA(E167*F167,0)</f>
        <v>0</v>
      </c>
      <c r="H167" s="250">
        <f>_xlfn.IFNA(VLOOKUP(C167,Таблица37[],7,0),0)*Таблица40[[#This Row],[Количество]]</f>
        <v>0</v>
      </c>
    </row>
    <row r="168" spans="2:8" x14ac:dyDescent="0.25">
      <c r="B168" s="26">
        <v>124</v>
      </c>
      <c r="C168" s="166">
        <f>'Рабочий стол'!O129</f>
        <v>0</v>
      </c>
      <c r="D168" s="166" t="e">
        <f>VLOOKUP(C168,Таблица37[],2,0)</f>
        <v>#N/A</v>
      </c>
      <c r="E168" s="250" t="e">
        <f>VLOOKUP(C168,Таблица37[],8,0)</f>
        <v>#N/A</v>
      </c>
      <c r="F168" s="26">
        <f>'Рабочий стол'!S129</f>
        <v>0</v>
      </c>
      <c r="G168" s="250">
        <f t="shared" ref="G168:G179" si="5">_xlfn.IFNA(E168*F168,0)</f>
        <v>0</v>
      </c>
      <c r="H168" s="250">
        <f>_xlfn.IFNA(VLOOKUP(C168,Таблица37[],7,0),0)*Таблица40[[#This Row],[Количество]]</f>
        <v>0</v>
      </c>
    </row>
    <row r="169" spans="2:8" x14ac:dyDescent="0.25">
      <c r="B169" s="26">
        <v>125</v>
      </c>
      <c r="C169" s="166">
        <f>'Рабочий стол'!O132</f>
        <v>0</v>
      </c>
      <c r="D169" s="166" t="e">
        <f>VLOOKUP(C169,Таблица37[],2,0)</f>
        <v>#N/A</v>
      </c>
      <c r="E169" s="250" t="e">
        <f>VLOOKUP(C169,Таблица37[],8,0)</f>
        <v>#N/A</v>
      </c>
      <c r="F169" s="26">
        <f>'Рабочий стол'!S132</f>
        <v>0</v>
      </c>
      <c r="G169" s="250">
        <f t="shared" si="5"/>
        <v>0</v>
      </c>
      <c r="H169" s="250">
        <f>_xlfn.IFNA(VLOOKUP(C169,Таблица37[],7,0),0)*Таблица40[[#This Row],[Количество]]</f>
        <v>0</v>
      </c>
    </row>
    <row r="170" spans="2:8" x14ac:dyDescent="0.25">
      <c r="B170" s="26">
        <v>126</v>
      </c>
      <c r="C170" s="166">
        <f>'Рабочий стол'!O135</f>
        <v>0</v>
      </c>
      <c r="D170" s="166" t="e">
        <f>VLOOKUP(C170,Таблица37[],2,0)</f>
        <v>#N/A</v>
      </c>
      <c r="E170" s="250" t="e">
        <f>VLOOKUP(C170,Таблица37[],8,0)</f>
        <v>#N/A</v>
      </c>
      <c r="F170" s="26">
        <f>'Рабочий стол'!S135</f>
        <v>0</v>
      </c>
      <c r="G170" s="250">
        <f t="shared" si="5"/>
        <v>0</v>
      </c>
      <c r="H170" s="250">
        <f>_xlfn.IFNA(VLOOKUP(C170,Таблица37[],7,0),0)*Таблица40[[#This Row],[Количество]]</f>
        <v>0</v>
      </c>
    </row>
    <row r="171" spans="2:8" x14ac:dyDescent="0.25">
      <c r="B171" s="26">
        <v>127</v>
      </c>
      <c r="C171" s="166">
        <f>'Рабочий стол'!O138</f>
        <v>0</v>
      </c>
      <c r="D171" s="166" t="e">
        <f>VLOOKUP(C171,Таблица37[],2,0)</f>
        <v>#N/A</v>
      </c>
      <c r="E171" s="250" t="e">
        <f>VLOOKUP(C171,Таблица37[],8,0)</f>
        <v>#N/A</v>
      </c>
      <c r="F171" s="26">
        <f>'Рабочий стол'!S138</f>
        <v>0</v>
      </c>
      <c r="G171" s="250">
        <f t="shared" si="5"/>
        <v>0</v>
      </c>
      <c r="H171" s="250">
        <f>_xlfn.IFNA(VLOOKUP(C171,Таблица37[],7,0),0)*Таблица40[[#This Row],[Количество]]</f>
        <v>0</v>
      </c>
    </row>
    <row r="172" spans="2:8" x14ac:dyDescent="0.25">
      <c r="B172" s="26">
        <v>128</v>
      </c>
      <c r="C172" s="166">
        <f>'Рабочий стол'!O141</f>
        <v>0</v>
      </c>
      <c r="D172" s="166" t="e">
        <f>VLOOKUP(C172,Таблица37[],2,0)</f>
        <v>#N/A</v>
      </c>
      <c r="E172" s="250" t="e">
        <f>VLOOKUP(C172,Таблица37[],8,0)</f>
        <v>#N/A</v>
      </c>
      <c r="F172" s="26">
        <f>'Рабочий стол'!S141</f>
        <v>0</v>
      </c>
      <c r="G172" s="250">
        <f t="shared" si="5"/>
        <v>0</v>
      </c>
      <c r="H172" s="250">
        <f>_xlfn.IFNA(VLOOKUP(C172,Таблица37[],7,0),0)*Таблица40[[#This Row],[Количество]]</f>
        <v>0</v>
      </c>
    </row>
    <row r="173" spans="2:8" x14ac:dyDescent="0.25">
      <c r="B173" s="26">
        <v>129</v>
      </c>
      <c r="C173" s="166">
        <f>'Рабочий стол'!X129</f>
        <v>0</v>
      </c>
      <c r="D173" s="166" t="e">
        <f>VLOOKUP(C173,Таблица37[],2,0)</f>
        <v>#N/A</v>
      </c>
      <c r="E173" s="250" t="e">
        <f>VLOOKUP(C173,Таблица37[],8,0)</f>
        <v>#N/A</v>
      </c>
      <c r="F173" s="26">
        <f>'Рабочий стол'!AB129</f>
        <v>0</v>
      </c>
      <c r="G173" s="250">
        <f t="shared" si="5"/>
        <v>0</v>
      </c>
      <c r="H173" s="250">
        <f>_xlfn.IFNA(VLOOKUP(C173,Таблица37[],7,0),0)*Таблица40[[#This Row],[Количество]]</f>
        <v>0</v>
      </c>
    </row>
    <row r="174" spans="2:8" x14ac:dyDescent="0.25">
      <c r="B174" s="26">
        <v>130</v>
      </c>
      <c r="C174" s="166">
        <f>'Рабочий стол'!O147</f>
        <v>0</v>
      </c>
      <c r="D174" s="166" t="e">
        <f>VLOOKUP(C174,Таблица37[],2,0)</f>
        <v>#N/A</v>
      </c>
      <c r="E174" s="250" t="e">
        <f>VLOOKUP(C174,Таблица37[],8,0)</f>
        <v>#N/A</v>
      </c>
      <c r="F174" s="26">
        <f>'Рабочий стол'!S147</f>
        <v>0</v>
      </c>
      <c r="G174" s="250">
        <f t="shared" si="5"/>
        <v>0</v>
      </c>
      <c r="H174" s="250">
        <f>_xlfn.IFNA(VLOOKUP(C174,Таблица37[],7,0),0)*Таблица40[[#This Row],[Количество]]</f>
        <v>0</v>
      </c>
    </row>
    <row r="175" spans="2:8" x14ac:dyDescent="0.25">
      <c r="B175" s="26">
        <v>131</v>
      </c>
      <c r="C175" s="166">
        <f>'Рабочий стол'!O159</f>
        <v>0</v>
      </c>
      <c r="D175" s="166" t="e">
        <f>VLOOKUP(C175,Таблица37[],2,0)</f>
        <v>#N/A</v>
      </c>
      <c r="E175" s="250" t="e">
        <f>VLOOKUP(C175,Таблица37[],8,0)</f>
        <v>#N/A</v>
      </c>
      <c r="F175" s="26">
        <f>'Рабочий стол'!S159</f>
        <v>0</v>
      </c>
      <c r="G175" s="250">
        <f t="shared" si="5"/>
        <v>0</v>
      </c>
      <c r="H175" s="250">
        <f>_xlfn.IFNA(VLOOKUP(C175,Таблица37[],7,0),0)*Таблица40[[#This Row],[Количество]]</f>
        <v>0</v>
      </c>
    </row>
    <row r="176" spans="2:8" x14ac:dyDescent="0.25">
      <c r="B176" s="26">
        <v>132</v>
      </c>
      <c r="C176" s="166">
        <f>'Рабочий стол'!X159</f>
        <v>0</v>
      </c>
      <c r="D176" s="166" t="e">
        <f>VLOOKUP(C176,Таблица37[],2,0)</f>
        <v>#N/A</v>
      </c>
      <c r="E176" s="250" t="e">
        <f>VLOOKUP(C176,Таблица37[],8,0)</f>
        <v>#N/A</v>
      </c>
      <c r="F176" s="26">
        <f>'Рабочий стол'!AB159</f>
        <v>0</v>
      </c>
      <c r="G176" s="250">
        <f t="shared" si="5"/>
        <v>0</v>
      </c>
      <c r="H176" s="250">
        <f>_xlfn.IFNA(VLOOKUP(C176,Таблица37[],7,0),0)*Таблица40[[#This Row],[Количество]]</f>
        <v>0</v>
      </c>
    </row>
    <row r="177" spans="2:8" x14ac:dyDescent="0.25">
      <c r="B177" s="26">
        <v>133</v>
      </c>
      <c r="C177" s="166">
        <f>'Рабочий стол'!AY129</f>
        <v>0</v>
      </c>
      <c r="D177" s="297">
        <f>'Рабочий стол'!AZ129</f>
        <v>0</v>
      </c>
      <c r="E177" s="250">
        <f>'Рабочий стол'!BB129</f>
        <v>0</v>
      </c>
      <c r="F177" s="251">
        <f>'Рабочий стол'!BA129</f>
        <v>0</v>
      </c>
      <c r="G177" s="250">
        <f t="shared" si="5"/>
        <v>0</v>
      </c>
      <c r="H177" s="250">
        <f>_xlfn.IFNA(VLOOKUP(C177,Таблица37[],7,0),0)*Таблица40[[#This Row],[Количество]]</f>
        <v>0</v>
      </c>
    </row>
    <row r="178" spans="2:8" x14ac:dyDescent="0.25">
      <c r="B178" s="26">
        <v>134</v>
      </c>
      <c r="C178" s="166">
        <f>'Рабочий стол'!AY151</f>
        <v>0</v>
      </c>
      <c r="D178" s="297">
        <f>'Рабочий стол'!AZ151</f>
        <v>0</v>
      </c>
      <c r="E178" s="250">
        <f>'Рабочий стол'!BB151</f>
        <v>0</v>
      </c>
      <c r="F178" s="251">
        <f>'Рабочий стол'!BA151</f>
        <v>0</v>
      </c>
      <c r="G178" s="250">
        <f t="shared" si="5"/>
        <v>0</v>
      </c>
      <c r="H178" s="250">
        <f>_xlfn.IFNA(VLOOKUP(C178,Таблица37[],7,0),0)*Таблица40[[#This Row],[Количество]]</f>
        <v>0</v>
      </c>
    </row>
    <row r="179" spans="2:8" x14ac:dyDescent="0.25">
      <c r="B179" s="26">
        <v>135</v>
      </c>
      <c r="C179" s="166">
        <f>'Рабочий стол'!AY152</f>
        <v>0</v>
      </c>
      <c r="D179" s="297">
        <f>'Рабочий стол'!AZ152</f>
        <v>0</v>
      </c>
      <c r="E179" s="250">
        <f>'Рабочий стол'!BB152</f>
        <v>0</v>
      </c>
      <c r="F179" s="251">
        <f>'Рабочий стол'!BA152</f>
        <v>0</v>
      </c>
      <c r="G179" s="250">
        <f t="shared" si="5"/>
        <v>0</v>
      </c>
      <c r="H179" s="250">
        <f>_xlfn.IFNA(VLOOKUP(C179,Таблица37[],7,0),0)*Таблица40[[#This Row],[Количество]]</f>
        <v>0</v>
      </c>
    </row>
    <row r="180" spans="2:8" x14ac:dyDescent="0.25">
      <c r="B180" s="26">
        <v>136</v>
      </c>
      <c r="C180" s="166">
        <f>'Рабочий стол'!D158</f>
        <v>0</v>
      </c>
      <c r="D180" s="166" t="e">
        <f>VLOOKUP(C180,Таблица37[],2,0)</f>
        <v>#N/A</v>
      </c>
      <c r="E180" s="250" t="e">
        <f>VLOOKUP(C180,Таблица37[],8,0)</f>
        <v>#N/A</v>
      </c>
      <c r="F180" s="26">
        <v>2</v>
      </c>
      <c r="G180" s="250">
        <f>_xlfn.IFNA(E180*F180,0)</f>
        <v>0</v>
      </c>
      <c r="H180" s="250">
        <f>_xlfn.IFNA(VLOOKUP(C180,Таблица37[],7,0),0)*Таблица40[[#This Row],[Количество]]</f>
        <v>0</v>
      </c>
    </row>
    <row r="181" spans="2:8" x14ac:dyDescent="0.25">
      <c r="B181" s="26">
        <v>137</v>
      </c>
      <c r="C181" s="166">
        <f>'Рабочий стол'!O142</f>
        <v>0</v>
      </c>
      <c r="D181" s="166" t="e">
        <f>VLOOKUP(C181,Таблица37[],2,0)</f>
        <v>#N/A</v>
      </c>
      <c r="E181" s="250" t="e">
        <f>VLOOKUP(C181,Таблица37[],8,0)</f>
        <v>#N/A</v>
      </c>
      <c r="F181" s="26">
        <f>'Рабочий стол'!S142</f>
        <v>0</v>
      </c>
      <c r="G181" s="250">
        <f t="shared" ref="G181:G185" si="6">_xlfn.IFNA(E181*F181,0)</f>
        <v>0</v>
      </c>
      <c r="H181" s="250">
        <f>_xlfn.IFNA(VLOOKUP(C181,Таблица37[],7,0),0)*Таблица40[[#This Row],[Количество]]</f>
        <v>0</v>
      </c>
    </row>
    <row r="182" spans="2:8" x14ac:dyDescent="0.25">
      <c r="B182" s="26">
        <v>138</v>
      </c>
      <c r="C182" s="166">
        <f>'Рабочий стол'!O145</f>
        <v>0</v>
      </c>
      <c r="D182" s="166" t="e">
        <f>VLOOKUP(C182,Таблица37[],2,0)</f>
        <v>#N/A</v>
      </c>
      <c r="E182" s="250" t="e">
        <f>VLOOKUP(C182,Таблица37[],8,0)</f>
        <v>#N/A</v>
      </c>
      <c r="F182" s="26">
        <f>'Рабочий стол'!S145</f>
        <v>0</v>
      </c>
      <c r="G182" s="250">
        <f t="shared" si="6"/>
        <v>0</v>
      </c>
      <c r="H182" s="250">
        <f>_xlfn.IFNA(VLOOKUP(C182,Таблица37[],7,0),0)*Таблица40[[#This Row],[Количество]]</f>
        <v>0</v>
      </c>
    </row>
    <row r="183" spans="2:8" x14ac:dyDescent="0.25">
      <c r="B183" s="26">
        <v>139</v>
      </c>
      <c r="C183" s="166">
        <f>'Рабочий стол'!O148</f>
        <v>0</v>
      </c>
      <c r="D183" s="166" t="e">
        <f>VLOOKUP(C183,Таблица37[],2,0)</f>
        <v>#N/A</v>
      </c>
      <c r="E183" s="250" t="e">
        <f>VLOOKUP(C183,Таблица37[],8,0)</f>
        <v>#N/A</v>
      </c>
      <c r="F183" s="26">
        <f>'Рабочий стол'!S148</f>
        <v>0</v>
      </c>
      <c r="G183" s="250">
        <f t="shared" si="6"/>
        <v>0</v>
      </c>
      <c r="H183" s="250">
        <f>_xlfn.IFNA(VLOOKUP(C183,Таблица37[],7,0),0)*Таблица40[[#This Row],[Количество]]</f>
        <v>0</v>
      </c>
    </row>
    <row r="184" spans="2:8" x14ac:dyDescent="0.25">
      <c r="B184" s="26">
        <v>140</v>
      </c>
      <c r="C184" s="166">
        <f>'Рабочий стол'!O151</f>
        <v>0</v>
      </c>
      <c r="D184" s="166" t="e">
        <f>VLOOKUP(C184,Таблица37[],2,0)</f>
        <v>#N/A</v>
      </c>
      <c r="E184" s="250" t="e">
        <f>VLOOKUP(C184,Таблица37[],8,0)</f>
        <v>#N/A</v>
      </c>
      <c r="F184" s="26">
        <f>'Рабочий стол'!S151</f>
        <v>0</v>
      </c>
      <c r="G184" s="250">
        <f t="shared" si="6"/>
        <v>0</v>
      </c>
      <c r="H184" s="250">
        <f>_xlfn.IFNA(VLOOKUP(C184,Таблица37[],7,0),0)*Таблица40[[#This Row],[Количество]]</f>
        <v>0</v>
      </c>
    </row>
    <row r="185" spans="2:8" x14ac:dyDescent="0.25">
      <c r="B185" s="26">
        <v>141</v>
      </c>
      <c r="C185" s="166">
        <f>'Рабочий стол'!O154</f>
        <v>0</v>
      </c>
      <c r="D185" s="166" t="e">
        <f>VLOOKUP(C185,Таблица37[],2,0)</f>
        <v>#N/A</v>
      </c>
      <c r="E185" s="250" t="e">
        <f>VLOOKUP(C185,Таблица37[],8,0)</f>
        <v>#N/A</v>
      </c>
      <c r="F185" s="26">
        <f>'Рабочий стол'!S154</f>
        <v>0</v>
      </c>
      <c r="G185" s="250">
        <f t="shared" si="6"/>
        <v>0</v>
      </c>
      <c r="H185" s="250">
        <f>_xlfn.IFNA(VLOOKUP(C185,Таблица37[],7,0),0)*Таблица40[[#This Row],[Количество]]</f>
        <v>0</v>
      </c>
    </row>
    <row r="186" spans="2:8" x14ac:dyDescent="0.25">
      <c r="B186" s="26">
        <v>142</v>
      </c>
      <c r="C186" s="166"/>
      <c r="D186" s="166"/>
      <c r="E186" s="250"/>
      <c r="F186" s="26"/>
      <c r="G186" s="250">
        <f>E186*F186</f>
        <v>0</v>
      </c>
      <c r="H186" s="250">
        <f>_xlfn.IFNA(VLOOKUP(C186,Таблица37[],7,0),0)*Таблица40[[#This Row],[Количество]]</f>
        <v>0</v>
      </c>
    </row>
    <row r="187" spans="2:8" x14ac:dyDescent="0.25">
      <c r="B187" s="26"/>
      <c r="C187" s="166"/>
      <c r="D187" s="166"/>
      <c r="E187" s="250"/>
      <c r="F187" s="26"/>
      <c r="G187" s="26"/>
      <c r="H187" s="159"/>
    </row>
    <row r="190" spans="2:8" x14ac:dyDescent="0.25">
      <c r="G190" s="113"/>
    </row>
  </sheetData>
  <sortState ref="B1:I98">
    <sortCondition sortBy="cellColor" ref="B1:B98" dxfId="174"/>
    <sortCondition sortBy="cellColor" ref="C1:C98" dxfId="173"/>
    <sortCondition sortBy="cellColor" ref="D1:D98" dxfId="172"/>
    <sortCondition sortBy="cellColor" ref="E1:E98" dxfId="171"/>
    <sortCondition sortBy="cellColor" ref="F1:F98" dxfId="170"/>
  </sortState>
  <dataConsolidate>
    <dataRefs count="1">
      <dataRef ref="B1:B1048576" sheet="Спецификация"/>
    </dataRefs>
  </dataConsolidate>
  <mergeCells count="1">
    <mergeCell ref="J8:J9"/>
  </mergeCells>
  <conditionalFormatting sqref="A1:XFD1 G3:G21 C22:G63 C21:F21 A21:B63 A187:H1048576 J10 I19:XFD1048576 M8 K15:Q15 I12:K12 I13:I18 K13:K14 G2:I2 K18:XFD18 K16:M17 O16:XFD17 I3:I11 J8 K11 M14:Q14 O8:XFD8 S14:XFD15 Q9:XFD10 M12:XFD13 O11:XFD11 P3 O9:O10 R6:XFD7 L2:N3 K2:K9 P4:XFD5 M10:M11 L5:L6 Q2:XFD3 A64:G186 H3:H186 A2:F20">
    <cfRule type="containsBlanks" dxfId="169" priority="14">
      <formula>LEN(TRIM(A1))=0</formula>
    </cfRule>
  </conditionalFormatting>
  <conditionalFormatting sqref="A187:XFD1048576 A1:XFD1 J10 M8 K15:Q15 I12:K12 I13:I18 K13:K14 A2:I2 K18:XFD18 K16:M17 O16:XFD17 I3:I11 J8 K11 M14:Q14 O8:XFD8 S14:XFD15 Q9:XFD10 M12:XFD13 O11:XFD11 P3 O9:O10 R6:XFD7 L2:N3 K2:K9 P4:XFD5 M10:M11 L5:L6 Q2:XFD3 I19:XFD186 A3:H186">
    <cfRule type="cellIs" dxfId="168" priority="2" operator="equal">
      <formula>0</formula>
    </cfRule>
    <cfRule type="containsErrors" dxfId="167" priority="15">
      <formula>ISERROR(A1)</formula>
    </cfRule>
  </conditionalFormatting>
  <conditionalFormatting sqref="G1:G1048576">
    <cfRule type="cellIs" dxfId="166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247"/>
  <sheetViews>
    <sheetView tabSelected="1" zoomScale="70" zoomScaleNormal="70" workbookViewId="0">
      <selection activeCell="C13" sqref="C13"/>
    </sheetView>
  </sheetViews>
  <sheetFormatPr defaultRowHeight="15.75" x14ac:dyDescent="0.25"/>
  <cols>
    <col min="1" max="1" width="6" style="221" customWidth="1"/>
    <col min="2" max="2" width="30.140625" style="212" bestFit="1" customWidth="1"/>
    <col min="3" max="3" width="172.42578125" style="214" customWidth="1"/>
    <col min="4" max="4" width="11.42578125" style="221" customWidth="1"/>
    <col min="5" max="5" width="14.85546875" style="213" customWidth="1"/>
    <col min="6" max="6" width="12" style="309" customWidth="1"/>
    <col min="7" max="7" width="43" style="221" bestFit="1" customWidth="1"/>
    <col min="8" max="8" width="18.7109375" style="221" customWidth="1"/>
    <col min="9" max="9" width="22.85546875" style="223" customWidth="1"/>
    <col min="10" max="10" width="14.42578125" style="302" customWidth="1"/>
    <col min="11" max="11" width="15.42578125" style="222" customWidth="1"/>
    <col min="12" max="12" width="8" style="221" customWidth="1"/>
    <col min="13" max="13" width="12.140625" style="221" customWidth="1"/>
    <col min="14" max="14" width="43" style="221" bestFit="1" customWidth="1"/>
    <col min="15" max="15" width="18.140625" style="222" bestFit="1" customWidth="1"/>
    <col min="16" max="16" width="12.42578125" style="221" customWidth="1"/>
    <col min="17" max="18" width="9.140625" style="221"/>
    <col min="19" max="19" width="54.42578125" style="221" customWidth="1"/>
    <col min="20" max="20" width="15.28515625" style="221" customWidth="1"/>
    <col min="21" max="21" width="7.28515625" style="221" customWidth="1"/>
    <col min="22" max="22" width="9.5703125" style="221" customWidth="1"/>
    <col min="23" max="16384" width="9.140625" style="221"/>
  </cols>
  <sheetData>
    <row r="1" spans="1:15" x14ac:dyDescent="0.25">
      <c r="O1" s="221"/>
    </row>
    <row r="2" spans="1:15" s="300" customFormat="1" ht="33" customHeight="1" x14ac:dyDescent="0.25">
      <c r="B2" s="307" t="s">
        <v>639</v>
      </c>
      <c r="C2" s="307" t="s">
        <v>23</v>
      </c>
      <c r="D2" s="307" t="s">
        <v>24</v>
      </c>
      <c r="E2" s="306" t="s">
        <v>63</v>
      </c>
      <c r="F2" s="310" t="s">
        <v>2562</v>
      </c>
      <c r="G2" s="307" t="s">
        <v>2312</v>
      </c>
      <c r="H2" s="307" t="s">
        <v>2311</v>
      </c>
      <c r="I2" s="306" t="s">
        <v>2345</v>
      </c>
      <c r="J2" s="306" t="s">
        <v>63</v>
      </c>
      <c r="K2" s="219"/>
      <c r="N2" s="252" t="s">
        <v>2344</v>
      </c>
      <c r="O2" s="301" t="s">
        <v>462</v>
      </c>
    </row>
    <row r="3" spans="1:15" x14ac:dyDescent="0.25">
      <c r="B3" s="350" t="s">
        <v>50</v>
      </c>
      <c r="C3" s="351" t="s">
        <v>66</v>
      </c>
      <c r="D3" s="352" t="s">
        <v>640</v>
      </c>
      <c r="E3" s="353">
        <f>VLOOKUP(Таблица37[[#This Row],[Оболочки]],'предоставленные цены'!$B$4:$D$328,2,0)</f>
        <v>7772.6240328000004</v>
      </c>
      <c r="F3" s="354">
        <v>1.64</v>
      </c>
      <c r="G3" s="355"/>
      <c r="H3" s="355"/>
      <c r="I3" s="356">
        <f>Таблица37[[#This Row],[Цена]]+Таблица37[[#This Row],[Трудозатраты]]</f>
        <v>7772.6240328000004</v>
      </c>
      <c r="J3" s="357">
        <v>5648</v>
      </c>
      <c r="K3" s="220" t="e">
        <f>VLOOKUP(Таблица37[[#This Row],[Оболочки]],'[3]Расчет себес оболочек'!$A$3:$E$35,5,0)</f>
        <v>#N/A</v>
      </c>
      <c r="N3" s="215" t="s">
        <v>2314</v>
      </c>
      <c r="O3" s="253">
        <v>82</v>
      </c>
    </row>
    <row r="4" spans="1:15" x14ac:dyDescent="0.25">
      <c r="B4" s="350" t="s">
        <v>51</v>
      </c>
      <c r="C4" s="351" t="s">
        <v>68</v>
      </c>
      <c r="D4" s="352" t="s">
        <v>640</v>
      </c>
      <c r="E4" s="353">
        <f>VLOOKUP(Таблица37[[#This Row],[Оболочки]],'предоставленные цены'!$B$4:$D$328,2,0)</f>
        <v>9034.3640328000001</v>
      </c>
      <c r="F4" s="354">
        <v>1.96</v>
      </c>
      <c r="G4" s="355"/>
      <c r="H4" s="355"/>
      <c r="I4" s="356">
        <f>Таблица37[[#This Row],[Цена]]+Таблица37[[#This Row],[Трудозатраты]]</f>
        <v>9034.3640328000001</v>
      </c>
      <c r="J4" s="357">
        <v>2200</v>
      </c>
      <c r="K4" s="220" t="e">
        <f>VLOOKUP(Таблица37[[#This Row],[Оболочки]],'[3]Расчет себес оболочек'!$A$3:$E$35,5,0)</f>
        <v>#N/A</v>
      </c>
      <c r="N4" s="215" t="s">
        <v>2315</v>
      </c>
      <c r="O4" s="254">
        <v>79.2</v>
      </c>
    </row>
    <row r="5" spans="1:15" x14ac:dyDescent="0.25">
      <c r="B5" s="350" t="s">
        <v>52</v>
      </c>
      <c r="C5" s="351" t="s">
        <v>70</v>
      </c>
      <c r="D5" s="352" t="s">
        <v>640</v>
      </c>
      <c r="E5" s="353">
        <f>VLOOKUP(Таблица37[[#This Row],[Оболочки]],'предоставленные цены'!$B$4:$D$328,2,0)</f>
        <v>10404.224032799999</v>
      </c>
      <c r="F5" s="354">
        <v>2.48</v>
      </c>
      <c r="G5" s="355"/>
      <c r="H5" s="355"/>
      <c r="I5" s="356">
        <f>Таблица37[[#This Row],[Цена]]+Таблица37[[#This Row],[Трудозатраты]]</f>
        <v>10404.224032799999</v>
      </c>
      <c r="J5" s="357">
        <v>2700</v>
      </c>
      <c r="K5" s="220" t="e">
        <f>VLOOKUP(Таблица37[[#This Row],[Оболочки]],'[3]Расчет себес оболочек'!$A$3:$E$35,5,0)</f>
        <v>#N/A</v>
      </c>
      <c r="N5" s="215" t="s">
        <v>2316</v>
      </c>
      <c r="O5" s="253">
        <v>64.8</v>
      </c>
    </row>
    <row r="6" spans="1:15" x14ac:dyDescent="0.25">
      <c r="B6" s="350" t="s">
        <v>53</v>
      </c>
      <c r="C6" s="351" t="s">
        <v>72</v>
      </c>
      <c r="D6" s="352" t="s">
        <v>640</v>
      </c>
      <c r="E6" s="353">
        <f>VLOOKUP(Таблица37[[#This Row],[Оболочки]],'предоставленные цены'!$B$4:$D$328,2,0)</f>
        <v>10613.324032799999</v>
      </c>
      <c r="F6" s="354">
        <v>2.96</v>
      </c>
      <c r="G6" s="355"/>
      <c r="H6" s="355"/>
      <c r="I6" s="356">
        <f>Таблица37[[#This Row],[Цена]]+Таблица37[[#This Row],[Трудозатраты]]</f>
        <v>10613.324032799999</v>
      </c>
      <c r="J6" s="357">
        <v>2680</v>
      </c>
      <c r="K6" s="220" t="e">
        <f>VLOOKUP(Таблица37[[#This Row],[Оболочки]],'[3]Расчет себес оболочек'!$A$3:$E$35,5,0)</f>
        <v>#N/A</v>
      </c>
      <c r="N6" s="215" t="s">
        <v>2317</v>
      </c>
      <c r="O6" s="254">
        <v>108</v>
      </c>
    </row>
    <row r="7" spans="1:15" x14ac:dyDescent="0.25">
      <c r="B7" s="350" t="s">
        <v>54</v>
      </c>
      <c r="C7" s="351" t="s">
        <v>74</v>
      </c>
      <c r="D7" s="352" t="s">
        <v>640</v>
      </c>
      <c r="E7" s="353">
        <f>VLOOKUP(Таблица37[[#This Row],[Оболочки]],'предоставленные цены'!$B$4:$D$328,2,0)</f>
        <v>24960.3885228</v>
      </c>
      <c r="F7" s="354">
        <v>13.6</v>
      </c>
      <c r="G7" s="355"/>
      <c r="H7" s="355"/>
      <c r="I7" s="356">
        <f>Таблица37[[#This Row],[Цена]]+Таблица37[[#This Row],[Трудозатраты]]</f>
        <v>24960.3885228</v>
      </c>
      <c r="J7" s="357">
        <v>21286</v>
      </c>
      <c r="K7" s="304">
        <f>VLOOKUP(Таблица37[[#This Row],[Оболочки]],'[3]Расчет себес оболочек'!$A$3:$E$35,5,0)</f>
        <v>29503.468522800002</v>
      </c>
      <c r="N7" s="215" t="s">
        <v>2318</v>
      </c>
      <c r="O7" s="253">
        <v>158.4</v>
      </c>
    </row>
    <row r="8" spans="1:15" x14ac:dyDescent="0.25">
      <c r="B8" s="350" t="s">
        <v>55</v>
      </c>
      <c r="C8" s="351" t="s">
        <v>76</v>
      </c>
      <c r="D8" s="352" t="s">
        <v>640</v>
      </c>
      <c r="E8" s="353">
        <f>VLOOKUP(Таблица37[[#This Row],[Оболочки]],'предоставленные цены'!$B$4:$D$328,2,0)</f>
        <v>47170.8885228</v>
      </c>
      <c r="F8" s="354">
        <v>26.1</v>
      </c>
      <c r="G8" s="355"/>
      <c r="H8" s="355"/>
      <c r="I8" s="356">
        <f>Таблица37[[#This Row],[Цена]]+Таблица37[[#This Row],[Трудозатраты]]</f>
        <v>47170.8885228</v>
      </c>
      <c r="J8" s="357">
        <v>13400</v>
      </c>
      <c r="K8" s="304">
        <f>VLOOKUP(Таблица37[[#This Row],[Оболочки]],'[3]Расчет себес оболочек'!$A$3:$E$35,5,0)</f>
        <v>52361.668522799999</v>
      </c>
      <c r="N8" s="215" t="s">
        <v>2319</v>
      </c>
      <c r="O8" s="254">
        <v>223.2</v>
      </c>
    </row>
    <row r="9" spans="1:15" x14ac:dyDescent="0.25">
      <c r="B9" s="350" t="s">
        <v>56</v>
      </c>
      <c r="C9" s="351" t="s">
        <v>78</v>
      </c>
      <c r="D9" s="352" t="s">
        <v>640</v>
      </c>
      <c r="E9" s="353">
        <f>VLOOKUP(Таблица37[[#This Row],[Оболочки]],'предоставленные цены'!$B$4:$D$328,2,0)</f>
        <v>49398.5685228</v>
      </c>
      <c r="F9" s="354">
        <v>41.3</v>
      </c>
      <c r="G9" s="365"/>
      <c r="H9" s="355"/>
      <c r="I9" s="356">
        <f>Таблица37[[#This Row],[Цена]]+Таблица37[[#This Row],[Трудозатраты]]</f>
        <v>49398.5685228</v>
      </c>
      <c r="J9" s="357">
        <v>19900</v>
      </c>
      <c r="K9" s="304">
        <f>VLOOKUP(Таблица37[[#This Row],[Оболочки]],'[3]Расчет себес оболочек'!$A$3:$E$35,5,0)</f>
        <v>55350.268522800005</v>
      </c>
      <c r="N9" s="215" t="s">
        <v>2320</v>
      </c>
      <c r="O9" s="253">
        <v>302.39999999999998</v>
      </c>
    </row>
    <row r="10" spans="1:15" x14ac:dyDescent="0.25">
      <c r="B10" s="350" t="s">
        <v>57</v>
      </c>
      <c r="C10" s="351" t="s">
        <v>80</v>
      </c>
      <c r="D10" s="352" t="s">
        <v>640</v>
      </c>
      <c r="E10" s="353">
        <f>VLOOKUP(Таблица37[[#This Row],[Оболочки]],'предоставленные цены'!$B$4:$D$328,2,0)</f>
        <v>59693.428522800001</v>
      </c>
      <c r="F10" s="354">
        <v>62.4</v>
      </c>
      <c r="G10" s="355"/>
      <c r="H10" s="355"/>
      <c r="I10" s="356">
        <f>Таблица37[[#This Row],[Цена]]+Таблица37[[#This Row],[Трудозатраты]]</f>
        <v>59693.428522800001</v>
      </c>
      <c r="J10" s="357">
        <v>29700</v>
      </c>
      <c r="K10" s="220" t="e">
        <f>VLOOKUP(Таблица37[[#This Row],[Оболочки]],'[3]Расчет себес оболочек'!$A$3:$E$35,5,0)</f>
        <v>#N/A</v>
      </c>
      <c r="N10" s="215" t="s">
        <v>2321</v>
      </c>
      <c r="O10" s="254">
        <v>453.6</v>
      </c>
    </row>
    <row r="11" spans="1:15" x14ac:dyDescent="0.25">
      <c r="B11" s="350" t="s">
        <v>58</v>
      </c>
      <c r="C11" s="351" t="s">
        <v>82</v>
      </c>
      <c r="D11" s="352" t="s">
        <v>640</v>
      </c>
      <c r="E11" s="353">
        <f>VLOOKUP(Таблица37[[#This Row],[Оболочки]],'предоставленные цены'!$B$4:$D$328,2,0)</f>
        <v>64830.148522800002</v>
      </c>
      <c r="F11" s="354">
        <v>71.900000000000006</v>
      </c>
      <c r="G11" s="355"/>
      <c r="H11" s="355"/>
      <c r="I11" s="356">
        <f>Таблица37[[#This Row],[Цена]]+Таблица37[[#This Row],[Трудозатраты]]</f>
        <v>64830.148522800002</v>
      </c>
      <c r="J11" s="357">
        <v>34600</v>
      </c>
      <c r="K11" s="220" t="e">
        <f>VLOOKUP(Таблица37[[#This Row],[Оболочки]],'[3]Расчет себес оболочек'!$A$3:$E$35,5,0)</f>
        <v>#N/A</v>
      </c>
      <c r="N11" s="215" t="s">
        <v>2322</v>
      </c>
      <c r="O11" s="253">
        <v>756</v>
      </c>
    </row>
    <row r="12" spans="1:15" x14ac:dyDescent="0.25">
      <c r="B12" s="350" t="s">
        <v>89</v>
      </c>
      <c r="C12" s="351" t="s">
        <v>91</v>
      </c>
      <c r="D12" s="352" t="s">
        <v>640</v>
      </c>
      <c r="E12" s="353">
        <f>VLOOKUP(Таблица37[[#This Row],[Оболочки]],'предоставленные цены'!$B$4:$D$328,2,0)</f>
        <v>24413.163622799999</v>
      </c>
      <c r="F12" s="354">
        <v>12.5</v>
      </c>
      <c r="G12" s="355"/>
      <c r="H12" s="355"/>
      <c r="I12" s="356">
        <f>Таблица37[[#This Row],[Цена]]+Таблица37[[#This Row],[Трудозатраты]]</f>
        <v>24413.163622799999</v>
      </c>
      <c r="J12" s="357">
        <v>7800</v>
      </c>
      <c r="K12" s="304">
        <f>VLOOKUP(Таблица37[[#This Row],[Оболочки]],'[3]Расчет себес оболочек'!$A$3:$E$35,5,0)</f>
        <v>30981.963622799998</v>
      </c>
      <c r="N12" s="215" t="s">
        <v>2323</v>
      </c>
      <c r="O12" s="254">
        <v>756</v>
      </c>
    </row>
    <row r="13" spans="1:15" x14ac:dyDescent="0.25">
      <c r="A13" s="221">
        <v>12</v>
      </c>
      <c r="B13" s="350" t="s">
        <v>165</v>
      </c>
      <c r="C13" s="351" t="s">
        <v>644</v>
      </c>
      <c r="D13" s="352" t="s">
        <v>640</v>
      </c>
      <c r="E13" s="353">
        <f>VLOOKUP(Таблица37[[#This Row],[Оболочки]],'предоставленные цены'!$B$4:$D$328,2,0)</f>
        <v>607.79204100000004</v>
      </c>
      <c r="F13" s="354"/>
      <c r="G13" s="358" t="s">
        <v>2314</v>
      </c>
      <c r="H13" s="359">
        <f>VLOOKUP(A13,Таблы!$O$265:$S$275,5,0)</f>
        <v>86.399999999999991</v>
      </c>
      <c r="I13" s="356">
        <f>Таблица37[[#This Row],[Цена]]+Таблица37[[#This Row],[Трудозатраты]]</f>
        <v>694.19204100000002</v>
      </c>
      <c r="J13" s="357">
        <v>70.448000000000008</v>
      </c>
      <c r="K13" s="220" t="e">
        <f>VLOOKUP(Таблица37[[#This Row],[Оболочки]],'[3]Расчет себес оболочек'!$A$3:$E$35,5,0)</f>
        <v>#N/A</v>
      </c>
      <c r="N13" s="215" t="s">
        <v>2324</v>
      </c>
      <c r="O13" s="253">
        <v>1080</v>
      </c>
    </row>
    <row r="14" spans="1:15" x14ac:dyDescent="0.25">
      <c r="A14" s="221">
        <v>16</v>
      </c>
      <c r="B14" s="350" t="s">
        <v>167</v>
      </c>
      <c r="C14" s="351" t="s">
        <v>645</v>
      </c>
      <c r="D14" s="352" t="s">
        <v>640</v>
      </c>
      <c r="E14" s="353">
        <f>VLOOKUP(Таблица37[[#This Row],[Оболочки]],'предоставленные цены'!$B$4:$D$328,2,0)</f>
        <v>615.75436500000001</v>
      </c>
      <c r="F14" s="354"/>
      <c r="G14" s="358" t="s">
        <v>2315</v>
      </c>
      <c r="H14" s="359">
        <f>VLOOKUP(A14,Таблы!$O$265:$S$275,5,0)</f>
        <v>95.04</v>
      </c>
      <c r="I14" s="356">
        <f>Таблица37[[#This Row],[Цена]]+Таблица37[[#This Row],[Трудозатраты]]</f>
        <v>710.79436499999997</v>
      </c>
      <c r="J14" s="357">
        <v>109.4016</v>
      </c>
      <c r="K14" s="220" t="e">
        <f>VLOOKUP(Таблица37[[#This Row],[Оболочки]],'[3]Расчет себес оболочек'!$A$3:$E$35,5,0)</f>
        <v>#N/A</v>
      </c>
      <c r="N14" s="215" t="s">
        <v>2325</v>
      </c>
      <c r="O14" s="254">
        <v>1080</v>
      </c>
    </row>
    <row r="15" spans="1:15" x14ac:dyDescent="0.25">
      <c r="A15" s="221">
        <v>20</v>
      </c>
      <c r="B15" s="350" t="s">
        <v>169</v>
      </c>
      <c r="C15" s="351" t="s">
        <v>646</v>
      </c>
      <c r="D15" s="352" t="s">
        <v>640</v>
      </c>
      <c r="E15" s="353">
        <f>VLOOKUP(Таблица37[[#This Row],[Оболочки]],'предоставленные цены'!$B$4:$D$328,2,0)</f>
        <v>619.57936500000005</v>
      </c>
      <c r="F15" s="354"/>
      <c r="G15" s="358" t="s">
        <v>2316</v>
      </c>
      <c r="H15" s="359">
        <f>VLOOKUP(A15,Таблы!$O$265:$S$275,5,0)</f>
        <v>77.759999999999991</v>
      </c>
      <c r="I15" s="356">
        <f>Таблица37[[#This Row],[Цена]]+Таблица37[[#This Row],[Трудозатраты]]</f>
        <v>697.33936500000004</v>
      </c>
      <c r="J15" s="357">
        <v>109.71239999999999</v>
      </c>
      <c r="K15" s="220" t="e">
        <f>VLOOKUP(Таблица37[[#This Row],[Оболочки]],'[3]Расчет себес оболочек'!$A$3:$E$35,5,0)</f>
        <v>#N/A</v>
      </c>
      <c r="N15" s="215" t="s">
        <v>2324</v>
      </c>
      <c r="O15" s="253">
        <v>1080</v>
      </c>
    </row>
    <row r="16" spans="1:15" x14ac:dyDescent="0.25">
      <c r="A16" s="221">
        <v>25</v>
      </c>
      <c r="B16" s="350" t="s">
        <v>171</v>
      </c>
      <c r="C16" s="351" t="s">
        <v>647</v>
      </c>
      <c r="D16" s="352" t="s">
        <v>640</v>
      </c>
      <c r="E16" s="353">
        <f>VLOOKUP(Таблица37[[#This Row],[Оболочки]],'предоставленные цены'!$B$4:$D$328,2,0)</f>
        <v>884.21428500000002</v>
      </c>
      <c r="F16" s="354"/>
      <c r="G16" s="358" t="s">
        <v>2317</v>
      </c>
      <c r="H16" s="359">
        <f>VLOOKUP(A16,Таблы!$O$265:$S$275,5,0)</f>
        <v>129.6</v>
      </c>
      <c r="I16" s="356">
        <f>Таблица37[[#This Row],[Цена]]+Таблица37[[#This Row],[Трудозатраты]]</f>
        <v>1013.814285</v>
      </c>
      <c r="J16" s="357">
        <v>176.43079999999995</v>
      </c>
      <c r="K16" s="220" t="e">
        <f>VLOOKUP(Таблица37[[#This Row],[Оболочки]],'[3]Расчет себес оболочек'!$A$3:$E$35,5,0)</f>
        <v>#N/A</v>
      </c>
      <c r="N16" s="215" t="s">
        <v>2326</v>
      </c>
      <c r="O16" s="254">
        <v>1080</v>
      </c>
    </row>
    <row r="17" spans="1:15" x14ac:dyDescent="0.25">
      <c r="A17" s="221">
        <v>32</v>
      </c>
      <c r="B17" s="350" t="s">
        <v>173</v>
      </c>
      <c r="C17" s="351" t="s">
        <v>648</v>
      </c>
      <c r="D17" s="352" t="s">
        <v>640</v>
      </c>
      <c r="E17" s="353">
        <f>VLOOKUP(Таблица37[[#This Row],[Оболочки]],'предоставленные цены'!$B$4:$D$328,2,0)</f>
        <v>1188.379764</v>
      </c>
      <c r="F17" s="354"/>
      <c r="G17" s="358" t="s">
        <v>2318</v>
      </c>
      <c r="H17" s="359">
        <f>VLOOKUP(A17,Таблы!$O$265:$S$275,5,0)</f>
        <v>190.08</v>
      </c>
      <c r="I17" s="356">
        <f>Таблица37[[#This Row],[Цена]]+Таблица37[[#This Row],[Трудозатраты]]</f>
        <v>1378.459764</v>
      </c>
      <c r="J17" s="357">
        <v>214.97000000000003</v>
      </c>
      <c r="K17" s="220" t="e">
        <f>VLOOKUP(Таблица37[[#This Row],[Оболочки]],'[3]Расчет себес оболочек'!$A$3:$E$35,5,0)</f>
        <v>#N/A</v>
      </c>
      <c r="N17" s="215" t="s">
        <v>2327</v>
      </c>
      <c r="O17" s="253">
        <v>1152</v>
      </c>
    </row>
    <row r="18" spans="1:15" x14ac:dyDescent="0.25">
      <c r="A18" s="221">
        <v>40</v>
      </c>
      <c r="B18" s="350" t="s">
        <v>175</v>
      </c>
      <c r="C18" s="351" t="s">
        <v>649</v>
      </c>
      <c r="D18" s="352" t="s">
        <v>640</v>
      </c>
      <c r="E18" s="353">
        <f>VLOOKUP(Таблица37[[#This Row],[Оболочки]],'предоставленные цены'!$B$4:$D$328,2,0)</f>
        <v>1680.8634060000002</v>
      </c>
      <c r="F18" s="354"/>
      <c r="G18" s="358" t="s">
        <v>2319</v>
      </c>
      <c r="H18" s="359">
        <f>VLOOKUP(A18,Таблы!$O$265:$S$275,5,0)</f>
        <v>267.83999999999997</v>
      </c>
      <c r="I18" s="356">
        <f>Таблица37[[#This Row],[Цена]]+Таблица37[[#This Row],[Трудозатраты]]</f>
        <v>1948.7034060000001</v>
      </c>
      <c r="J18" s="357">
        <v>353.89760000000007</v>
      </c>
      <c r="K18" s="220" t="e">
        <f>VLOOKUP(Таблица37[[#This Row],[Оболочки]],'[3]Расчет себес оболочек'!$A$3:$E$35,5,0)</f>
        <v>#N/A</v>
      </c>
      <c r="N18" s="215" t="s">
        <v>2327</v>
      </c>
      <c r="O18" s="254">
        <v>1152</v>
      </c>
    </row>
    <row r="19" spans="1:15" x14ac:dyDescent="0.25">
      <c r="A19" s="221">
        <v>50</v>
      </c>
      <c r="B19" s="350" t="s">
        <v>177</v>
      </c>
      <c r="C19" s="351" t="s">
        <v>650</v>
      </c>
      <c r="D19" s="352" t="s">
        <v>640</v>
      </c>
      <c r="E19" s="353">
        <f>VLOOKUP(Таблица37[[#This Row],[Оболочки]],'предоставленные цены'!$B$4:$D$328,2,0)</f>
        <v>1933.7465999999999</v>
      </c>
      <c r="F19" s="354"/>
      <c r="G19" s="358" t="s">
        <v>2320</v>
      </c>
      <c r="H19" s="359">
        <f>VLOOKUP(A19,Таблы!$O$265:$S$275,5,0)</f>
        <v>362.87999999999994</v>
      </c>
      <c r="I19" s="356">
        <f>Таблица37[[#This Row],[Цена]]+Таблица37[[#This Row],[Трудозатраты]]</f>
        <v>2296.6266000000001</v>
      </c>
      <c r="J19" s="357">
        <v>431.49400000000003</v>
      </c>
      <c r="K19" s="220" t="e">
        <f>VLOOKUP(Таблица37[[#This Row],[Оболочки]],'[3]Расчет себес оболочек'!$A$3:$E$35,5,0)</f>
        <v>#N/A</v>
      </c>
      <c r="N19" s="215" t="s">
        <v>2327</v>
      </c>
      <c r="O19" s="253">
        <v>1152</v>
      </c>
    </row>
    <row r="20" spans="1:15" x14ac:dyDescent="0.25">
      <c r="A20" s="221">
        <v>63</v>
      </c>
      <c r="B20" s="350" t="s">
        <v>179</v>
      </c>
      <c r="C20" s="351" t="s">
        <v>651</v>
      </c>
      <c r="D20" s="352" t="s">
        <v>640</v>
      </c>
      <c r="E20" s="353">
        <f>VLOOKUP(Таблица37[[#This Row],[Оболочки]],'предоставленные цены'!$B$4:$D$328,2,0)</f>
        <v>2385.3210000000004</v>
      </c>
      <c r="F20" s="354"/>
      <c r="G20" s="358" t="s">
        <v>2321</v>
      </c>
      <c r="H20" s="359">
        <f>VLOOKUP(A20,Таблы!$O$265:$S$275,5,0)</f>
        <v>544.32000000000005</v>
      </c>
      <c r="I20" s="356">
        <f>Таблица37[[#This Row],[Цена]]+Таблица37[[#This Row],[Трудозатраты]]</f>
        <v>2929.6410000000005</v>
      </c>
      <c r="J20" s="357">
        <v>642.11280000000011</v>
      </c>
      <c r="K20" s="220" t="e">
        <f>VLOOKUP(Таблица37[[#This Row],[Оболочки]],'[3]Расчет себес оболочек'!$A$3:$E$35,5,0)</f>
        <v>#N/A</v>
      </c>
      <c r="N20" s="215" t="s">
        <v>2327</v>
      </c>
      <c r="O20" s="254">
        <v>1152</v>
      </c>
    </row>
    <row r="21" spans="1:15" x14ac:dyDescent="0.25">
      <c r="A21" s="221">
        <v>75</v>
      </c>
      <c r="B21" s="350" t="s">
        <v>181</v>
      </c>
      <c r="C21" s="351" t="s">
        <v>652</v>
      </c>
      <c r="D21" s="352" t="s">
        <v>640</v>
      </c>
      <c r="E21" s="353">
        <f>J21</f>
        <v>1097.4348000000002</v>
      </c>
      <c r="F21" s="354"/>
      <c r="G21" s="358" t="s">
        <v>2322</v>
      </c>
      <c r="H21" s="359">
        <f>VLOOKUP(A21,Таблы!$O$265:$S$275,5,0)</f>
        <v>907.19999999999993</v>
      </c>
      <c r="I21" s="356">
        <f>Таблица37[[#This Row],[Цена]]+Таблица37[[#This Row],[Трудозатраты]]</f>
        <v>2004.6348000000003</v>
      </c>
      <c r="J21" s="357">
        <v>1097.4348000000002</v>
      </c>
      <c r="K21" s="220" t="e">
        <f>VLOOKUP(Таблица37[[#This Row],[Оболочки]],'[3]Расчет себес оболочек'!$A$3:$E$35,5,0)</f>
        <v>#N/A</v>
      </c>
      <c r="N21" s="215" t="s">
        <v>2332</v>
      </c>
      <c r="O21" s="254">
        <v>81.12</v>
      </c>
    </row>
    <row r="22" spans="1:15" x14ac:dyDescent="0.25">
      <c r="A22" s="221">
        <v>75</v>
      </c>
      <c r="B22" s="350" t="s">
        <v>183</v>
      </c>
      <c r="C22" s="351" t="s">
        <v>653</v>
      </c>
      <c r="D22" s="352" t="s">
        <v>640</v>
      </c>
      <c r="E22" s="353">
        <f t="shared" ref="E22:E85" si="0">J22</f>
        <v>906.60359999999991</v>
      </c>
      <c r="F22" s="354"/>
      <c r="G22" s="358" t="s">
        <v>2323</v>
      </c>
      <c r="H22" s="359">
        <f>VLOOKUP(A22,Таблы!$O$265:$S$275,5,0)</f>
        <v>907.19999999999993</v>
      </c>
      <c r="I22" s="356">
        <f>Таблица37[[#This Row],[Цена]]+Таблица37[[#This Row],[Трудозатраты]]</f>
        <v>1813.8035999999997</v>
      </c>
      <c r="J22" s="357">
        <v>906.60359999999991</v>
      </c>
      <c r="K22" s="220" t="e">
        <f>VLOOKUP(Таблица37[[#This Row],[Оболочки]],'[3]Расчет себес оболочек'!$A$3:$E$35,5,0)</f>
        <v>#N/A</v>
      </c>
      <c r="N22" s="215" t="s">
        <v>2333</v>
      </c>
      <c r="O22" s="254">
        <v>131.04</v>
      </c>
    </row>
    <row r="23" spans="1:15" x14ac:dyDescent="0.25">
      <c r="A23" s="221">
        <v>90</v>
      </c>
      <c r="B23" s="350" t="s">
        <v>185</v>
      </c>
      <c r="C23" s="351" t="s">
        <v>654</v>
      </c>
      <c r="D23" s="352" t="s">
        <v>640</v>
      </c>
      <c r="E23" s="353">
        <f t="shared" si="0"/>
        <v>1323.4899999999998</v>
      </c>
      <c r="F23" s="354"/>
      <c r="G23" s="358" t="s">
        <v>2324</v>
      </c>
      <c r="H23" s="359">
        <f>VLOOKUP(A23,Таблы!$O$265:$S$275,5,0)</f>
        <v>1296</v>
      </c>
      <c r="I23" s="356">
        <f>Таблица37[[#This Row],[Цена]]+Таблица37[[#This Row],[Трудозатраты]]</f>
        <v>2619.4899999999998</v>
      </c>
      <c r="J23" s="357">
        <v>1323.4899999999998</v>
      </c>
      <c r="K23" s="220" t="e">
        <f>VLOOKUP(Таблица37[[#This Row],[Оболочки]],'[3]Расчет себес оболочек'!$A$3:$E$35,5,0)</f>
        <v>#N/A</v>
      </c>
      <c r="N23" s="215" t="s">
        <v>2334</v>
      </c>
      <c r="O23" s="254">
        <v>108</v>
      </c>
    </row>
    <row r="24" spans="1:15" x14ac:dyDescent="0.25">
      <c r="A24" s="221">
        <v>90</v>
      </c>
      <c r="B24" s="350" t="s">
        <v>187</v>
      </c>
      <c r="C24" s="351" t="s">
        <v>655</v>
      </c>
      <c r="D24" s="352" t="s">
        <v>640</v>
      </c>
      <c r="E24" s="353">
        <f t="shared" si="0"/>
        <v>1311.1615999999999</v>
      </c>
      <c r="F24" s="354"/>
      <c r="G24" s="358" t="s">
        <v>2325</v>
      </c>
      <c r="H24" s="359">
        <f>VLOOKUP(A24,Таблы!$O$265:$S$275,5,0)</f>
        <v>1296</v>
      </c>
      <c r="I24" s="356">
        <f>Таблица37[[#This Row],[Цена]]+Таблица37[[#This Row],[Трудозатраты]]</f>
        <v>2607.1615999999999</v>
      </c>
      <c r="J24" s="357">
        <v>1311.1615999999999</v>
      </c>
      <c r="K24" s="220" t="e">
        <f>VLOOKUP(Таблица37[[#This Row],[Оболочки]],'[3]Расчет себес оболочек'!$A$3:$E$35,5,0)</f>
        <v>#N/A</v>
      </c>
      <c r="N24" s="215" t="s">
        <v>2335</v>
      </c>
      <c r="O24" s="254">
        <v>147</v>
      </c>
    </row>
    <row r="25" spans="1:15" x14ac:dyDescent="0.25">
      <c r="A25" s="221">
        <v>90</v>
      </c>
      <c r="B25" s="350" t="s">
        <v>189</v>
      </c>
      <c r="C25" s="351" t="s">
        <v>656</v>
      </c>
      <c r="D25" s="352" t="s">
        <v>640</v>
      </c>
      <c r="E25" s="353">
        <f t="shared" si="0"/>
        <v>1323.4899999999998</v>
      </c>
      <c r="F25" s="354"/>
      <c r="G25" s="358" t="s">
        <v>2324</v>
      </c>
      <c r="H25" s="359">
        <f>VLOOKUP(A25,Таблы!$O$265:$S$275,5,0)</f>
        <v>1296</v>
      </c>
      <c r="I25" s="356">
        <f>Таблица37[[#This Row],[Цена]]+Таблица37[[#This Row],[Трудозатраты]]</f>
        <v>2619.4899999999998</v>
      </c>
      <c r="J25" s="357">
        <v>1323.4899999999998</v>
      </c>
      <c r="K25" s="220" t="e">
        <f>VLOOKUP(Таблица37[[#This Row],[Оболочки]],'[3]Расчет себес оболочек'!$A$3:$E$35,5,0)</f>
        <v>#N/A</v>
      </c>
      <c r="N25" s="215" t="s">
        <v>2336</v>
      </c>
      <c r="O25" s="254">
        <v>252</v>
      </c>
    </row>
    <row r="26" spans="1:15" x14ac:dyDescent="0.25">
      <c r="A26" s="221">
        <v>90</v>
      </c>
      <c r="B26" s="350" t="s">
        <v>190</v>
      </c>
      <c r="C26" s="351" t="s">
        <v>657</v>
      </c>
      <c r="D26" s="352" t="s">
        <v>640</v>
      </c>
      <c r="E26" s="353">
        <f t="shared" si="0"/>
        <v>1311.1615999999999</v>
      </c>
      <c r="F26" s="354"/>
      <c r="G26" s="358" t="s">
        <v>2326</v>
      </c>
      <c r="H26" s="359">
        <f>VLOOKUP(A26,Таблы!$O$265:$S$275,5,0)</f>
        <v>1296</v>
      </c>
      <c r="I26" s="356">
        <f>Таблица37[[#This Row],[Цена]]+Таблица37[[#This Row],[Трудозатраты]]</f>
        <v>2607.1615999999999</v>
      </c>
      <c r="J26" s="357">
        <v>1311.1615999999999</v>
      </c>
      <c r="K26" s="220" t="e">
        <f>VLOOKUP(Таблица37[[#This Row],[Оболочки]],'[3]Расчет себес оболочек'!$A$3:$E$35,5,0)</f>
        <v>#N/A</v>
      </c>
      <c r="N26" s="215" t="s">
        <v>2337</v>
      </c>
      <c r="O26" s="254">
        <v>432</v>
      </c>
    </row>
    <row r="27" spans="1:15" x14ac:dyDescent="0.25">
      <c r="A27" s="221">
        <v>100</v>
      </c>
      <c r="B27" s="350" t="s">
        <v>191</v>
      </c>
      <c r="C27" s="351" t="s">
        <v>658</v>
      </c>
      <c r="D27" s="352" t="s">
        <v>640</v>
      </c>
      <c r="E27" s="353">
        <f t="shared" si="0"/>
        <v>1787.6179999999999</v>
      </c>
      <c r="F27" s="354"/>
      <c r="G27" s="358" t="s">
        <v>2327</v>
      </c>
      <c r="H27" s="359">
        <f>VLOOKUP(A27,Таблы!$O$265:$S$275,5,0)</f>
        <v>1382.3999999999999</v>
      </c>
      <c r="I27" s="356">
        <f>Таблица37[[#This Row],[Цена]]+Таблица37[[#This Row],[Трудозатраты]]</f>
        <v>3170.018</v>
      </c>
      <c r="J27" s="357">
        <v>1787.6179999999999</v>
      </c>
      <c r="K27" s="220" t="e">
        <f>VLOOKUP(Таблица37[[#This Row],[Оболочки]],'[3]Расчет себес оболочек'!$A$3:$E$35,5,0)</f>
        <v>#N/A</v>
      </c>
      <c r="N27" s="215" t="s">
        <v>2338</v>
      </c>
      <c r="O27" s="254">
        <v>462</v>
      </c>
    </row>
    <row r="28" spans="1:15" x14ac:dyDescent="0.25">
      <c r="A28" s="221">
        <v>100</v>
      </c>
      <c r="B28" s="350" t="s">
        <v>193</v>
      </c>
      <c r="C28" s="351" t="s">
        <v>659</v>
      </c>
      <c r="D28" s="352" t="s">
        <v>640</v>
      </c>
      <c r="E28" s="353">
        <f t="shared" si="0"/>
        <v>1943.9503999999999</v>
      </c>
      <c r="F28" s="354"/>
      <c r="G28" s="358" t="s">
        <v>2327</v>
      </c>
      <c r="H28" s="359">
        <f>VLOOKUP(A28,Таблы!$O$265:$S$275,5,0)</f>
        <v>1382.3999999999999</v>
      </c>
      <c r="I28" s="356">
        <f>Таблица37[[#This Row],[Цена]]+Таблица37[[#This Row],[Трудозатраты]]</f>
        <v>3326.3503999999998</v>
      </c>
      <c r="J28" s="357">
        <v>1943.9503999999999</v>
      </c>
      <c r="K28" s="220" t="e">
        <f>VLOOKUP(Таблица37[[#This Row],[Оболочки]],'[3]Расчет себес оболочек'!$A$3:$E$35,5,0)</f>
        <v>#N/A</v>
      </c>
      <c r="N28" s="215" t="s">
        <v>2339</v>
      </c>
      <c r="O28" s="254">
        <v>792</v>
      </c>
    </row>
    <row r="29" spans="1:15" x14ac:dyDescent="0.25">
      <c r="A29" s="221">
        <v>100</v>
      </c>
      <c r="B29" s="350" t="s">
        <v>195</v>
      </c>
      <c r="C29" s="351" t="s">
        <v>660</v>
      </c>
      <c r="D29" s="352" t="s">
        <v>640</v>
      </c>
      <c r="E29" s="353">
        <f t="shared" si="0"/>
        <v>1787.6179999999999</v>
      </c>
      <c r="F29" s="354"/>
      <c r="G29" s="358" t="s">
        <v>2327</v>
      </c>
      <c r="H29" s="359">
        <f>VLOOKUP(A29,Таблы!$O$265:$S$275,5,0)</f>
        <v>1382.3999999999999</v>
      </c>
      <c r="I29" s="356">
        <f>Таблица37[[#This Row],[Цена]]+Таблица37[[#This Row],[Трудозатраты]]</f>
        <v>3170.018</v>
      </c>
      <c r="J29" s="357">
        <v>1787.6179999999999</v>
      </c>
      <c r="K29" s="220" t="e">
        <f>VLOOKUP(Таблица37[[#This Row],[Оболочки]],'[3]Расчет себес оболочек'!$A$3:$E$35,5,0)</f>
        <v>#N/A</v>
      </c>
      <c r="N29" s="215" t="s">
        <v>2340</v>
      </c>
      <c r="O29" s="254">
        <v>1012</v>
      </c>
    </row>
    <row r="30" spans="1:15" x14ac:dyDescent="0.25">
      <c r="A30" s="221">
        <v>100</v>
      </c>
      <c r="B30" s="350" t="s">
        <v>196</v>
      </c>
      <c r="C30" s="351" t="s">
        <v>661</v>
      </c>
      <c r="D30" s="352" t="s">
        <v>640</v>
      </c>
      <c r="E30" s="353">
        <f t="shared" si="0"/>
        <v>1943.9503999999999</v>
      </c>
      <c r="F30" s="354"/>
      <c r="G30" s="358" t="s">
        <v>2327</v>
      </c>
      <c r="H30" s="359">
        <f>VLOOKUP(A30,Таблы!$O$265:$S$275,5,0)</f>
        <v>1382.3999999999999</v>
      </c>
      <c r="I30" s="356">
        <f>Таблица37[[#This Row],[Цена]]+Таблица37[[#This Row],[Трудозатраты]]</f>
        <v>3326.3503999999998</v>
      </c>
      <c r="J30" s="357">
        <v>1943.9503999999999</v>
      </c>
      <c r="K30" s="220" t="e">
        <f>VLOOKUP(Таблица37[[#This Row],[Оболочки]],'[3]Расчет себес оболочек'!$A$3:$E$35,5,0)</f>
        <v>#N/A</v>
      </c>
      <c r="N30" s="215" t="s">
        <v>2341</v>
      </c>
      <c r="O30" s="254">
        <v>1452</v>
      </c>
    </row>
    <row r="31" spans="1:15" x14ac:dyDescent="0.25">
      <c r="B31" s="350" t="s">
        <v>662</v>
      </c>
      <c r="C31" s="351" t="s">
        <v>663</v>
      </c>
      <c r="D31" s="352" t="s">
        <v>640</v>
      </c>
      <c r="E31" s="353">
        <f t="shared" si="0"/>
        <v>73.866800000000012</v>
      </c>
      <c r="F31" s="354"/>
      <c r="G31" s="355"/>
      <c r="H31" s="359"/>
      <c r="I31" s="356">
        <f>Таблица37[[#This Row],[Цена]]+Таблица37[[#This Row],[Трудозатраты]]</f>
        <v>73.866800000000012</v>
      </c>
      <c r="J31" s="357">
        <v>73.866800000000012</v>
      </c>
      <c r="K31" s="220" t="e">
        <f>VLOOKUP(Таблица37[[#This Row],[Оболочки]],'[3]Расчет себес оболочек'!$A$3:$E$35,5,0)</f>
        <v>#N/A</v>
      </c>
      <c r="N31" s="215" t="s">
        <v>2342</v>
      </c>
      <c r="O31" s="254">
        <v>2112</v>
      </c>
    </row>
    <row r="32" spans="1:15" x14ac:dyDescent="0.25">
      <c r="B32" s="350" t="s">
        <v>664</v>
      </c>
      <c r="C32" s="351" t="s">
        <v>665</v>
      </c>
      <c r="D32" s="352" t="s">
        <v>640</v>
      </c>
      <c r="E32" s="353">
        <f t="shared" si="0"/>
        <v>111.5772</v>
      </c>
      <c r="F32" s="354"/>
      <c r="G32" s="355"/>
      <c r="H32" s="359"/>
      <c r="I32" s="356">
        <f>Таблица37[[#This Row],[Цена]]+Таблица37[[#This Row],[Трудозатраты]]</f>
        <v>111.5772</v>
      </c>
      <c r="J32" s="357">
        <v>111.5772</v>
      </c>
      <c r="K32" s="220" t="e">
        <f>VLOOKUP(Таблица37[[#This Row],[Оболочки]],'[3]Расчет себес оболочек'!$A$3:$E$35,5,0)</f>
        <v>#N/A</v>
      </c>
      <c r="N32" s="216" t="s">
        <v>2343</v>
      </c>
      <c r="O32" s="255">
        <v>9.36</v>
      </c>
    </row>
    <row r="33" spans="2:11" x14ac:dyDescent="0.25">
      <c r="B33" s="350" t="s">
        <v>666</v>
      </c>
      <c r="C33" s="351" t="s">
        <v>667</v>
      </c>
      <c r="D33" s="352" t="s">
        <v>640</v>
      </c>
      <c r="E33" s="353">
        <f t="shared" si="0"/>
        <v>113.33840000000002</v>
      </c>
      <c r="F33" s="354"/>
      <c r="G33" s="355"/>
      <c r="H33" s="359"/>
      <c r="I33" s="356">
        <f>Таблица37[[#This Row],[Цена]]+Таблица37[[#This Row],[Трудозатраты]]</f>
        <v>113.33840000000002</v>
      </c>
      <c r="J33" s="357">
        <v>113.33840000000002</v>
      </c>
      <c r="K33" s="220" t="e">
        <f>VLOOKUP(Таблица37[[#This Row],[Оболочки]],'[3]Расчет себес оболочек'!$A$3:$E$35,5,0)</f>
        <v>#N/A</v>
      </c>
    </row>
    <row r="34" spans="2:11" x14ac:dyDescent="0.25">
      <c r="B34" s="350" t="s">
        <v>668</v>
      </c>
      <c r="C34" s="351" t="s">
        <v>669</v>
      </c>
      <c r="D34" s="352" t="s">
        <v>640</v>
      </c>
      <c r="E34" s="353">
        <f t="shared" si="0"/>
        <v>183.16480000000001</v>
      </c>
      <c r="F34" s="354"/>
      <c r="G34" s="355"/>
      <c r="H34" s="359"/>
      <c r="I34" s="356">
        <f>Таблица37[[#This Row],[Цена]]+Таблица37[[#This Row],[Трудозатраты]]</f>
        <v>183.16480000000001</v>
      </c>
      <c r="J34" s="357">
        <v>183.16480000000001</v>
      </c>
      <c r="K34" s="220" t="e">
        <f>VLOOKUP(Таблица37[[#This Row],[Оболочки]],'[3]Расчет себес оболочек'!$A$3:$E$35,5,0)</f>
        <v>#N/A</v>
      </c>
    </row>
    <row r="35" spans="2:11" x14ac:dyDescent="0.25">
      <c r="B35" s="350" t="s">
        <v>670</v>
      </c>
      <c r="C35" s="351" t="s">
        <v>671</v>
      </c>
      <c r="D35" s="352" t="s">
        <v>640</v>
      </c>
      <c r="E35" s="353">
        <f t="shared" si="0"/>
        <v>230.40639999999999</v>
      </c>
      <c r="F35" s="354"/>
      <c r="G35" s="355"/>
      <c r="H35" s="359"/>
      <c r="I35" s="356">
        <f>Таблица37[[#This Row],[Цена]]+Таблица37[[#This Row],[Трудозатраты]]</f>
        <v>230.40639999999999</v>
      </c>
      <c r="J35" s="357">
        <v>230.40639999999999</v>
      </c>
      <c r="K35" s="220" t="e">
        <f>VLOOKUP(Таблица37[[#This Row],[Оболочки]],'[3]Расчет себес оболочек'!$A$3:$E$35,5,0)</f>
        <v>#N/A</v>
      </c>
    </row>
    <row r="36" spans="2:11" x14ac:dyDescent="0.25">
      <c r="B36" s="350" t="s">
        <v>672</v>
      </c>
      <c r="C36" s="351" t="s">
        <v>673</v>
      </c>
      <c r="D36" s="352" t="s">
        <v>640</v>
      </c>
      <c r="E36" s="353">
        <f t="shared" si="0"/>
        <v>407.97680000000003</v>
      </c>
      <c r="F36" s="354"/>
      <c r="G36" s="355"/>
      <c r="H36" s="359"/>
      <c r="I36" s="356">
        <f>Таблица37[[#This Row],[Цена]]+Таблица37[[#This Row],[Трудозатраты]]</f>
        <v>407.97680000000003</v>
      </c>
      <c r="J36" s="357">
        <v>407.97680000000003</v>
      </c>
      <c r="K36" s="220" t="e">
        <f>VLOOKUP(Таблица37[[#This Row],[Оболочки]],'[3]Расчет себес оболочек'!$A$3:$E$35,5,0)</f>
        <v>#N/A</v>
      </c>
    </row>
    <row r="37" spans="2:11" x14ac:dyDescent="0.25">
      <c r="B37" s="350" t="s">
        <v>674</v>
      </c>
      <c r="C37" s="351" t="s">
        <v>675</v>
      </c>
      <c r="D37" s="352" t="s">
        <v>640</v>
      </c>
      <c r="E37" s="353">
        <f t="shared" si="0"/>
        <v>440.09280000000001</v>
      </c>
      <c r="F37" s="354"/>
      <c r="G37" s="355"/>
      <c r="H37" s="359"/>
      <c r="I37" s="356">
        <f>Таблица37[[#This Row],[Цена]]+Таблица37[[#This Row],[Трудозатраты]]</f>
        <v>440.09280000000001</v>
      </c>
      <c r="J37" s="357">
        <v>440.09280000000001</v>
      </c>
      <c r="K37" s="220" t="e">
        <f>VLOOKUP(Таблица37[[#This Row],[Оболочки]],'[3]Расчет себес оболочек'!$A$3:$E$35,5,0)</f>
        <v>#N/A</v>
      </c>
    </row>
    <row r="38" spans="2:11" x14ac:dyDescent="0.25">
      <c r="B38" s="350" t="s">
        <v>676</v>
      </c>
      <c r="C38" s="351" t="s">
        <v>677</v>
      </c>
      <c r="D38" s="352" t="s">
        <v>640</v>
      </c>
      <c r="E38" s="353">
        <f t="shared" si="0"/>
        <v>661.90039999999999</v>
      </c>
      <c r="F38" s="354"/>
      <c r="G38" s="355"/>
      <c r="H38" s="359"/>
      <c r="I38" s="356">
        <f>Таблица37[[#This Row],[Цена]]+Таблица37[[#This Row],[Трудозатраты]]</f>
        <v>661.90039999999999</v>
      </c>
      <c r="J38" s="357">
        <v>661.90039999999999</v>
      </c>
      <c r="K38" s="220" t="e">
        <f>VLOOKUP(Таблица37[[#This Row],[Оболочки]],'[3]Расчет себес оболочек'!$A$3:$E$35,5,0)</f>
        <v>#N/A</v>
      </c>
    </row>
    <row r="39" spans="2:11" x14ac:dyDescent="0.25">
      <c r="B39" s="350" t="s">
        <v>678</v>
      </c>
      <c r="C39" s="351" t="s">
        <v>679</v>
      </c>
      <c r="D39" s="352" t="s">
        <v>640</v>
      </c>
      <c r="E39" s="353">
        <f t="shared" si="0"/>
        <v>1278.0096000000001</v>
      </c>
      <c r="F39" s="354"/>
      <c r="G39" s="355"/>
      <c r="H39" s="359"/>
      <c r="I39" s="356">
        <f>Таблица37[[#This Row],[Цена]]+Таблица37[[#This Row],[Трудозатраты]]</f>
        <v>1278.0096000000001</v>
      </c>
      <c r="J39" s="357">
        <v>1278.0096000000001</v>
      </c>
      <c r="K39" s="220" t="e">
        <f>VLOOKUP(Таблица37[[#This Row],[Оболочки]],'[3]Расчет себес оболочек'!$A$3:$E$35,5,0)</f>
        <v>#N/A</v>
      </c>
    </row>
    <row r="40" spans="2:11" x14ac:dyDescent="0.25">
      <c r="B40" s="350" t="s">
        <v>680</v>
      </c>
      <c r="C40" s="351" t="s">
        <v>681</v>
      </c>
      <c r="D40" s="352" t="s">
        <v>640</v>
      </c>
      <c r="E40" s="353">
        <f t="shared" si="0"/>
        <v>979.12360000000001</v>
      </c>
      <c r="F40" s="354"/>
      <c r="G40" s="355"/>
      <c r="H40" s="359"/>
      <c r="I40" s="356">
        <f>Таблица37[[#This Row],[Цена]]+Таблица37[[#This Row],[Трудозатраты]]</f>
        <v>979.12360000000001</v>
      </c>
      <c r="J40" s="357">
        <v>979.12360000000001</v>
      </c>
      <c r="K40" s="220" t="e">
        <f>VLOOKUP(Таблица37[[#This Row],[Оболочки]],'[3]Расчет себес оболочек'!$A$3:$E$35,5,0)</f>
        <v>#N/A</v>
      </c>
    </row>
    <row r="41" spans="2:11" x14ac:dyDescent="0.25">
      <c r="B41" s="350" t="s">
        <v>682</v>
      </c>
      <c r="C41" s="351" t="s">
        <v>683</v>
      </c>
      <c r="D41" s="352" t="s">
        <v>640</v>
      </c>
      <c r="E41" s="353">
        <f t="shared" si="0"/>
        <v>1569.6436000000001</v>
      </c>
      <c r="F41" s="354"/>
      <c r="G41" s="355"/>
      <c r="H41" s="359"/>
      <c r="I41" s="356">
        <f>Таблица37[[#This Row],[Цена]]+Таблица37[[#This Row],[Трудозатраты]]</f>
        <v>1569.6436000000001</v>
      </c>
      <c r="J41" s="357">
        <v>1569.6436000000001</v>
      </c>
      <c r="K41" s="220" t="e">
        <f>VLOOKUP(Таблица37[[#This Row],[Оболочки]],'[3]Расчет себес оболочек'!$A$3:$E$35,5,0)</f>
        <v>#N/A</v>
      </c>
    </row>
    <row r="42" spans="2:11" x14ac:dyDescent="0.25">
      <c r="B42" s="350" t="s">
        <v>684</v>
      </c>
      <c r="C42" s="351" t="s">
        <v>685</v>
      </c>
      <c r="D42" s="352" t="s">
        <v>640</v>
      </c>
      <c r="E42" s="353">
        <f t="shared" si="0"/>
        <v>1420.356</v>
      </c>
      <c r="F42" s="354"/>
      <c r="G42" s="355"/>
      <c r="H42" s="359"/>
      <c r="I42" s="356">
        <f>Таблица37[[#This Row],[Цена]]+Таблица37[[#This Row],[Трудозатраты]]</f>
        <v>1420.356</v>
      </c>
      <c r="J42" s="357">
        <v>1420.356</v>
      </c>
      <c r="K42" s="220" t="e">
        <f>VLOOKUP(Таблица37[[#This Row],[Оболочки]],'[3]Расчет себес оболочек'!$A$3:$E$35,5,0)</f>
        <v>#N/A</v>
      </c>
    </row>
    <row r="43" spans="2:11" x14ac:dyDescent="0.25">
      <c r="B43" s="350" t="s">
        <v>686</v>
      </c>
      <c r="C43" s="351" t="s">
        <v>687</v>
      </c>
      <c r="D43" s="352" t="s">
        <v>640</v>
      </c>
      <c r="E43" s="353">
        <f t="shared" si="0"/>
        <v>2076.7655999999997</v>
      </c>
      <c r="F43" s="354"/>
      <c r="G43" s="355"/>
      <c r="H43" s="359"/>
      <c r="I43" s="356">
        <f>Таблица37[[#This Row],[Цена]]+Таблица37[[#This Row],[Трудозатраты]]</f>
        <v>2076.7655999999997</v>
      </c>
      <c r="J43" s="357">
        <v>2076.7655999999997</v>
      </c>
      <c r="K43" s="220" t="e">
        <f>VLOOKUP(Таблица37[[#This Row],[Оболочки]],'[3]Расчет себес оболочек'!$A$3:$E$35,5,0)</f>
        <v>#N/A</v>
      </c>
    </row>
    <row r="44" spans="2:11" x14ac:dyDescent="0.25">
      <c r="B44" s="350" t="s">
        <v>688</v>
      </c>
      <c r="C44" s="351" t="s">
        <v>689</v>
      </c>
      <c r="D44" s="352" t="s">
        <v>640</v>
      </c>
      <c r="E44" s="353">
        <f t="shared" si="0"/>
        <v>2131.1556</v>
      </c>
      <c r="F44" s="354"/>
      <c r="G44" s="355"/>
      <c r="H44" s="359"/>
      <c r="I44" s="356">
        <f>Таблица37[[#This Row],[Цена]]+Таблица37[[#This Row],[Трудозатраты]]</f>
        <v>2131.1556</v>
      </c>
      <c r="J44" s="357">
        <v>2131.1556</v>
      </c>
      <c r="K44" s="220" t="e">
        <f>VLOOKUP(Таблица37[[#This Row],[Оболочки]],'[3]Расчет себес оболочек'!$A$3:$E$35,5,0)</f>
        <v>#N/A</v>
      </c>
    </row>
    <row r="45" spans="2:11" x14ac:dyDescent="0.25">
      <c r="B45" s="350" t="s">
        <v>690</v>
      </c>
      <c r="C45" s="351" t="s">
        <v>691</v>
      </c>
      <c r="D45" s="352" t="s">
        <v>640</v>
      </c>
      <c r="E45" s="353">
        <f t="shared" si="0"/>
        <v>74.074000000000012</v>
      </c>
      <c r="F45" s="354"/>
      <c r="G45" s="355"/>
      <c r="H45" s="359"/>
      <c r="I45" s="356">
        <f>Таблица37[[#This Row],[Цена]]+Таблица37[[#This Row],[Трудозатраты]]</f>
        <v>74.074000000000012</v>
      </c>
      <c r="J45" s="357">
        <v>74.074000000000012</v>
      </c>
      <c r="K45" s="220" t="e">
        <f>VLOOKUP(Таблица37[[#This Row],[Оболочки]],'[3]Расчет себес оболочек'!$A$3:$E$35,5,0)</f>
        <v>#N/A</v>
      </c>
    </row>
    <row r="46" spans="2:11" x14ac:dyDescent="0.25">
      <c r="B46" s="350" t="s">
        <v>692</v>
      </c>
      <c r="C46" s="351" t="s">
        <v>693</v>
      </c>
      <c r="D46" s="352" t="s">
        <v>640</v>
      </c>
      <c r="E46" s="353">
        <f t="shared" si="0"/>
        <v>111.88799999999999</v>
      </c>
      <c r="F46" s="354"/>
      <c r="G46" s="355"/>
      <c r="H46" s="359"/>
      <c r="I46" s="356">
        <f>Таблица37[[#This Row],[Цена]]+Таблица37[[#This Row],[Трудозатраты]]</f>
        <v>111.88799999999999</v>
      </c>
      <c r="J46" s="357">
        <v>111.88799999999999</v>
      </c>
      <c r="K46" s="220" t="e">
        <f>VLOOKUP(Таблица37[[#This Row],[Оболочки]],'[3]Расчет себес оболочек'!$A$3:$E$35,5,0)</f>
        <v>#N/A</v>
      </c>
    </row>
    <row r="47" spans="2:11" x14ac:dyDescent="0.25">
      <c r="B47" s="350" t="s">
        <v>694</v>
      </c>
      <c r="C47" s="351" t="s">
        <v>695</v>
      </c>
      <c r="D47" s="352" t="s">
        <v>640</v>
      </c>
      <c r="E47" s="353">
        <f t="shared" si="0"/>
        <v>114.27080000000001</v>
      </c>
      <c r="F47" s="354"/>
      <c r="G47" s="355"/>
      <c r="H47" s="359"/>
      <c r="I47" s="356">
        <f>Таблица37[[#This Row],[Цена]]+Таблица37[[#This Row],[Трудозатраты]]</f>
        <v>114.27080000000001</v>
      </c>
      <c r="J47" s="357">
        <v>114.27080000000001</v>
      </c>
      <c r="K47" s="220" t="e">
        <f>VLOOKUP(Таблица37[[#This Row],[Оболочки]],'[3]Расчет себес оболочек'!$A$3:$E$35,5,0)</f>
        <v>#N/A</v>
      </c>
    </row>
    <row r="48" spans="2:11" x14ac:dyDescent="0.25">
      <c r="B48" s="350" t="s">
        <v>696</v>
      </c>
      <c r="C48" s="351" t="s">
        <v>697</v>
      </c>
      <c r="D48" s="352" t="s">
        <v>640</v>
      </c>
      <c r="E48" s="353">
        <f t="shared" si="0"/>
        <v>185.34039999999999</v>
      </c>
      <c r="F48" s="354"/>
      <c r="G48" s="355"/>
      <c r="H48" s="359"/>
      <c r="I48" s="356">
        <f>Таблица37[[#This Row],[Цена]]+Таблица37[[#This Row],[Трудозатраты]]</f>
        <v>185.34039999999999</v>
      </c>
      <c r="J48" s="357">
        <v>185.34039999999999</v>
      </c>
      <c r="K48" s="220" t="e">
        <f>VLOOKUP(Таблица37[[#This Row],[Оболочки]],'[3]Расчет себес оболочек'!$A$3:$E$35,5,0)</f>
        <v>#N/A</v>
      </c>
    </row>
    <row r="49" spans="2:11" x14ac:dyDescent="0.25">
      <c r="B49" s="350" t="s">
        <v>698</v>
      </c>
      <c r="C49" s="351" t="s">
        <v>699</v>
      </c>
      <c r="D49" s="352" t="s">
        <v>640</v>
      </c>
      <c r="E49" s="353">
        <f t="shared" si="0"/>
        <v>224.50120000000004</v>
      </c>
      <c r="F49" s="354"/>
      <c r="G49" s="355"/>
      <c r="H49" s="359"/>
      <c r="I49" s="356">
        <f>Таблица37[[#This Row],[Цена]]+Таблица37[[#This Row],[Трудозатраты]]</f>
        <v>224.50120000000004</v>
      </c>
      <c r="J49" s="357">
        <v>224.50120000000004</v>
      </c>
      <c r="K49" s="220" t="e">
        <f>VLOOKUP(Таблица37[[#This Row],[Оболочки]],'[3]Расчет себес оболочек'!$A$3:$E$35,5,0)</f>
        <v>#N/A</v>
      </c>
    </row>
    <row r="50" spans="2:11" x14ac:dyDescent="0.25">
      <c r="B50" s="350" t="s">
        <v>700</v>
      </c>
      <c r="C50" s="351" t="s">
        <v>701</v>
      </c>
      <c r="D50" s="352" t="s">
        <v>640</v>
      </c>
      <c r="E50" s="353">
        <f t="shared" si="0"/>
        <v>372.33839999999998</v>
      </c>
      <c r="F50" s="354"/>
      <c r="G50" s="355"/>
      <c r="H50" s="359"/>
      <c r="I50" s="356">
        <f>Таблица37[[#This Row],[Цена]]+Таблица37[[#This Row],[Трудозатраты]]</f>
        <v>372.33839999999998</v>
      </c>
      <c r="J50" s="357">
        <v>372.33839999999998</v>
      </c>
      <c r="K50" s="220" t="e">
        <f>VLOOKUP(Таблица37[[#This Row],[Оболочки]],'[3]Расчет себес оболочек'!$A$3:$E$35,5,0)</f>
        <v>#N/A</v>
      </c>
    </row>
    <row r="51" spans="2:11" x14ac:dyDescent="0.25">
      <c r="B51" s="350" t="s">
        <v>702</v>
      </c>
      <c r="C51" s="351" t="s">
        <v>703</v>
      </c>
      <c r="D51" s="352" t="s">
        <v>640</v>
      </c>
      <c r="E51" s="353">
        <f t="shared" si="0"/>
        <v>404.66160000000008</v>
      </c>
      <c r="F51" s="354"/>
      <c r="G51" s="355"/>
      <c r="H51" s="359"/>
      <c r="I51" s="356">
        <f>Таблица37[[#This Row],[Цена]]+Таблица37[[#This Row],[Трудозатраты]]</f>
        <v>404.66160000000008</v>
      </c>
      <c r="J51" s="357">
        <v>404.66160000000008</v>
      </c>
      <c r="K51" s="220" t="e">
        <f>VLOOKUP(Таблица37[[#This Row],[Оболочки]],'[3]Расчет себес оболочек'!$A$3:$E$35,5,0)</f>
        <v>#N/A</v>
      </c>
    </row>
    <row r="52" spans="2:11" x14ac:dyDescent="0.25">
      <c r="B52" s="350" t="s">
        <v>704</v>
      </c>
      <c r="C52" s="351" t="s">
        <v>705</v>
      </c>
      <c r="D52" s="352" t="s">
        <v>640</v>
      </c>
      <c r="E52" s="353">
        <f t="shared" si="0"/>
        <v>590.62360000000001</v>
      </c>
      <c r="F52" s="354"/>
      <c r="G52" s="355"/>
      <c r="H52" s="359"/>
      <c r="I52" s="356">
        <f>Таблица37[[#This Row],[Цена]]+Таблица37[[#This Row],[Трудозатраты]]</f>
        <v>590.62360000000001</v>
      </c>
      <c r="J52" s="357">
        <v>590.62360000000001</v>
      </c>
      <c r="K52" s="220" t="e">
        <f>VLOOKUP(Таблица37[[#This Row],[Оболочки]],'[3]Расчет себес оболочек'!$A$3:$E$35,5,0)</f>
        <v>#N/A</v>
      </c>
    </row>
    <row r="53" spans="2:11" x14ac:dyDescent="0.25">
      <c r="B53" s="350" t="s">
        <v>706</v>
      </c>
      <c r="C53" s="351" t="s">
        <v>707</v>
      </c>
      <c r="D53" s="352" t="s">
        <v>640</v>
      </c>
      <c r="E53" s="353">
        <f t="shared" si="0"/>
        <v>1099.9212</v>
      </c>
      <c r="F53" s="354"/>
      <c r="G53" s="355"/>
      <c r="H53" s="359"/>
      <c r="I53" s="356">
        <f>Таблица37[[#This Row],[Цена]]+Таблица37[[#This Row],[Трудозатраты]]</f>
        <v>1099.9212</v>
      </c>
      <c r="J53" s="357">
        <v>1099.9212</v>
      </c>
      <c r="K53" s="220" t="e">
        <f>VLOOKUP(Таблица37[[#This Row],[Оболочки]],'[3]Расчет себес оболочек'!$A$3:$E$35,5,0)</f>
        <v>#N/A</v>
      </c>
    </row>
    <row r="54" spans="2:11" x14ac:dyDescent="0.25">
      <c r="B54" s="350" t="s">
        <v>708</v>
      </c>
      <c r="C54" s="351" t="s">
        <v>709</v>
      </c>
      <c r="D54" s="352" t="s">
        <v>640</v>
      </c>
      <c r="E54" s="353">
        <f t="shared" si="0"/>
        <v>909.09000000000015</v>
      </c>
      <c r="F54" s="354"/>
      <c r="G54" s="355"/>
      <c r="H54" s="359"/>
      <c r="I54" s="356">
        <f>Таблица37[[#This Row],[Цена]]+Таблица37[[#This Row],[Трудозатраты]]</f>
        <v>909.09000000000015</v>
      </c>
      <c r="J54" s="357">
        <v>909.09000000000015</v>
      </c>
      <c r="K54" s="220" t="e">
        <f>VLOOKUP(Таблица37[[#This Row],[Оболочки]],'[3]Расчет себес оболочек'!$A$3:$E$35,5,0)</f>
        <v>#N/A</v>
      </c>
    </row>
    <row r="55" spans="2:11" x14ac:dyDescent="0.25">
      <c r="B55" s="350" t="s">
        <v>710</v>
      </c>
      <c r="C55" s="351" t="s">
        <v>711</v>
      </c>
      <c r="D55" s="352" t="s">
        <v>640</v>
      </c>
      <c r="E55" s="353">
        <f t="shared" si="0"/>
        <v>1276.4555999999998</v>
      </c>
      <c r="F55" s="354"/>
      <c r="G55" s="355"/>
      <c r="H55" s="359"/>
      <c r="I55" s="356">
        <f>Таблица37[[#This Row],[Цена]]+Таблица37[[#This Row],[Трудозатраты]]</f>
        <v>1276.4555999999998</v>
      </c>
      <c r="J55" s="357">
        <v>1276.4555999999998</v>
      </c>
      <c r="K55" s="220" t="e">
        <f>VLOOKUP(Таблица37[[#This Row],[Оболочки]],'[3]Расчет себес оболочек'!$A$3:$E$35,5,0)</f>
        <v>#N/A</v>
      </c>
    </row>
    <row r="56" spans="2:11" x14ac:dyDescent="0.25">
      <c r="B56" s="350" t="s">
        <v>712</v>
      </c>
      <c r="C56" s="351" t="s">
        <v>713</v>
      </c>
      <c r="D56" s="352" t="s">
        <v>640</v>
      </c>
      <c r="E56" s="353">
        <f t="shared" si="0"/>
        <v>1264.1271999999999</v>
      </c>
      <c r="F56" s="354"/>
      <c r="G56" s="355"/>
      <c r="H56" s="359"/>
      <c r="I56" s="356">
        <f>Таблица37[[#This Row],[Цена]]+Таблица37[[#This Row],[Трудозатраты]]</f>
        <v>1264.1271999999999</v>
      </c>
      <c r="J56" s="357">
        <v>1264.1271999999999</v>
      </c>
      <c r="K56" s="220" t="e">
        <f>VLOOKUP(Таблица37[[#This Row],[Оболочки]],'[3]Расчет себес оболочек'!$A$3:$E$35,5,0)</f>
        <v>#N/A</v>
      </c>
    </row>
    <row r="57" spans="2:11" x14ac:dyDescent="0.25">
      <c r="B57" s="350" t="s">
        <v>714</v>
      </c>
      <c r="C57" s="351" t="s">
        <v>715</v>
      </c>
      <c r="D57" s="352" t="s">
        <v>640</v>
      </c>
      <c r="E57" s="353">
        <f t="shared" si="0"/>
        <v>1794.4556000000005</v>
      </c>
      <c r="F57" s="354"/>
      <c r="G57" s="355"/>
      <c r="H57" s="359"/>
      <c r="I57" s="356">
        <f>Таблица37[[#This Row],[Цена]]+Таблица37[[#This Row],[Трудозатраты]]</f>
        <v>1794.4556000000005</v>
      </c>
      <c r="J57" s="357">
        <v>1794.4556000000005</v>
      </c>
      <c r="K57" s="220" t="e">
        <f>VLOOKUP(Таблица37[[#This Row],[Оболочки]],'[3]Расчет себес оболочек'!$A$3:$E$35,5,0)</f>
        <v>#N/A</v>
      </c>
    </row>
    <row r="58" spans="2:11" x14ac:dyDescent="0.25">
      <c r="B58" s="350" t="s">
        <v>716</v>
      </c>
      <c r="C58" s="351" t="s">
        <v>717</v>
      </c>
      <c r="D58" s="352" t="s">
        <v>640</v>
      </c>
      <c r="E58" s="353">
        <f t="shared" si="0"/>
        <v>1950.7879999999996</v>
      </c>
      <c r="F58" s="354"/>
      <c r="G58" s="355"/>
      <c r="H58" s="359"/>
      <c r="I58" s="356">
        <f>Таблица37[[#This Row],[Цена]]+Таблица37[[#This Row],[Трудозатраты]]</f>
        <v>1950.7879999999996</v>
      </c>
      <c r="J58" s="357">
        <v>1950.7879999999996</v>
      </c>
      <c r="K58" s="220" t="e">
        <f>VLOOKUP(Таблица37[[#This Row],[Оболочки]],'[3]Расчет себес оболочек'!$A$3:$E$35,5,0)</f>
        <v>#N/A</v>
      </c>
    </row>
    <row r="59" spans="2:11" x14ac:dyDescent="0.25">
      <c r="B59" s="350" t="s">
        <v>718</v>
      </c>
      <c r="C59" s="351" t="s">
        <v>719</v>
      </c>
      <c r="D59" s="352" t="s">
        <v>640</v>
      </c>
      <c r="E59" s="353">
        <f t="shared" si="0"/>
        <v>147.93280000000004</v>
      </c>
      <c r="F59" s="354"/>
      <c r="G59" s="358" t="s">
        <v>2314</v>
      </c>
      <c r="H59" s="359"/>
      <c r="I59" s="356">
        <f>Таблица37[[#This Row],[Цена]]+Таблица37[[#This Row],[Трудозатраты]]</f>
        <v>147.93280000000004</v>
      </c>
      <c r="J59" s="357">
        <v>147.93280000000004</v>
      </c>
      <c r="K59" s="220" t="e">
        <f>VLOOKUP(Таблица37[[#This Row],[Оболочки]],'[3]Расчет себес оболочек'!$A$3:$E$35,5,0)</f>
        <v>#N/A</v>
      </c>
    </row>
    <row r="60" spans="2:11" x14ac:dyDescent="0.25">
      <c r="B60" s="350" t="s">
        <v>720</v>
      </c>
      <c r="C60" s="351" t="s">
        <v>721</v>
      </c>
      <c r="D60" s="352" t="s">
        <v>640</v>
      </c>
      <c r="E60" s="353">
        <f t="shared" si="0"/>
        <v>176.73360000000002</v>
      </c>
      <c r="F60" s="354"/>
      <c r="G60" s="358" t="s">
        <v>2315</v>
      </c>
      <c r="H60" s="359"/>
      <c r="I60" s="356">
        <f>Таблица37[[#This Row],[Цена]]+Таблица37[[#This Row],[Трудозатраты]]</f>
        <v>176.73360000000002</v>
      </c>
      <c r="J60" s="357">
        <v>176.73360000000002</v>
      </c>
      <c r="K60" s="220" t="e">
        <f>VLOOKUP(Таблица37[[#This Row],[Оболочки]],'[3]Расчет себес оболочек'!$A$3:$E$35,5,0)</f>
        <v>#N/A</v>
      </c>
    </row>
    <row r="61" spans="2:11" x14ac:dyDescent="0.25">
      <c r="B61" s="350" t="s">
        <v>722</v>
      </c>
      <c r="C61" s="351" t="s">
        <v>723</v>
      </c>
      <c r="D61" s="352" t="s">
        <v>640</v>
      </c>
      <c r="E61" s="353">
        <f t="shared" si="0"/>
        <v>181.49920000000003</v>
      </c>
      <c r="F61" s="354"/>
      <c r="G61" s="358" t="s">
        <v>2316</v>
      </c>
      <c r="H61" s="359"/>
      <c r="I61" s="356">
        <f>Таблица37[[#This Row],[Цена]]+Таблица37[[#This Row],[Трудозатраты]]</f>
        <v>181.49920000000003</v>
      </c>
      <c r="J61" s="357">
        <v>181.49920000000003</v>
      </c>
      <c r="K61" s="220" t="e">
        <f>VLOOKUP(Таблица37[[#This Row],[Оболочки]],'[3]Расчет себес оболочек'!$A$3:$E$35,5,0)</f>
        <v>#N/A</v>
      </c>
    </row>
    <row r="62" spans="2:11" x14ac:dyDescent="0.25">
      <c r="B62" s="350" t="s">
        <v>724</v>
      </c>
      <c r="C62" s="351" t="s">
        <v>725</v>
      </c>
      <c r="D62" s="352" t="s">
        <v>640</v>
      </c>
      <c r="E62" s="353">
        <f t="shared" si="0"/>
        <v>198.3791333333333</v>
      </c>
      <c r="F62" s="354"/>
      <c r="G62" s="358" t="s">
        <v>2316</v>
      </c>
      <c r="H62" s="359"/>
      <c r="I62" s="356">
        <f>Таблица37[[#This Row],[Цена]]+Таблица37[[#This Row],[Трудозатраты]]</f>
        <v>198.3791333333333</v>
      </c>
      <c r="J62" s="357">
        <v>198.3791333333333</v>
      </c>
      <c r="K62" s="220" t="e">
        <f>VLOOKUP(Таблица37[[#This Row],[Оболочки]],'[3]Расчет себес оболочек'!$A$3:$E$35,5,0)</f>
        <v>#N/A</v>
      </c>
    </row>
    <row r="63" spans="2:11" x14ac:dyDescent="0.25">
      <c r="B63" s="350" t="s">
        <v>726</v>
      </c>
      <c r="C63" s="351" t="s">
        <v>727</v>
      </c>
      <c r="D63" s="352" t="s">
        <v>640</v>
      </c>
      <c r="E63" s="353">
        <f t="shared" si="0"/>
        <v>246.9314</v>
      </c>
      <c r="F63" s="354"/>
      <c r="G63" s="358" t="s">
        <v>2316</v>
      </c>
      <c r="H63" s="359"/>
      <c r="I63" s="356">
        <f>Таблица37[[#This Row],[Цена]]+Таблица37[[#This Row],[Трудозатраты]]</f>
        <v>246.9314</v>
      </c>
      <c r="J63" s="357">
        <v>246.9314</v>
      </c>
      <c r="K63" s="220" t="e">
        <f>VLOOKUP(Таблица37[[#This Row],[Оболочки]],'[3]Расчет себес оболочек'!$A$3:$E$35,5,0)</f>
        <v>#N/A</v>
      </c>
    </row>
    <row r="64" spans="2:11" x14ac:dyDescent="0.25">
      <c r="B64" s="350" t="s">
        <v>728</v>
      </c>
      <c r="C64" s="351" t="s">
        <v>729</v>
      </c>
      <c r="D64" s="352" t="s">
        <v>640</v>
      </c>
      <c r="E64" s="353">
        <f t="shared" si="0"/>
        <v>253.50120000000004</v>
      </c>
      <c r="F64" s="354"/>
      <c r="G64" s="358" t="s">
        <v>2317</v>
      </c>
      <c r="H64" s="359"/>
      <c r="I64" s="356">
        <f>Таблица37[[#This Row],[Цена]]+Таблица37[[#This Row],[Трудозатраты]]</f>
        <v>253.50120000000004</v>
      </c>
      <c r="J64" s="357">
        <v>253.50120000000004</v>
      </c>
      <c r="K64" s="220" t="e">
        <f>VLOOKUP(Таблица37[[#This Row],[Оболочки]],'[3]Расчет себес оболочек'!$A$3:$E$35,5,0)</f>
        <v>#N/A</v>
      </c>
    </row>
    <row r="65" spans="2:16" x14ac:dyDescent="0.25">
      <c r="B65" s="350" t="s">
        <v>730</v>
      </c>
      <c r="C65" s="351" t="s">
        <v>731</v>
      </c>
      <c r="D65" s="352" t="s">
        <v>640</v>
      </c>
      <c r="E65" s="353">
        <f t="shared" si="0"/>
        <v>274.00713333333334</v>
      </c>
      <c r="F65" s="354"/>
      <c r="G65" s="358" t="s">
        <v>2317</v>
      </c>
      <c r="H65" s="359"/>
      <c r="I65" s="356">
        <f>Таблица37[[#This Row],[Цена]]+Таблица37[[#This Row],[Трудозатраты]]</f>
        <v>274.00713333333334</v>
      </c>
      <c r="J65" s="357">
        <v>274.00713333333334</v>
      </c>
      <c r="K65" s="220" t="e">
        <f>VLOOKUP(Таблица37[[#This Row],[Оболочки]],'[3]Расчет себес оболочек'!$A$3:$E$35,5,0)</f>
        <v>#N/A</v>
      </c>
    </row>
    <row r="66" spans="2:16" x14ac:dyDescent="0.25">
      <c r="B66" s="350" t="s">
        <v>732</v>
      </c>
      <c r="C66" s="351" t="s">
        <v>733</v>
      </c>
      <c r="D66" s="352" t="s">
        <v>640</v>
      </c>
      <c r="E66" s="353">
        <f t="shared" si="0"/>
        <v>300.28539999999998</v>
      </c>
      <c r="F66" s="354"/>
      <c r="G66" s="358" t="s">
        <v>2317</v>
      </c>
      <c r="H66" s="359"/>
      <c r="I66" s="356">
        <f>Таблица37[[#This Row],[Цена]]+Таблица37[[#This Row],[Трудозатраты]]</f>
        <v>300.28539999999998</v>
      </c>
      <c r="J66" s="357">
        <v>300.28539999999998</v>
      </c>
      <c r="K66" s="220" t="e">
        <f>VLOOKUP(Таблица37[[#This Row],[Оболочки]],'[3]Расчет себес оболочек'!$A$3:$E$35,5,0)</f>
        <v>#N/A</v>
      </c>
    </row>
    <row r="67" spans="2:16" x14ac:dyDescent="0.25">
      <c r="B67" s="350" t="s">
        <v>734</v>
      </c>
      <c r="C67" s="351" t="s">
        <v>735</v>
      </c>
      <c r="D67" s="352" t="s">
        <v>640</v>
      </c>
      <c r="E67" s="353">
        <f t="shared" si="0"/>
        <v>385.42060000000004</v>
      </c>
      <c r="F67" s="354"/>
      <c r="G67" s="358" t="s">
        <v>2317</v>
      </c>
      <c r="H67" s="359"/>
      <c r="I67" s="356">
        <f>Таблица37[[#This Row],[Цена]]+Таблица37[[#This Row],[Трудозатраты]]</f>
        <v>385.42060000000004</v>
      </c>
      <c r="J67" s="357">
        <v>385.42060000000004</v>
      </c>
      <c r="K67" s="220" t="e">
        <f>VLOOKUP(Таблица37[[#This Row],[Оболочки]],'[3]Расчет себес оболочек'!$A$3:$E$35,5,0)</f>
        <v>#N/A</v>
      </c>
    </row>
    <row r="68" spans="2:16" x14ac:dyDescent="0.25">
      <c r="B68" s="350" t="s">
        <v>736</v>
      </c>
      <c r="C68" s="351" t="s">
        <v>737</v>
      </c>
      <c r="D68" s="352" t="s">
        <v>640</v>
      </c>
      <c r="E68" s="353">
        <f t="shared" si="0"/>
        <v>349.49540000000002</v>
      </c>
      <c r="F68" s="354"/>
      <c r="G68" s="358" t="s">
        <v>2318</v>
      </c>
      <c r="H68" s="359"/>
      <c r="I68" s="356">
        <f>Таблица37[[#This Row],[Цена]]+Таблица37[[#This Row],[Трудозатраты]]</f>
        <v>349.49540000000002</v>
      </c>
      <c r="J68" s="357">
        <v>349.49540000000002</v>
      </c>
      <c r="K68" s="220" t="e">
        <f>VLOOKUP(Таблица37[[#This Row],[Оболочки]],'[3]Расчет себес оболочек'!$A$3:$E$35,5,0)</f>
        <v>#N/A</v>
      </c>
    </row>
    <row r="69" spans="2:16" x14ac:dyDescent="0.25">
      <c r="B69" s="350" t="s">
        <v>738</v>
      </c>
      <c r="C69" s="351" t="s">
        <v>739</v>
      </c>
      <c r="D69" s="352" t="s">
        <v>640</v>
      </c>
      <c r="E69" s="353">
        <f t="shared" si="0"/>
        <v>445.61220000000009</v>
      </c>
      <c r="F69" s="354"/>
      <c r="G69" s="358" t="s">
        <v>2318</v>
      </c>
      <c r="H69" s="359"/>
      <c r="I69" s="356">
        <f>Таблица37[[#This Row],[Цена]]+Таблица37[[#This Row],[Трудозатраты]]</f>
        <v>445.61220000000009</v>
      </c>
      <c r="J69" s="357">
        <v>445.61220000000009</v>
      </c>
      <c r="K69" s="220" t="e">
        <f>VLOOKUP(Таблица37[[#This Row],[Оболочки]],'[3]Расчет себес оболочек'!$A$3:$E$35,5,0)</f>
        <v>#N/A</v>
      </c>
    </row>
    <row r="70" spans="2:16" x14ac:dyDescent="0.25">
      <c r="B70" s="350" t="s">
        <v>740</v>
      </c>
      <c r="C70" s="351" t="s">
        <v>741</v>
      </c>
      <c r="D70" s="352" t="s">
        <v>640</v>
      </c>
      <c r="E70" s="353">
        <f t="shared" si="0"/>
        <v>536.36580000000004</v>
      </c>
      <c r="F70" s="354"/>
      <c r="G70" s="358" t="s">
        <v>2319</v>
      </c>
      <c r="H70" s="359"/>
      <c r="I70" s="356">
        <f>Таблица37[[#This Row],[Цена]]+Таблица37[[#This Row],[Трудозатраты]]</f>
        <v>536.36580000000004</v>
      </c>
      <c r="J70" s="357">
        <v>536.36580000000004</v>
      </c>
      <c r="K70" s="220" t="e">
        <f>VLOOKUP(Таблица37[[#This Row],[Оболочки]],'[3]Расчет себес оболочек'!$A$3:$E$35,5,0)</f>
        <v>#N/A</v>
      </c>
    </row>
    <row r="71" spans="2:16" x14ac:dyDescent="0.25">
      <c r="B71" s="350" t="s">
        <v>742</v>
      </c>
      <c r="C71" s="351" t="s">
        <v>743</v>
      </c>
      <c r="D71" s="352" t="s">
        <v>640</v>
      </c>
      <c r="E71" s="353">
        <f t="shared" si="0"/>
        <v>581.7732666666667</v>
      </c>
      <c r="F71" s="354"/>
      <c r="G71" s="358" t="s">
        <v>2319</v>
      </c>
      <c r="H71" s="359"/>
      <c r="I71" s="356">
        <f>Таблица37[[#This Row],[Цена]]+Таблица37[[#This Row],[Трудозатраты]]</f>
        <v>581.7732666666667</v>
      </c>
      <c r="J71" s="357">
        <v>581.7732666666667</v>
      </c>
      <c r="K71" s="220" t="e">
        <f>VLOOKUP(Таблица37[[#This Row],[Оболочки]],'[3]Расчет себес оболочек'!$A$3:$E$35,5,0)</f>
        <v>#N/A</v>
      </c>
      <c r="N71" s="217"/>
      <c r="O71" s="219"/>
      <c r="P71" s="218"/>
    </row>
    <row r="72" spans="2:16" x14ac:dyDescent="0.25">
      <c r="B72" s="350" t="s">
        <v>744</v>
      </c>
      <c r="C72" s="351" t="s">
        <v>745</v>
      </c>
      <c r="D72" s="352" t="s">
        <v>640</v>
      </c>
      <c r="E72" s="353">
        <f t="shared" si="0"/>
        <v>726.51313333333337</v>
      </c>
      <c r="F72" s="354"/>
      <c r="G72" s="358" t="s">
        <v>2319</v>
      </c>
      <c r="H72" s="359"/>
      <c r="I72" s="356">
        <f>Таблица37[[#This Row],[Цена]]+Таблица37[[#This Row],[Трудозатраты]]</f>
        <v>726.51313333333337</v>
      </c>
      <c r="J72" s="357">
        <v>726.51313333333337</v>
      </c>
      <c r="K72" s="220" t="e">
        <f>VLOOKUP(Таблица37[[#This Row],[Оболочки]],'[3]Расчет себес оболочек'!$A$3:$E$35,5,0)</f>
        <v>#N/A</v>
      </c>
      <c r="N72" s="217"/>
      <c r="O72" s="219"/>
      <c r="P72" s="218"/>
    </row>
    <row r="73" spans="2:16" x14ac:dyDescent="0.25">
      <c r="B73" s="350" t="s">
        <v>746</v>
      </c>
      <c r="C73" s="351" t="s">
        <v>747</v>
      </c>
      <c r="D73" s="352" t="s">
        <v>640</v>
      </c>
      <c r="E73" s="353">
        <f t="shared" si="0"/>
        <v>674.80606666666677</v>
      </c>
      <c r="F73" s="354"/>
      <c r="G73" s="358" t="s">
        <v>2320</v>
      </c>
      <c r="H73" s="359"/>
      <c r="I73" s="356">
        <f>Таблица37[[#This Row],[Цена]]+Таблица37[[#This Row],[Трудозатраты]]</f>
        <v>674.80606666666677</v>
      </c>
      <c r="J73" s="357">
        <v>674.80606666666677</v>
      </c>
      <c r="K73" s="220" t="e">
        <f>VLOOKUP(Таблица37[[#This Row],[Оболочки]],'[3]Расчет себес оболочек'!$A$3:$E$35,5,0)</f>
        <v>#N/A</v>
      </c>
      <c r="N73" s="217"/>
      <c r="O73" s="219"/>
      <c r="P73" s="218"/>
    </row>
    <row r="74" spans="2:16" x14ac:dyDescent="0.25">
      <c r="B74" s="350" t="s">
        <v>748</v>
      </c>
      <c r="C74" s="351" t="s">
        <v>749</v>
      </c>
      <c r="D74" s="352" t="s">
        <v>640</v>
      </c>
      <c r="E74" s="353">
        <f t="shared" si="0"/>
        <v>780.5923333333335</v>
      </c>
      <c r="F74" s="354"/>
      <c r="G74" s="358" t="s">
        <v>2320</v>
      </c>
      <c r="H74" s="359"/>
      <c r="I74" s="356">
        <f>Таблица37[[#This Row],[Цена]]+Таблица37[[#This Row],[Трудозатраты]]</f>
        <v>780.5923333333335</v>
      </c>
      <c r="J74" s="357">
        <v>780.5923333333335</v>
      </c>
      <c r="K74" s="220" t="e">
        <f>VLOOKUP(Таблица37[[#This Row],[Оболочки]],'[3]Расчет себес оболочек'!$A$3:$E$35,5,0)</f>
        <v>#N/A</v>
      </c>
      <c r="N74" s="217"/>
      <c r="O74" s="219"/>
      <c r="P74" s="218"/>
    </row>
    <row r="75" spans="2:16" x14ac:dyDescent="0.25">
      <c r="B75" s="350" t="s">
        <v>750</v>
      </c>
      <c r="C75" s="351" t="s">
        <v>751</v>
      </c>
      <c r="D75" s="352" t="s">
        <v>640</v>
      </c>
      <c r="E75" s="353">
        <f t="shared" si="0"/>
        <v>1010.0663333333332</v>
      </c>
      <c r="F75" s="354"/>
      <c r="G75" s="358" t="s">
        <v>2321</v>
      </c>
      <c r="H75" s="359"/>
      <c r="I75" s="356">
        <f>Таблица37[[#This Row],[Цена]]+Таблица37[[#This Row],[Трудозатраты]]</f>
        <v>1010.0663333333332</v>
      </c>
      <c r="J75" s="357">
        <v>1010.0663333333332</v>
      </c>
      <c r="K75" s="220" t="e">
        <f>VLOOKUP(Таблица37[[#This Row],[Оболочки]],'[3]Расчет себес оболочек'!$A$3:$E$35,5,0)</f>
        <v>#N/A</v>
      </c>
      <c r="N75" s="217"/>
      <c r="O75" s="219"/>
      <c r="P75" s="218"/>
    </row>
    <row r="76" spans="2:16" x14ac:dyDescent="0.25">
      <c r="B76" s="350" t="s">
        <v>752</v>
      </c>
      <c r="C76" s="351" t="s">
        <v>753</v>
      </c>
      <c r="D76" s="352" t="s">
        <v>640</v>
      </c>
      <c r="E76" s="353">
        <f t="shared" si="0"/>
        <v>0</v>
      </c>
      <c r="F76" s="354"/>
      <c r="G76" s="358" t="s">
        <v>2321</v>
      </c>
      <c r="H76" s="359"/>
      <c r="I76" s="356">
        <f>Таблица37[[#This Row],[Цена]]+Таблица37[[#This Row],[Трудозатраты]]</f>
        <v>0</v>
      </c>
      <c r="J76" s="357"/>
      <c r="K76" s="220" t="e">
        <f>VLOOKUP(Таблица37[[#This Row],[Оболочки]],'[3]Расчет себес оболочек'!$A$3:$E$35,5,0)</f>
        <v>#N/A</v>
      </c>
      <c r="N76" s="217"/>
      <c r="O76" s="219"/>
      <c r="P76" s="218"/>
    </row>
    <row r="77" spans="2:16" x14ac:dyDescent="0.25">
      <c r="B77" s="350" t="s">
        <v>754</v>
      </c>
      <c r="C77" s="351" t="s">
        <v>755</v>
      </c>
      <c r="D77" s="352" t="s">
        <v>640</v>
      </c>
      <c r="E77" s="353">
        <f t="shared" si="0"/>
        <v>151.24800000000005</v>
      </c>
      <c r="F77" s="354"/>
      <c r="G77" s="355"/>
      <c r="H77" s="359"/>
      <c r="I77" s="356">
        <f>Таблица37[[#This Row],[Цена]]+Таблица37[[#This Row],[Трудозатраты]]</f>
        <v>151.24800000000005</v>
      </c>
      <c r="J77" s="357">
        <v>151.24800000000005</v>
      </c>
      <c r="K77" s="220" t="e">
        <f>VLOOKUP(Таблица37[[#This Row],[Оболочки]],'[3]Расчет себес оболочек'!$A$3:$E$35,5,0)</f>
        <v>#N/A</v>
      </c>
      <c r="N77" s="217"/>
      <c r="O77" s="219"/>
      <c r="P77" s="218"/>
    </row>
    <row r="78" spans="2:16" x14ac:dyDescent="0.25">
      <c r="B78" s="350" t="s">
        <v>756</v>
      </c>
      <c r="C78" s="351" t="s">
        <v>757</v>
      </c>
      <c r="D78" s="352" t="s">
        <v>640</v>
      </c>
      <c r="E78" s="353">
        <f t="shared" si="0"/>
        <v>178.9092</v>
      </c>
      <c r="F78" s="354"/>
      <c r="G78" s="355"/>
      <c r="H78" s="359"/>
      <c r="I78" s="356">
        <f>Таблица37[[#This Row],[Цена]]+Таблица37[[#This Row],[Трудозатраты]]</f>
        <v>178.9092</v>
      </c>
      <c r="J78" s="357">
        <v>178.9092</v>
      </c>
      <c r="K78" s="220" t="e">
        <f>VLOOKUP(Таблица37[[#This Row],[Оболочки]],'[3]Расчет себес оболочек'!$A$3:$E$35,5,0)</f>
        <v>#N/A</v>
      </c>
      <c r="N78" s="217"/>
      <c r="O78" s="219"/>
      <c r="P78" s="218"/>
    </row>
    <row r="79" spans="2:16" x14ac:dyDescent="0.25">
      <c r="B79" s="350" t="s">
        <v>758</v>
      </c>
      <c r="C79" s="351" t="s">
        <v>759</v>
      </c>
      <c r="D79" s="352" t="s">
        <v>640</v>
      </c>
      <c r="E79" s="353">
        <f t="shared" si="0"/>
        <v>185.12520000000001</v>
      </c>
      <c r="F79" s="354"/>
      <c r="G79" s="355"/>
      <c r="H79" s="359"/>
      <c r="I79" s="356">
        <f>Таблица37[[#This Row],[Цена]]+Таблица37[[#This Row],[Трудозатраты]]</f>
        <v>185.12520000000001</v>
      </c>
      <c r="J79" s="357">
        <v>185.12520000000001</v>
      </c>
      <c r="K79" s="220" t="e">
        <f>VLOOKUP(Таблица37[[#This Row],[Оболочки]],'[3]Расчет себес оболочек'!$A$3:$E$35,5,0)</f>
        <v>#N/A</v>
      </c>
      <c r="N79" s="217"/>
      <c r="O79" s="219"/>
      <c r="P79" s="218"/>
    </row>
    <row r="80" spans="2:16" x14ac:dyDescent="0.25">
      <c r="B80" s="350" t="s">
        <v>760</v>
      </c>
      <c r="C80" s="351" t="s">
        <v>761</v>
      </c>
      <c r="D80" s="352" t="s">
        <v>640</v>
      </c>
      <c r="E80" s="353">
        <f t="shared" si="0"/>
        <v>202.00513333333333</v>
      </c>
      <c r="F80" s="354"/>
      <c r="G80" s="355"/>
      <c r="H80" s="359"/>
      <c r="I80" s="356">
        <f>Таблица37[[#This Row],[Цена]]+Таблица37[[#This Row],[Трудозатраты]]</f>
        <v>202.00513333333333</v>
      </c>
      <c r="J80" s="357">
        <v>202.00513333333333</v>
      </c>
      <c r="K80" s="220" t="e">
        <f>VLOOKUP(Таблица37[[#This Row],[Оболочки]],'[3]Расчет себес оболочек'!$A$3:$E$35,5,0)</f>
        <v>#N/A</v>
      </c>
      <c r="N80" s="217"/>
      <c r="O80" s="219"/>
      <c r="P80" s="218"/>
    </row>
    <row r="81" spans="2:16" x14ac:dyDescent="0.25">
      <c r="B81" s="350" t="s">
        <v>762</v>
      </c>
      <c r="C81" s="351" t="s">
        <v>763</v>
      </c>
      <c r="D81" s="352" t="s">
        <v>640</v>
      </c>
      <c r="E81" s="353">
        <f t="shared" si="0"/>
        <v>250.5574</v>
      </c>
      <c r="F81" s="354"/>
      <c r="G81" s="355"/>
      <c r="H81" s="359"/>
      <c r="I81" s="356">
        <f>Таблица37[[#This Row],[Цена]]+Таблица37[[#This Row],[Трудозатраты]]</f>
        <v>250.5574</v>
      </c>
      <c r="J81" s="357">
        <v>250.5574</v>
      </c>
      <c r="K81" s="220" t="e">
        <f>VLOOKUP(Таблица37[[#This Row],[Оболочки]],'[3]Расчет себес оболочек'!$A$3:$E$35,5,0)</f>
        <v>#N/A</v>
      </c>
      <c r="N81" s="217"/>
      <c r="O81" s="219"/>
      <c r="P81" s="218"/>
    </row>
    <row r="82" spans="2:16" x14ac:dyDescent="0.25">
      <c r="B82" s="350" t="s">
        <v>764</v>
      </c>
      <c r="C82" s="351" t="s">
        <v>765</v>
      </c>
      <c r="D82" s="352" t="s">
        <v>640</v>
      </c>
      <c r="E82" s="353">
        <f t="shared" si="0"/>
        <v>260.23520000000008</v>
      </c>
      <c r="F82" s="354"/>
      <c r="G82" s="355"/>
      <c r="H82" s="359"/>
      <c r="I82" s="356">
        <f>Таблица37[[#This Row],[Цена]]+Таблица37[[#This Row],[Трудозатраты]]</f>
        <v>260.23520000000008</v>
      </c>
      <c r="J82" s="357">
        <v>260.23520000000008</v>
      </c>
      <c r="K82" s="220" t="e">
        <f>VLOOKUP(Таблица37[[#This Row],[Оболочки]],'[3]Расчет себес оболочек'!$A$3:$E$35,5,0)</f>
        <v>#N/A</v>
      </c>
    </row>
    <row r="83" spans="2:16" x14ac:dyDescent="0.25">
      <c r="B83" s="350" t="s">
        <v>766</v>
      </c>
      <c r="C83" s="351" t="s">
        <v>767</v>
      </c>
      <c r="D83" s="352" t="s">
        <v>640</v>
      </c>
      <c r="E83" s="353">
        <f t="shared" si="0"/>
        <v>280.74113333333327</v>
      </c>
      <c r="F83" s="354"/>
      <c r="G83" s="355"/>
      <c r="H83" s="359"/>
      <c r="I83" s="356">
        <f>Таблица37[[#This Row],[Цена]]+Таблица37[[#This Row],[Трудозатраты]]</f>
        <v>280.74113333333327</v>
      </c>
      <c r="J83" s="357">
        <v>280.74113333333327</v>
      </c>
      <c r="K83" s="220" t="e">
        <f>VLOOKUP(Таблица37[[#This Row],[Оболочки]],'[3]Расчет себес оболочек'!$A$3:$E$35,5,0)</f>
        <v>#N/A</v>
      </c>
    </row>
    <row r="84" spans="2:16" x14ac:dyDescent="0.25">
      <c r="B84" s="350" t="s">
        <v>768</v>
      </c>
      <c r="C84" s="351" t="s">
        <v>769</v>
      </c>
      <c r="D84" s="352" t="s">
        <v>640</v>
      </c>
      <c r="E84" s="353">
        <f t="shared" si="0"/>
        <v>307.01940000000002</v>
      </c>
      <c r="F84" s="354"/>
      <c r="G84" s="355"/>
      <c r="H84" s="359"/>
      <c r="I84" s="356">
        <f>Таблица37[[#This Row],[Цена]]+Таблица37[[#This Row],[Трудозатраты]]</f>
        <v>307.01940000000002</v>
      </c>
      <c r="J84" s="357">
        <v>307.01940000000002</v>
      </c>
      <c r="K84" s="220" t="e">
        <f>VLOOKUP(Таблица37[[#This Row],[Оболочки]],'[3]Расчет себес оболочек'!$A$3:$E$35,5,0)</f>
        <v>#N/A</v>
      </c>
    </row>
    <row r="85" spans="2:16" x14ac:dyDescent="0.25">
      <c r="B85" s="350" t="s">
        <v>770</v>
      </c>
      <c r="C85" s="351" t="s">
        <v>771</v>
      </c>
      <c r="D85" s="352" t="s">
        <v>640</v>
      </c>
      <c r="E85" s="353">
        <f t="shared" si="0"/>
        <v>392.15460000000002</v>
      </c>
      <c r="F85" s="354"/>
      <c r="G85" s="355"/>
      <c r="H85" s="359"/>
      <c r="I85" s="356">
        <f>Таблица37[[#This Row],[Цена]]+Таблица37[[#This Row],[Трудозатраты]]</f>
        <v>392.15460000000002</v>
      </c>
      <c r="J85" s="357">
        <v>392.15460000000002</v>
      </c>
      <c r="K85" s="220" t="e">
        <f>VLOOKUP(Таблица37[[#This Row],[Оболочки]],'[3]Расчет себес оболочек'!$A$3:$E$35,5,0)</f>
        <v>#N/A</v>
      </c>
    </row>
    <row r="86" spans="2:16" x14ac:dyDescent="0.25">
      <c r="B86" s="350" t="s">
        <v>772</v>
      </c>
      <c r="C86" s="351" t="s">
        <v>773</v>
      </c>
      <c r="D86" s="352" t="s">
        <v>640</v>
      </c>
      <c r="E86" s="353">
        <f t="shared" ref="E86:E112" si="1">J86</f>
        <v>364.93180000000007</v>
      </c>
      <c r="F86" s="354"/>
      <c r="G86" s="355"/>
      <c r="H86" s="359"/>
      <c r="I86" s="356">
        <f>Таблица37[[#This Row],[Цена]]+Таблица37[[#This Row],[Трудозатраты]]</f>
        <v>364.93180000000007</v>
      </c>
      <c r="J86" s="357">
        <v>364.93180000000007</v>
      </c>
      <c r="K86" s="220" t="e">
        <f>VLOOKUP(Таблица37[[#This Row],[Оболочки]],'[3]Расчет себес оболочек'!$A$3:$E$35,5,0)</f>
        <v>#N/A</v>
      </c>
    </row>
    <row r="87" spans="2:16" x14ac:dyDescent="0.25">
      <c r="B87" s="350" t="s">
        <v>774</v>
      </c>
      <c r="C87" s="351" t="s">
        <v>775</v>
      </c>
      <c r="D87" s="352" t="s">
        <v>640</v>
      </c>
      <c r="E87" s="353">
        <f t="shared" si="1"/>
        <v>461.04860000000008</v>
      </c>
      <c r="F87" s="354"/>
      <c r="G87" s="355"/>
      <c r="H87" s="359"/>
      <c r="I87" s="356">
        <f>Таблица37[[#This Row],[Цена]]+Таблица37[[#This Row],[Трудозатраты]]</f>
        <v>461.04860000000008</v>
      </c>
      <c r="J87" s="357">
        <v>461.04860000000008</v>
      </c>
      <c r="K87" s="220" t="e">
        <f>VLOOKUP(Таблица37[[#This Row],[Оболочки]],'[3]Расчет себес оболочек'!$A$3:$E$35,5,0)</f>
        <v>#N/A</v>
      </c>
    </row>
    <row r="88" spans="2:16" x14ac:dyDescent="0.25">
      <c r="B88" s="350" t="s">
        <v>776</v>
      </c>
      <c r="C88" s="351" t="s">
        <v>777</v>
      </c>
      <c r="D88" s="352" t="s">
        <v>640</v>
      </c>
      <c r="E88" s="353">
        <f t="shared" si="1"/>
        <v>590.44500000000005</v>
      </c>
      <c r="F88" s="354"/>
      <c r="G88" s="355"/>
      <c r="H88" s="359"/>
      <c r="I88" s="356">
        <f>Таблица37[[#This Row],[Цена]]+Таблица37[[#This Row],[Трудозатраты]]</f>
        <v>590.44500000000005</v>
      </c>
      <c r="J88" s="357">
        <v>590.44500000000005</v>
      </c>
      <c r="K88" s="220" t="e">
        <f>VLOOKUP(Таблица37[[#This Row],[Оболочки]],'[3]Расчет себес оболочек'!$A$3:$E$35,5,0)</f>
        <v>#N/A</v>
      </c>
    </row>
    <row r="89" spans="2:16" x14ac:dyDescent="0.25">
      <c r="B89" s="350" t="s">
        <v>778</v>
      </c>
      <c r="C89" s="351" t="s">
        <v>779</v>
      </c>
      <c r="D89" s="352" t="s">
        <v>640</v>
      </c>
      <c r="E89" s="353">
        <f t="shared" si="1"/>
        <v>635.8524666666666</v>
      </c>
      <c r="F89" s="354"/>
      <c r="G89" s="355"/>
      <c r="H89" s="359"/>
      <c r="I89" s="356">
        <f>Таблица37[[#This Row],[Цена]]+Таблица37[[#This Row],[Трудозатраты]]</f>
        <v>635.8524666666666</v>
      </c>
      <c r="J89" s="357">
        <v>635.8524666666666</v>
      </c>
      <c r="K89" s="220" t="e">
        <f>VLOOKUP(Таблица37[[#This Row],[Оболочки]],'[3]Расчет себес оболочек'!$A$3:$E$35,5,0)</f>
        <v>#N/A</v>
      </c>
    </row>
    <row r="90" spans="2:16" x14ac:dyDescent="0.25">
      <c r="B90" s="350" t="s">
        <v>780</v>
      </c>
      <c r="C90" s="351" t="s">
        <v>781</v>
      </c>
      <c r="D90" s="352" t="s">
        <v>640</v>
      </c>
      <c r="E90" s="353">
        <f t="shared" si="1"/>
        <v>780.59233333333327</v>
      </c>
      <c r="F90" s="354"/>
      <c r="G90" s="355"/>
      <c r="H90" s="359"/>
      <c r="I90" s="356">
        <f>Таблица37[[#This Row],[Цена]]+Таблица37[[#This Row],[Трудозатраты]]</f>
        <v>780.59233333333327</v>
      </c>
      <c r="J90" s="357">
        <v>780.59233333333327</v>
      </c>
      <c r="K90" s="220" t="e">
        <f>VLOOKUP(Таблица37[[#This Row],[Оболочки]],'[3]Расчет себес оболочек'!$A$3:$E$35,5,0)</f>
        <v>#N/A</v>
      </c>
    </row>
    <row r="91" spans="2:16" x14ac:dyDescent="0.25">
      <c r="B91" s="350" t="s">
        <v>782</v>
      </c>
      <c r="C91" s="351" t="s">
        <v>783</v>
      </c>
      <c r="D91" s="352" t="s">
        <v>640</v>
      </c>
      <c r="E91" s="353">
        <f t="shared" si="1"/>
        <v>683.40486666666663</v>
      </c>
      <c r="F91" s="354"/>
      <c r="G91" s="355"/>
      <c r="H91" s="359"/>
      <c r="I91" s="356">
        <f>Таблица37[[#This Row],[Цена]]+Таблица37[[#This Row],[Трудозатраты]]</f>
        <v>683.40486666666663</v>
      </c>
      <c r="J91" s="357">
        <v>683.40486666666663</v>
      </c>
      <c r="K91" s="220" t="e">
        <f>VLOOKUP(Таблица37[[#This Row],[Оболочки]],'[3]Расчет себес оболочек'!$A$3:$E$35,5,0)</f>
        <v>#N/A</v>
      </c>
    </row>
    <row r="92" spans="2:16" x14ac:dyDescent="0.25">
      <c r="B92" s="350" t="s">
        <v>784</v>
      </c>
      <c r="C92" s="351" t="s">
        <v>785</v>
      </c>
      <c r="D92" s="352" t="s">
        <v>640</v>
      </c>
      <c r="E92" s="353">
        <f t="shared" si="1"/>
        <v>789.19113333333325</v>
      </c>
      <c r="F92" s="354"/>
      <c r="G92" s="355"/>
      <c r="H92" s="359"/>
      <c r="I92" s="356">
        <f>Таблица37[[#This Row],[Цена]]+Таблица37[[#This Row],[Трудозатраты]]</f>
        <v>789.19113333333325</v>
      </c>
      <c r="J92" s="357">
        <v>789.19113333333325</v>
      </c>
      <c r="K92" s="220" t="e">
        <f>VLOOKUP(Таблица37[[#This Row],[Оболочки]],'[3]Расчет себес оболочек'!$A$3:$E$35,5,0)</f>
        <v>#N/A</v>
      </c>
    </row>
    <row r="93" spans="2:16" x14ac:dyDescent="0.25">
      <c r="B93" s="350" t="s">
        <v>786</v>
      </c>
      <c r="C93" s="351" t="s">
        <v>787</v>
      </c>
      <c r="D93" s="352" t="s">
        <v>640</v>
      </c>
      <c r="E93" s="353">
        <f t="shared" si="1"/>
        <v>1029.8539333333335</v>
      </c>
      <c r="F93" s="354"/>
      <c r="G93" s="355"/>
      <c r="H93" s="359"/>
      <c r="I93" s="356">
        <f>Таблица37[[#This Row],[Цена]]+Таблица37[[#This Row],[Трудозатраты]]</f>
        <v>1029.8539333333335</v>
      </c>
      <c r="J93" s="357">
        <v>1029.8539333333335</v>
      </c>
      <c r="K93" s="220" t="e">
        <f>VLOOKUP(Таблица37[[#This Row],[Оболочки]],'[3]Расчет себес оболочек'!$A$3:$E$35,5,0)</f>
        <v>#N/A</v>
      </c>
    </row>
    <row r="94" spans="2:16" x14ac:dyDescent="0.25">
      <c r="B94" s="350" t="s">
        <v>788</v>
      </c>
      <c r="C94" s="351" t="s">
        <v>789</v>
      </c>
      <c r="D94" s="352" t="s">
        <v>640</v>
      </c>
      <c r="E94" s="353">
        <f t="shared" si="1"/>
        <v>0</v>
      </c>
      <c r="F94" s="354"/>
      <c r="G94" s="355"/>
      <c r="H94" s="359"/>
      <c r="I94" s="356">
        <f>Таблица37[[#This Row],[Цена]]+Таблица37[[#This Row],[Трудозатраты]]</f>
        <v>0</v>
      </c>
      <c r="J94" s="357"/>
      <c r="K94" s="220" t="e">
        <f>VLOOKUP(Таблица37[[#This Row],[Оболочки]],'[3]Расчет себес оболочек'!$A$3:$E$35,5,0)</f>
        <v>#N/A</v>
      </c>
    </row>
    <row r="95" spans="2:16" x14ac:dyDescent="0.25">
      <c r="B95" s="350" t="s">
        <v>790</v>
      </c>
      <c r="C95" s="351" t="s">
        <v>791</v>
      </c>
      <c r="D95" s="352" t="s">
        <v>640</v>
      </c>
      <c r="E95" s="353">
        <f t="shared" si="1"/>
        <v>151.45520000000002</v>
      </c>
      <c r="F95" s="354"/>
      <c r="G95" s="355"/>
      <c r="H95" s="359"/>
      <c r="I95" s="356">
        <f>Таблица37[[#This Row],[Цена]]+Таблица37[[#This Row],[Трудозатраты]]</f>
        <v>151.45520000000002</v>
      </c>
      <c r="J95" s="357">
        <v>151.45520000000002</v>
      </c>
      <c r="K95" s="220" t="e">
        <f>VLOOKUP(Таблица37[[#This Row],[Оболочки]],'[3]Расчет себес оболочек'!$A$3:$E$35,5,0)</f>
        <v>#N/A</v>
      </c>
    </row>
    <row r="96" spans="2:16" x14ac:dyDescent="0.25">
      <c r="B96" s="350" t="s">
        <v>792</v>
      </c>
      <c r="C96" s="351" t="s">
        <v>793</v>
      </c>
      <c r="D96" s="352" t="s">
        <v>640</v>
      </c>
      <c r="E96" s="353">
        <f t="shared" si="1"/>
        <v>179.22000000000003</v>
      </c>
      <c r="F96" s="354"/>
      <c r="G96" s="355"/>
      <c r="H96" s="359"/>
      <c r="I96" s="356">
        <f>Таблица37[[#This Row],[Цена]]+Таблица37[[#This Row],[Трудозатраты]]</f>
        <v>179.22000000000003</v>
      </c>
      <c r="J96" s="357">
        <v>179.22000000000003</v>
      </c>
      <c r="K96" s="220" t="e">
        <f>VLOOKUP(Таблица37[[#This Row],[Оболочки]],'[3]Расчет себес оболочек'!$A$3:$E$35,5,0)</f>
        <v>#N/A</v>
      </c>
    </row>
    <row r="97" spans="2:11" x14ac:dyDescent="0.25">
      <c r="B97" s="350" t="s">
        <v>794</v>
      </c>
      <c r="C97" s="351" t="s">
        <v>795</v>
      </c>
      <c r="D97" s="352" t="s">
        <v>640</v>
      </c>
      <c r="E97" s="353">
        <f t="shared" si="1"/>
        <v>186.05759999999998</v>
      </c>
      <c r="F97" s="354"/>
      <c r="G97" s="355"/>
      <c r="H97" s="359"/>
      <c r="I97" s="356">
        <f>Таблица37[[#This Row],[Цена]]+Таблица37[[#This Row],[Трудозатраты]]</f>
        <v>186.05759999999998</v>
      </c>
      <c r="J97" s="357">
        <v>186.05759999999998</v>
      </c>
      <c r="K97" s="220" t="e">
        <f>VLOOKUP(Таблица37[[#This Row],[Оболочки]],'[3]Расчет себес оболочек'!$A$3:$E$35,5,0)</f>
        <v>#N/A</v>
      </c>
    </row>
    <row r="98" spans="2:11" x14ac:dyDescent="0.25">
      <c r="B98" s="350" t="s">
        <v>796</v>
      </c>
      <c r="C98" s="351" t="s">
        <v>797</v>
      </c>
      <c r="D98" s="352" t="s">
        <v>640</v>
      </c>
      <c r="E98" s="353">
        <f t="shared" si="1"/>
        <v>202.93753333333336</v>
      </c>
      <c r="F98" s="354"/>
      <c r="G98" s="355"/>
      <c r="H98" s="359"/>
      <c r="I98" s="356">
        <f>Таблица37[[#This Row],[Цена]]+Таблица37[[#This Row],[Трудозатраты]]</f>
        <v>202.93753333333336</v>
      </c>
      <c r="J98" s="357">
        <v>202.93753333333336</v>
      </c>
      <c r="K98" s="220" t="e">
        <f>VLOOKUP(Таблица37[[#This Row],[Оболочки]],'[3]Расчет себес оболочек'!$A$3:$E$35,5,0)</f>
        <v>#N/A</v>
      </c>
    </row>
    <row r="99" spans="2:11" x14ac:dyDescent="0.25">
      <c r="B99" s="350" t="s">
        <v>798</v>
      </c>
      <c r="C99" s="351" t="s">
        <v>799</v>
      </c>
      <c r="D99" s="352" t="s">
        <v>640</v>
      </c>
      <c r="E99" s="353">
        <f t="shared" si="1"/>
        <v>251.48980000000003</v>
      </c>
      <c r="F99" s="354"/>
      <c r="G99" s="355"/>
      <c r="H99" s="359"/>
      <c r="I99" s="356">
        <f>Таблица37[[#This Row],[Цена]]+Таблица37[[#This Row],[Трудозатраты]]</f>
        <v>251.48980000000003</v>
      </c>
      <c r="J99" s="357">
        <v>251.48980000000003</v>
      </c>
      <c r="K99" s="220" t="e">
        <f>VLOOKUP(Таблица37[[#This Row],[Оболочки]],'[3]Расчет себес оболочек'!$A$3:$E$35,5,0)</f>
        <v>#N/A</v>
      </c>
    </row>
    <row r="100" spans="2:11" x14ac:dyDescent="0.25">
      <c r="B100" s="350" t="s">
        <v>800</v>
      </c>
      <c r="C100" s="351" t="s">
        <v>801</v>
      </c>
      <c r="D100" s="352" t="s">
        <v>640</v>
      </c>
      <c r="E100" s="353">
        <f t="shared" si="1"/>
        <v>262.41080000000005</v>
      </c>
      <c r="F100" s="354"/>
      <c r="G100" s="355"/>
      <c r="H100" s="359"/>
      <c r="I100" s="356">
        <f>Таблица37[[#This Row],[Цена]]+Таблица37[[#This Row],[Трудозатраты]]</f>
        <v>262.41080000000005</v>
      </c>
      <c r="J100" s="357">
        <v>262.41080000000005</v>
      </c>
      <c r="K100" s="220" t="e">
        <f>VLOOKUP(Таблица37[[#This Row],[Оболочки]],'[3]Расчет себес оболочек'!$A$3:$E$35,5,0)</f>
        <v>#N/A</v>
      </c>
    </row>
    <row r="101" spans="2:11" x14ac:dyDescent="0.25">
      <c r="B101" s="350" t="s">
        <v>802</v>
      </c>
      <c r="C101" s="351" t="s">
        <v>803</v>
      </c>
      <c r="D101" s="352" t="s">
        <v>640</v>
      </c>
      <c r="E101" s="353">
        <f t="shared" si="1"/>
        <v>282.91673333333335</v>
      </c>
      <c r="F101" s="354"/>
      <c r="G101" s="355"/>
      <c r="H101" s="359"/>
      <c r="I101" s="356">
        <f>Таблица37[[#This Row],[Цена]]+Таблица37[[#This Row],[Трудозатраты]]</f>
        <v>282.91673333333335</v>
      </c>
      <c r="J101" s="357">
        <v>282.91673333333335</v>
      </c>
      <c r="K101" s="220" t="e">
        <f>VLOOKUP(Таблица37[[#This Row],[Оболочки]],'[3]Расчет себес оболочек'!$A$3:$E$35,5,0)</f>
        <v>#N/A</v>
      </c>
    </row>
    <row r="102" spans="2:11" x14ac:dyDescent="0.25">
      <c r="B102" s="350" t="s">
        <v>804</v>
      </c>
      <c r="C102" s="351" t="s">
        <v>805</v>
      </c>
      <c r="D102" s="352" t="s">
        <v>640</v>
      </c>
      <c r="E102" s="353">
        <f t="shared" si="1"/>
        <v>309.19499999999994</v>
      </c>
      <c r="F102" s="354"/>
      <c r="G102" s="355"/>
      <c r="H102" s="359"/>
      <c r="I102" s="356">
        <f>Таблица37[[#This Row],[Цена]]+Таблица37[[#This Row],[Трудозатраты]]</f>
        <v>309.19499999999994</v>
      </c>
      <c r="J102" s="357">
        <v>309.19499999999994</v>
      </c>
      <c r="K102" s="220" t="e">
        <f>VLOOKUP(Таблица37[[#This Row],[Оболочки]],'[3]Расчет себес оболочек'!$A$3:$E$35,5,0)</f>
        <v>#N/A</v>
      </c>
    </row>
    <row r="103" spans="2:11" x14ac:dyDescent="0.25">
      <c r="B103" s="350" t="s">
        <v>806</v>
      </c>
      <c r="C103" s="351" t="s">
        <v>807</v>
      </c>
      <c r="D103" s="352" t="s">
        <v>640</v>
      </c>
      <c r="E103" s="353">
        <f t="shared" si="1"/>
        <v>394.33019999999999</v>
      </c>
      <c r="F103" s="354"/>
      <c r="G103" s="355"/>
      <c r="H103" s="359"/>
      <c r="I103" s="356">
        <f>Таблица37[[#This Row],[Цена]]+Таблица37[[#This Row],[Трудозатраты]]</f>
        <v>394.33019999999999</v>
      </c>
      <c r="J103" s="357">
        <v>394.33019999999999</v>
      </c>
      <c r="K103" s="220" t="e">
        <f>VLOOKUP(Таблица37[[#This Row],[Оболочки]],'[3]Расчет себес оболочек'!$A$3:$E$35,5,0)</f>
        <v>#N/A</v>
      </c>
    </row>
    <row r="104" spans="2:11" x14ac:dyDescent="0.25">
      <c r="B104" s="350" t="s">
        <v>808</v>
      </c>
      <c r="C104" s="351" t="s">
        <v>809</v>
      </c>
      <c r="D104" s="352" t="s">
        <v>640</v>
      </c>
      <c r="E104" s="353">
        <f t="shared" si="1"/>
        <v>359.02660000000003</v>
      </c>
      <c r="F104" s="354"/>
      <c r="G104" s="355"/>
      <c r="H104" s="359"/>
      <c r="I104" s="356">
        <f>Таблица37[[#This Row],[Цена]]+Таблица37[[#This Row],[Трудозатраты]]</f>
        <v>359.02660000000003</v>
      </c>
      <c r="J104" s="357">
        <v>359.02660000000003</v>
      </c>
      <c r="K104" s="220" t="e">
        <f>VLOOKUP(Таблица37[[#This Row],[Оболочки]],'[3]Расчет себес оболочек'!$A$3:$E$35,5,0)</f>
        <v>#N/A</v>
      </c>
    </row>
    <row r="105" spans="2:11" x14ac:dyDescent="0.25">
      <c r="B105" s="350" t="s">
        <v>810</v>
      </c>
      <c r="C105" s="351" t="s">
        <v>811</v>
      </c>
      <c r="D105" s="352" t="s">
        <v>640</v>
      </c>
      <c r="E105" s="353">
        <f t="shared" si="1"/>
        <v>455.14340000000004</v>
      </c>
      <c r="F105" s="354"/>
      <c r="G105" s="355"/>
      <c r="H105" s="359"/>
      <c r="I105" s="356">
        <f>Таблица37[[#This Row],[Цена]]+Таблица37[[#This Row],[Трудозатраты]]</f>
        <v>455.14340000000004</v>
      </c>
      <c r="J105" s="357">
        <v>455.14340000000004</v>
      </c>
      <c r="K105" s="220" t="e">
        <f>VLOOKUP(Таблица37[[#This Row],[Оболочки]],'[3]Расчет себес оболочек'!$A$3:$E$35,5,0)</f>
        <v>#N/A</v>
      </c>
    </row>
    <row r="106" spans="2:11" x14ac:dyDescent="0.25">
      <c r="B106" s="350" t="s">
        <v>812</v>
      </c>
      <c r="C106" s="351" t="s">
        <v>813</v>
      </c>
      <c r="D106" s="352" t="s">
        <v>640</v>
      </c>
      <c r="E106" s="353">
        <f t="shared" si="1"/>
        <v>554.8066</v>
      </c>
      <c r="F106" s="354"/>
      <c r="G106" s="355"/>
      <c r="H106" s="359"/>
      <c r="I106" s="356">
        <f>Таблица37[[#This Row],[Цена]]+Таблица37[[#This Row],[Трудозатраты]]</f>
        <v>554.8066</v>
      </c>
      <c r="J106" s="357">
        <v>554.8066</v>
      </c>
      <c r="K106" s="220" t="e">
        <f>VLOOKUP(Таблица37[[#This Row],[Оболочки]],'[3]Расчет себес оболочек'!$A$3:$E$35,5,0)</f>
        <v>#N/A</v>
      </c>
    </row>
    <row r="107" spans="2:11" x14ac:dyDescent="0.25">
      <c r="B107" s="350" t="s">
        <v>814</v>
      </c>
      <c r="C107" s="351" t="s">
        <v>815</v>
      </c>
      <c r="D107" s="352" t="s">
        <v>640</v>
      </c>
      <c r="E107" s="353">
        <f t="shared" si="1"/>
        <v>600.21406666666667</v>
      </c>
      <c r="F107" s="354"/>
      <c r="G107" s="355"/>
      <c r="H107" s="359"/>
      <c r="I107" s="356">
        <f>Таблица37[[#This Row],[Цена]]+Таблица37[[#This Row],[Трудозатраты]]</f>
        <v>600.21406666666667</v>
      </c>
      <c r="J107" s="357">
        <v>600.21406666666667</v>
      </c>
      <c r="K107" s="220" t="e">
        <f>VLOOKUP(Таблица37[[#This Row],[Оболочки]],'[3]Расчет себес оболочек'!$A$3:$E$35,5,0)</f>
        <v>#N/A</v>
      </c>
    </row>
    <row r="108" spans="2:11" x14ac:dyDescent="0.25">
      <c r="B108" s="350" t="s">
        <v>816</v>
      </c>
      <c r="C108" s="351" t="s">
        <v>817</v>
      </c>
      <c r="D108" s="352" t="s">
        <v>640</v>
      </c>
      <c r="E108" s="353">
        <f t="shared" si="1"/>
        <v>744.95393333333323</v>
      </c>
      <c r="F108" s="354"/>
      <c r="G108" s="355"/>
      <c r="H108" s="359"/>
      <c r="I108" s="356">
        <f>Таблица37[[#This Row],[Цена]]+Таблица37[[#This Row],[Трудозатраты]]</f>
        <v>744.95393333333323</v>
      </c>
      <c r="J108" s="357">
        <v>744.95393333333323</v>
      </c>
      <c r="K108" s="220" t="e">
        <f>VLOOKUP(Таблица37[[#This Row],[Оболочки]],'[3]Расчет себес оболочек'!$A$3:$E$35,5,0)</f>
        <v>#N/A</v>
      </c>
    </row>
    <row r="109" spans="2:11" x14ac:dyDescent="0.25">
      <c r="B109" s="350" t="s">
        <v>818</v>
      </c>
      <c r="C109" s="351" t="s">
        <v>819</v>
      </c>
      <c r="D109" s="352" t="s">
        <v>640</v>
      </c>
      <c r="E109" s="353">
        <f t="shared" si="1"/>
        <v>647.97366666666676</v>
      </c>
      <c r="F109" s="354"/>
      <c r="G109" s="355"/>
      <c r="H109" s="359"/>
      <c r="I109" s="356">
        <f>Таблица37[[#This Row],[Цена]]+Таблица37[[#This Row],[Трудозатраты]]</f>
        <v>647.97366666666676</v>
      </c>
      <c r="J109" s="357">
        <v>647.97366666666676</v>
      </c>
      <c r="K109" s="220" t="e">
        <f>VLOOKUP(Таблица37[[#This Row],[Оболочки]],'[3]Расчет себес оболочек'!$A$3:$E$35,5,0)</f>
        <v>#N/A</v>
      </c>
    </row>
    <row r="110" spans="2:11" x14ac:dyDescent="0.25">
      <c r="B110" s="350" t="s">
        <v>820</v>
      </c>
      <c r="C110" s="351" t="s">
        <v>821</v>
      </c>
      <c r="D110" s="352" t="s">
        <v>640</v>
      </c>
      <c r="E110" s="353">
        <f t="shared" si="1"/>
        <v>753.75993333333338</v>
      </c>
      <c r="F110" s="354"/>
      <c r="G110" s="355"/>
      <c r="H110" s="359"/>
      <c r="I110" s="356">
        <f>Таблица37[[#This Row],[Цена]]+Таблица37[[#This Row],[Трудозатраты]]</f>
        <v>753.75993333333338</v>
      </c>
      <c r="J110" s="357">
        <v>753.75993333333338</v>
      </c>
      <c r="K110" s="220" t="e">
        <f>VLOOKUP(Таблица37[[#This Row],[Оболочки]],'[3]Расчет себес оболочек'!$A$3:$E$35,5,0)</f>
        <v>#N/A</v>
      </c>
    </row>
    <row r="111" spans="2:11" x14ac:dyDescent="0.25">
      <c r="B111" s="350" t="s">
        <v>822</v>
      </c>
      <c r="C111" s="351" t="s">
        <v>823</v>
      </c>
      <c r="D111" s="352" t="s">
        <v>640</v>
      </c>
      <c r="E111" s="353">
        <f t="shared" si="1"/>
        <v>958.57713333333345</v>
      </c>
      <c r="F111" s="354"/>
      <c r="G111" s="355"/>
      <c r="H111" s="359"/>
      <c r="I111" s="356">
        <f>Таблица37[[#This Row],[Цена]]+Таблица37[[#This Row],[Трудозатраты]]</f>
        <v>958.57713333333345</v>
      </c>
      <c r="J111" s="357">
        <v>958.57713333333345</v>
      </c>
      <c r="K111" s="220" t="e">
        <f>VLOOKUP(Таблица37[[#This Row],[Оболочки]],'[3]Расчет себес оболочек'!$A$3:$E$35,5,0)</f>
        <v>#N/A</v>
      </c>
    </row>
    <row r="112" spans="2:11" x14ac:dyDescent="0.25">
      <c r="B112" s="350" t="s">
        <v>824</v>
      </c>
      <c r="C112" s="351" t="s">
        <v>825</v>
      </c>
      <c r="D112" s="352" t="s">
        <v>640</v>
      </c>
      <c r="E112" s="353">
        <f t="shared" si="1"/>
        <v>0</v>
      </c>
      <c r="F112" s="354"/>
      <c r="G112" s="355"/>
      <c r="H112" s="359"/>
      <c r="I112" s="356">
        <f>Таблица37[[#This Row],[Цена]]+Таблица37[[#This Row],[Трудозатраты]]</f>
        <v>0</v>
      </c>
      <c r="J112" s="357"/>
      <c r="K112" s="220" t="e">
        <f>VLOOKUP(Таблица37[[#This Row],[Оболочки]],'[3]Расчет себес оболочек'!$A$3:$E$35,5,0)</f>
        <v>#N/A</v>
      </c>
    </row>
    <row r="113" spans="1:11" x14ac:dyDescent="0.25">
      <c r="A113" s="221">
        <v>16</v>
      </c>
      <c r="B113" s="350" t="s">
        <v>215</v>
      </c>
      <c r="C113" s="351" t="s">
        <v>826</v>
      </c>
      <c r="D113" s="352" t="s">
        <v>640</v>
      </c>
      <c r="E113" s="353">
        <f>VLOOKUP(Таблица37[[#This Row],[Оболочки]],'предоставленные цены'!$B$4:$D$328,2,0)</f>
        <v>734.12536499999999</v>
      </c>
      <c r="F113" s="354"/>
      <c r="G113" s="358" t="s">
        <v>2315</v>
      </c>
      <c r="H113" s="359">
        <f>VLOOKUP(A113,Таблы!$O$265:$S$275,5,0)</f>
        <v>95.04</v>
      </c>
      <c r="I113" s="356">
        <f>Таблица37[[#This Row],[Цена]]+Таблица37[[#This Row],[Трудозатраты]]</f>
        <v>829.16536499999995</v>
      </c>
      <c r="J113" s="357">
        <v>165.44919999999999</v>
      </c>
      <c r="K113" s="220" t="e">
        <f>VLOOKUP(Таблица37[[#This Row],[Оболочки]],'[3]Расчет себес оболочек'!$A$3:$E$35,5,0)</f>
        <v>#N/A</v>
      </c>
    </row>
    <row r="114" spans="1:11" x14ac:dyDescent="0.25">
      <c r="A114" s="221">
        <v>20</v>
      </c>
      <c r="B114" s="350" t="s">
        <v>216</v>
      </c>
      <c r="C114" s="351" t="s">
        <v>827</v>
      </c>
      <c r="D114" s="352" t="s">
        <v>640</v>
      </c>
      <c r="E114" s="353">
        <f>VLOOKUP(Таблица37[[#This Row],[Оболочки]],'предоставленные цены'!$B$4:$D$328,2,0)</f>
        <v>755.18836499999998</v>
      </c>
      <c r="F114" s="354"/>
      <c r="G114" s="358" t="s">
        <v>2316</v>
      </c>
      <c r="H114" s="359">
        <f>VLOOKUP(A114,Таблы!$O$265:$S$275,5,0)</f>
        <v>77.759999999999991</v>
      </c>
      <c r="I114" s="356">
        <f>Таблица37[[#This Row],[Цена]]+Таблица37[[#This Row],[Трудозатраты]]</f>
        <v>832.94836499999997</v>
      </c>
      <c r="J114" s="357">
        <v>184.71879999999999</v>
      </c>
      <c r="K114" s="220" t="e">
        <f>VLOOKUP(Таблица37[[#This Row],[Оболочки]],'[3]Расчет себес оболочек'!$A$3:$E$35,5,0)</f>
        <v>#N/A</v>
      </c>
    </row>
    <row r="115" spans="1:11" x14ac:dyDescent="0.25">
      <c r="A115" s="221">
        <v>20</v>
      </c>
      <c r="B115" s="350" t="s">
        <v>217</v>
      </c>
      <c r="C115" s="351" t="s">
        <v>828</v>
      </c>
      <c r="D115" s="352" t="s">
        <v>640</v>
      </c>
      <c r="E115" s="353">
        <f>VLOOKUP(Таблица37[[#This Row],[Оболочки]],'предоставленные цены'!$B$4:$D$328,2,0)</f>
        <v>756.59596499999998</v>
      </c>
      <c r="F115" s="354"/>
      <c r="G115" s="358" t="s">
        <v>2316</v>
      </c>
      <c r="H115" s="359">
        <f>VLOOKUP(A115,Таблы!$O$265:$S$275,5,0)</f>
        <v>77.759999999999991</v>
      </c>
      <c r="I115" s="356">
        <f>Таблица37[[#This Row],[Цена]]+Таблица37[[#This Row],[Трудозатраты]]</f>
        <v>834.35596499999997</v>
      </c>
      <c r="J115" s="357">
        <v>186.37640000000002</v>
      </c>
      <c r="K115" s="220" t="e">
        <f>VLOOKUP(Таблица37[[#This Row],[Оболочки]],'[3]Расчет себес оболочек'!$A$3:$E$35,5,0)</f>
        <v>#N/A</v>
      </c>
    </row>
    <row r="116" spans="1:11" x14ac:dyDescent="0.25">
      <c r="A116" s="221">
        <v>20</v>
      </c>
      <c r="B116" s="350" t="s">
        <v>218</v>
      </c>
      <c r="C116" s="351" t="s">
        <v>829</v>
      </c>
      <c r="D116" s="352" t="s">
        <v>640</v>
      </c>
      <c r="E116" s="353">
        <f>VLOOKUP(Таблица37[[#This Row],[Оболочки]],'предоставленные цены'!$B$4:$D$328,2,0)</f>
        <v>763.90936499999987</v>
      </c>
      <c r="F116" s="354"/>
      <c r="G116" s="358" t="s">
        <v>2316</v>
      </c>
      <c r="H116" s="359">
        <f>VLOOKUP(A116,Таблы!$O$265:$S$275,5,0)</f>
        <v>77.759999999999991</v>
      </c>
      <c r="I116" s="356">
        <f>Таблица37[[#This Row],[Цена]]+Таблица37[[#This Row],[Трудозатраты]]</f>
        <v>841.66936499999986</v>
      </c>
      <c r="J116" s="357">
        <v>191.86720000000003</v>
      </c>
      <c r="K116" s="220" t="e">
        <f>VLOOKUP(Таблица37[[#This Row],[Оболочки]],'[3]Расчет себес оболочек'!$A$3:$E$35,5,0)</f>
        <v>#N/A</v>
      </c>
    </row>
    <row r="117" spans="1:11" x14ac:dyDescent="0.25">
      <c r="A117" s="221">
        <v>20</v>
      </c>
      <c r="B117" s="350" t="s">
        <v>219</v>
      </c>
      <c r="C117" s="351" t="s">
        <v>830</v>
      </c>
      <c r="D117" s="352" t="s">
        <v>640</v>
      </c>
      <c r="E117" s="353">
        <f>VLOOKUP(Таблица37[[#This Row],[Оболочки]],'предоставленные цены'!$B$4:$D$328,2,0)</f>
        <v>784.41136500000005</v>
      </c>
      <c r="F117" s="354"/>
      <c r="G117" s="358" t="s">
        <v>2316</v>
      </c>
      <c r="H117" s="359">
        <f>VLOOKUP(A117,Таблы!$O$265:$S$275,5,0)</f>
        <v>77.759999999999991</v>
      </c>
      <c r="I117" s="356">
        <f>Таблица37[[#This Row],[Цена]]+Таблица37[[#This Row],[Трудозатраты]]</f>
        <v>862.17136500000004</v>
      </c>
      <c r="J117" s="357">
        <v>215.9024</v>
      </c>
      <c r="K117" s="220" t="e">
        <f>VLOOKUP(Таблица37[[#This Row],[Оболочки]],'[3]Расчет себес оболочек'!$A$3:$E$35,5,0)</f>
        <v>#N/A</v>
      </c>
    </row>
    <row r="118" spans="1:11" x14ac:dyDescent="0.25">
      <c r="A118" s="221">
        <v>20</v>
      </c>
      <c r="B118" s="350" t="s">
        <v>220</v>
      </c>
      <c r="C118" s="351" t="s">
        <v>831</v>
      </c>
      <c r="D118" s="352" t="s">
        <v>640</v>
      </c>
      <c r="E118" s="353">
        <f>VLOOKUP(Таблица37[[#This Row],[Оболочки]],'предоставленные цены'!$B$4:$D$328,2,0)</f>
        <v>805.83136500000001</v>
      </c>
      <c r="F118" s="354"/>
      <c r="G118" s="358" t="s">
        <v>2316</v>
      </c>
      <c r="H118" s="359">
        <f>VLOOKUP(A118,Таблы!$O$265:$S$275,5,0)</f>
        <v>77.759999999999991</v>
      </c>
      <c r="I118" s="356">
        <f>Таблица37[[#This Row],[Цена]]+Таблица37[[#This Row],[Трудозатраты]]</f>
        <v>883.591365</v>
      </c>
      <c r="J118" s="357">
        <v>240.66279999999998</v>
      </c>
      <c r="K118" s="220" t="e">
        <f>VLOOKUP(Таблица37[[#This Row],[Оболочки]],'[3]Расчет себес оболочек'!$A$3:$E$35,5,0)</f>
        <v>#N/A</v>
      </c>
    </row>
    <row r="119" spans="1:11" x14ac:dyDescent="0.25">
      <c r="A119" s="221">
        <v>20</v>
      </c>
      <c r="B119" s="350" t="s">
        <v>221</v>
      </c>
      <c r="C119" s="351" t="s">
        <v>832</v>
      </c>
      <c r="D119" s="352" t="s">
        <v>640</v>
      </c>
      <c r="E119" s="353">
        <f>VLOOKUP(Таблица37[[#This Row],[Оболочки]],'предоставленные цены'!$B$4:$D$328,2,0)</f>
        <v>797.97736499999996</v>
      </c>
      <c r="F119" s="354"/>
      <c r="G119" s="358" t="s">
        <v>2316</v>
      </c>
      <c r="H119" s="359">
        <f>VLOOKUP(A119,Таблы!$O$265:$S$275,5,0)</f>
        <v>77.759999999999991</v>
      </c>
      <c r="I119" s="356">
        <f>Таблица37[[#This Row],[Цена]]+Таблица37[[#This Row],[Трудозатраты]]</f>
        <v>875.73736499999995</v>
      </c>
      <c r="J119" s="357">
        <v>214.14119999999997</v>
      </c>
      <c r="K119" s="220" t="e">
        <f>VLOOKUP(Таблица37[[#This Row],[Оболочки]],'[3]Расчет себес оболочек'!$A$3:$E$35,5,0)</f>
        <v>#N/A</v>
      </c>
    </row>
    <row r="120" spans="1:11" x14ac:dyDescent="0.25">
      <c r="A120" s="221">
        <v>25</v>
      </c>
      <c r="B120" s="350" t="s">
        <v>222</v>
      </c>
      <c r="C120" s="351" t="s">
        <v>833</v>
      </c>
      <c r="D120" s="352" t="s">
        <v>640</v>
      </c>
      <c r="E120" s="353">
        <f>VLOOKUP(Таблица37[[#This Row],[Оболочки]],'предоставленные цены'!$B$4:$D$328,2,0)</f>
        <v>1000.800285</v>
      </c>
      <c r="F120" s="354"/>
      <c r="G120" s="358" t="s">
        <v>2317</v>
      </c>
      <c r="H120" s="359">
        <f>VLOOKUP(A120,Таблы!$O$265:$S$275,5,0)</f>
        <v>129.6</v>
      </c>
      <c r="I120" s="356">
        <f>Таблица37[[#This Row],[Цена]]+Таблица37[[#This Row],[Трудозатраты]]</f>
        <v>1130.4002849999999</v>
      </c>
      <c r="J120" s="357">
        <v>266.45919999999995</v>
      </c>
      <c r="K120" s="220" t="e">
        <f>VLOOKUP(Таблица37[[#This Row],[Оболочки]],'[3]Расчет себес оболочек'!$A$3:$E$35,5,0)</f>
        <v>#N/A</v>
      </c>
    </row>
    <row r="121" spans="1:11" x14ac:dyDescent="0.25">
      <c r="A121" s="221">
        <v>25</v>
      </c>
      <c r="B121" s="350" t="s">
        <v>223</v>
      </c>
      <c r="C121" s="351" t="s">
        <v>834</v>
      </c>
      <c r="D121" s="352" t="s">
        <v>640</v>
      </c>
      <c r="E121" s="353">
        <f>VLOOKUP(Таблица37[[#This Row],[Оболочки]],'предоставленные цены'!$B$4:$D$328,2,0)</f>
        <v>1008.9092850000001</v>
      </c>
      <c r="F121" s="354"/>
      <c r="G121" s="358" t="s">
        <v>2317</v>
      </c>
      <c r="H121" s="359">
        <f>VLOOKUP(A121,Таблы!$O$265:$S$275,5,0)</f>
        <v>129.6</v>
      </c>
      <c r="I121" s="356">
        <f>Таблица37[[#This Row],[Цена]]+Таблица37[[#This Row],[Трудозатраты]]</f>
        <v>1138.5092850000001</v>
      </c>
      <c r="J121" s="357">
        <v>271.63919999999996</v>
      </c>
      <c r="K121" s="220" t="e">
        <f>VLOOKUP(Таблица37[[#This Row],[Оболочки]],'[3]Расчет себес оболочек'!$A$3:$E$35,5,0)</f>
        <v>#N/A</v>
      </c>
    </row>
    <row r="122" spans="1:11" x14ac:dyDescent="0.25">
      <c r="A122" s="221">
        <v>25</v>
      </c>
      <c r="B122" s="350" t="s">
        <v>224</v>
      </c>
      <c r="C122" s="351" t="s">
        <v>835</v>
      </c>
      <c r="D122" s="352" t="s">
        <v>640</v>
      </c>
      <c r="E122" s="353">
        <f>VLOOKUP(Таблица37[[#This Row],[Оболочки]],'предоставленные цены'!$B$4:$D$328,2,0)</f>
        <v>1009.2662849999999</v>
      </c>
      <c r="F122" s="354"/>
      <c r="G122" s="358" t="s">
        <v>2317</v>
      </c>
      <c r="H122" s="359">
        <f>VLOOKUP(A122,Таблы!$O$265:$S$275,5,0)</f>
        <v>129.6</v>
      </c>
      <c r="I122" s="356">
        <f>Таблица37[[#This Row],[Цена]]+Таблица37[[#This Row],[Трудозатраты]]</f>
        <v>1138.8662849999998</v>
      </c>
      <c r="J122" s="357">
        <v>268.94560000000001</v>
      </c>
      <c r="K122" s="220" t="e">
        <f>VLOOKUP(Таблица37[[#This Row],[Оболочки]],'[3]Расчет себес оболочек'!$A$3:$E$35,5,0)</f>
        <v>#N/A</v>
      </c>
    </row>
    <row r="123" spans="1:11" x14ac:dyDescent="0.25">
      <c r="A123" s="221">
        <v>25</v>
      </c>
      <c r="B123" s="350" t="s">
        <v>225</v>
      </c>
      <c r="C123" s="351" t="s">
        <v>836</v>
      </c>
      <c r="D123" s="352" t="s">
        <v>640</v>
      </c>
      <c r="E123" s="353">
        <f>VLOOKUP(Таблица37[[#This Row],[Оболочки]],'предоставленные цены'!$B$4:$D$328,2,0)</f>
        <v>1054.6052850000001</v>
      </c>
      <c r="F123" s="354"/>
      <c r="G123" s="358" t="s">
        <v>2317</v>
      </c>
      <c r="H123" s="359">
        <f>VLOOKUP(A123,Таблы!$O$265:$S$275,5,0)</f>
        <v>129.6</v>
      </c>
      <c r="I123" s="356">
        <f>Таблица37[[#This Row],[Цена]]+Таблица37[[#This Row],[Трудозатраты]]</f>
        <v>1184.205285</v>
      </c>
      <c r="J123" s="357">
        <v>317.84479999999996</v>
      </c>
      <c r="K123" s="220" t="e">
        <f>VLOOKUP(Таблица37[[#This Row],[Оболочки]],'[3]Расчет себес оболочек'!$A$3:$E$35,5,0)</f>
        <v>#N/A</v>
      </c>
    </row>
    <row r="124" spans="1:11" x14ac:dyDescent="0.25">
      <c r="A124" s="221">
        <v>25</v>
      </c>
      <c r="B124" s="350" t="s">
        <v>226</v>
      </c>
      <c r="C124" s="351" t="s">
        <v>837</v>
      </c>
      <c r="D124" s="352" t="s">
        <v>640</v>
      </c>
      <c r="E124" s="353">
        <f>VLOOKUP(Таблица37[[#This Row],[Оболочки]],'предоставленные цены'!$B$4:$D$328,2,0)</f>
        <v>1074.7502850000001</v>
      </c>
      <c r="F124" s="354"/>
      <c r="G124" s="358" t="s">
        <v>2317</v>
      </c>
      <c r="H124" s="359">
        <f>VLOOKUP(A124,Таблы!$O$265:$S$275,5,0)</f>
        <v>129.6</v>
      </c>
      <c r="I124" s="356">
        <f>Таблица37[[#This Row],[Цена]]+Таблица37[[#This Row],[Трудозатраты]]</f>
        <v>1204.350285</v>
      </c>
      <c r="J124" s="357">
        <v>310.79999999999995</v>
      </c>
      <c r="K124" s="220" t="e">
        <f>VLOOKUP(Таблица37[[#This Row],[Оболочки]],'[3]Расчет себес оболочек'!$A$3:$E$35,5,0)</f>
        <v>#N/A</v>
      </c>
    </row>
    <row r="125" spans="1:11" x14ac:dyDescent="0.25">
      <c r="A125" s="221">
        <v>32</v>
      </c>
      <c r="B125" s="350" t="s">
        <v>227</v>
      </c>
      <c r="C125" s="351" t="s">
        <v>838</v>
      </c>
      <c r="D125" s="352" t="s">
        <v>640</v>
      </c>
      <c r="E125" s="353">
        <f>VLOOKUP(Таблица37[[#This Row],[Оболочки]],'предоставленные цены'!$B$4:$D$328,2,0)</f>
        <v>1353.2117640000001</v>
      </c>
      <c r="F125" s="354"/>
      <c r="G125" s="358" t="s">
        <v>2318</v>
      </c>
      <c r="H125" s="359">
        <f>VLOOKUP(A125,Таблы!$O$265:$S$275,5,0)</f>
        <v>190.08</v>
      </c>
      <c r="I125" s="356">
        <f>Таблица37[[#This Row],[Цена]]+Таблица37[[#This Row],[Трудозатраты]]</f>
        <v>1543.2917640000001</v>
      </c>
      <c r="J125" s="357">
        <v>339.08280000000008</v>
      </c>
      <c r="K125" s="220" t="e">
        <f>VLOOKUP(Таблица37[[#This Row],[Оболочки]],'[3]Расчет себес оболочек'!$A$3:$E$35,5,0)</f>
        <v>#N/A</v>
      </c>
    </row>
    <row r="126" spans="1:11" x14ac:dyDescent="0.25">
      <c r="A126" s="221">
        <v>32</v>
      </c>
      <c r="B126" s="350" t="s">
        <v>228</v>
      </c>
      <c r="C126" s="351" t="s">
        <v>839</v>
      </c>
      <c r="D126" s="352" t="s">
        <v>640</v>
      </c>
      <c r="E126" s="353">
        <f>VLOOKUP(Таблица37[[#This Row],[Оболочки]],'предоставленные цены'!$B$4:$D$328,2,0)</f>
        <v>1416.757764</v>
      </c>
      <c r="F126" s="354"/>
      <c r="G126" s="358" t="s">
        <v>2318</v>
      </c>
      <c r="H126" s="359">
        <f>VLOOKUP(A126,Таблы!$O$265:$S$275,5,0)</f>
        <v>190.08</v>
      </c>
      <c r="I126" s="356">
        <f>Таблица37[[#This Row],[Цена]]+Таблица37[[#This Row],[Трудозатраты]]</f>
        <v>1606.8377639999999</v>
      </c>
      <c r="J126" s="357">
        <v>394.71600000000012</v>
      </c>
      <c r="K126" s="220" t="e">
        <f>VLOOKUP(Таблица37[[#This Row],[Оболочки]],'[3]Расчет себес оболочек'!$A$3:$E$35,5,0)</f>
        <v>#N/A</v>
      </c>
    </row>
    <row r="127" spans="1:11" x14ac:dyDescent="0.25">
      <c r="A127" s="221">
        <v>32</v>
      </c>
      <c r="B127" s="350" t="s">
        <v>229</v>
      </c>
      <c r="C127" s="351" t="s">
        <v>840</v>
      </c>
      <c r="D127" s="352" t="s">
        <v>640</v>
      </c>
      <c r="E127" s="353">
        <f>VLOOKUP(Таблица37[[#This Row],[Оболочки]],'предоставленные цены'!$B$4:$D$328,2,0)</f>
        <v>1423.9997639999999</v>
      </c>
      <c r="F127" s="354"/>
      <c r="G127" s="358" t="s">
        <v>2318</v>
      </c>
      <c r="H127" s="359">
        <f>VLOOKUP(A127,Таблы!$O$265:$S$275,5,0)</f>
        <v>190.08</v>
      </c>
      <c r="I127" s="356">
        <f>Таблица37[[#This Row],[Цена]]+Таблица37[[#This Row],[Трудозатраты]]</f>
        <v>1614.0797639999998</v>
      </c>
      <c r="J127" s="357">
        <v>386.84240000000005</v>
      </c>
      <c r="K127" s="220" t="e">
        <f>VLOOKUP(Таблица37[[#This Row],[Оболочки]],'[3]Расчет себес оболочек'!$A$3:$E$35,5,0)</f>
        <v>#N/A</v>
      </c>
    </row>
    <row r="128" spans="1:11" x14ac:dyDescent="0.25">
      <c r="A128" s="221">
        <v>40</v>
      </c>
      <c r="B128" s="350" t="s">
        <v>230</v>
      </c>
      <c r="C128" s="351" t="s">
        <v>841</v>
      </c>
      <c r="D128" s="352" t="s">
        <v>640</v>
      </c>
      <c r="E128" s="353">
        <f>VLOOKUP(Таблица37[[#This Row],[Оболочки]],'предоставленные цены'!$B$4:$D$328,2,0)</f>
        <v>1970.390406</v>
      </c>
      <c r="F128" s="354"/>
      <c r="G128" s="358" t="s">
        <v>2319</v>
      </c>
      <c r="H128" s="359">
        <f>VLOOKUP(A128,Таблы!$O$265:$S$275,5,0)</f>
        <v>267.83999999999997</v>
      </c>
      <c r="I128" s="356">
        <f>Таблица37[[#This Row],[Цена]]+Таблица37[[#This Row],[Трудозатраты]]</f>
        <v>2238.2304060000001</v>
      </c>
      <c r="J128" s="357">
        <v>582.85360000000014</v>
      </c>
      <c r="K128" s="220" t="e">
        <f>VLOOKUP(Таблица37[[#This Row],[Оболочки]],'[3]Расчет себес оболочек'!$A$3:$E$35,5,0)</f>
        <v>#N/A</v>
      </c>
    </row>
    <row r="129" spans="1:11" x14ac:dyDescent="0.25">
      <c r="A129" s="221">
        <v>40</v>
      </c>
      <c r="B129" s="350" t="s">
        <v>231</v>
      </c>
      <c r="C129" s="351" t="s">
        <v>842</v>
      </c>
      <c r="D129" s="352" t="s">
        <v>640</v>
      </c>
      <c r="E129" s="353">
        <f>VLOOKUP(Таблица37[[#This Row],[Оболочки]],'предоставленные цены'!$B$4:$D$328,2,0)</f>
        <v>1943.2584060000002</v>
      </c>
      <c r="F129" s="354"/>
      <c r="G129" s="358" t="s">
        <v>2319</v>
      </c>
      <c r="H129" s="359">
        <f>VLOOKUP(A129,Таблы!$O$265:$S$275,5,0)</f>
        <v>267.83999999999997</v>
      </c>
      <c r="I129" s="356">
        <f>Таблица37[[#This Row],[Цена]]+Таблица37[[#This Row],[Трудозатраты]]</f>
        <v>2211.0984060000001</v>
      </c>
      <c r="J129" s="357">
        <v>544.62520000000006</v>
      </c>
      <c r="K129" s="220" t="e">
        <f>VLOOKUP(Таблица37[[#This Row],[Оболочки]],'[3]Расчет себес оболочек'!$A$3:$E$35,5,0)</f>
        <v>#N/A</v>
      </c>
    </row>
    <row r="130" spans="1:11" x14ac:dyDescent="0.25">
      <c r="B130" s="350" t="s">
        <v>843</v>
      </c>
      <c r="C130" s="351" t="s">
        <v>844</v>
      </c>
      <c r="D130" s="352" t="s">
        <v>640</v>
      </c>
      <c r="E130" s="353">
        <f t="shared" ref="E130:E193" si="2">J130</f>
        <v>167.62479999999999</v>
      </c>
      <c r="F130" s="354"/>
      <c r="G130" s="358" t="s">
        <v>2314</v>
      </c>
      <c r="H130" s="359"/>
      <c r="I130" s="356">
        <f>Таблица37[[#This Row],[Цена]]+Таблица37[[#This Row],[Трудозатраты]]</f>
        <v>167.62479999999999</v>
      </c>
      <c r="J130" s="357">
        <v>167.62479999999999</v>
      </c>
      <c r="K130" s="220" t="e">
        <f>VLOOKUP(Таблица37[[#This Row],[Оболочки]],'[3]Расчет себес оболочек'!$A$3:$E$35,5,0)</f>
        <v>#N/A</v>
      </c>
    </row>
    <row r="131" spans="1:11" x14ac:dyDescent="0.25">
      <c r="B131" s="350" t="s">
        <v>845</v>
      </c>
      <c r="C131" s="351" t="s">
        <v>846</v>
      </c>
      <c r="D131" s="352" t="s">
        <v>640</v>
      </c>
      <c r="E131" s="353">
        <f t="shared" si="2"/>
        <v>188.34479999999999</v>
      </c>
      <c r="F131" s="354"/>
      <c r="G131" s="358" t="s">
        <v>2315</v>
      </c>
      <c r="H131" s="359"/>
      <c r="I131" s="356">
        <f>Таблица37[[#This Row],[Цена]]+Таблица37[[#This Row],[Трудозатраты]]</f>
        <v>188.34479999999999</v>
      </c>
      <c r="J131" s="357">
        <v>188.34479999999999</v>
      </c>
      <c r="K131" s="220" t="e">
        <f>VLOOKUP(Таблица37[[#This Row],[Оболочки]],'[3]Расчет себес оболочек'!$A$3:$E$35,5,0)</f>
        <v>#N/A</v>
      </c>
    </row>
    <row r="132" spans="1:11" x14ac:dyDescent="0.25">
      <c r="B132" s="350" t="s">
        <v>847</v>
      </c>
      <c r="C132" s="351" t="s">
        <v>848</v>
      </c>
      <c r="D132" s="352" t="s">
        <v>640</v>
      </c>
      <c r="E132" s="353">
        <f t="shared" si="2"/>
        <v>190.00239999999999</v>
      </c>
      <c r="F132" s="354"/>
      <c r="G132" s="358" t="s">
        <v>2315</v>
      </c>
      <c r="H132" s="359"/>
      <c r="I132" s="356">
        <f>Таблица37[[#This Row],[Цена]]+Таблица37[[#This Row],[Трудозатраты]]</f>
        <v>190.00239999999999</v>
      </c>
      <c r="J132" s="357">
        <v>190.00239999999999</v>
      </c>
      <c r="K132" s="220" t="e">
        <f>VLOOKUP(Таблица37[[#This Row],[Оболочки]],'[3]Расчет себес оболочек'!$A$3:$E$35,5,0)</f>
        <v>#N/A</v>
      </c>
    </row>
    <row r="133" spans="1:11" x14ac:dyDescent="0.25">
      <c r="B133" s="350" t="s">
        <v>849</v>
      </c>
      <c r="C133" s="351" t="s">
        <v>850</v>
      </c>
      <c r="D133" s="352" t="s">
        <v>640</v>
      </c>
      <c r="E133" s="353">
        <f t="shared" si="2"/>
        <v>195.49320000000003</v>
      </c>
      <c r="F133" s="354"/>
      <c r="G133" s="358" t="s">
        <v>2315</v>
      </c>
      <c r="H133" s="359"/>
      <c r="I133" s="356">
        <f>Таблица37[[#This Row],[Цена]]+Таблица37[[#This Row],[Трудозатраты]]</f>
        <v>195.49320000000003</v>
      </c>
      <c r="J133" s="357">
        <v>195.49320000000003</v>
      </c>
      <c r="K133" s="220" t="e">
        <f>VLOOKUP(Таблица37[[#This Row],[Оболочки]],'[3]Расчет себес оболочек'!$A$3:$E$35,5,0)</f>
        <v>#N/A</v>
      </c>
    </row>
    <row r="134" spans="1:11" x14ac:dyDescent="0.25">
      <c r="B134" s="350" t="s">
        <v>851</v>
      </c>
      <c r="C134" s="351" t="s">
        <v>852</v>
      </c>
      <c r="D134" s="352" t="s">
        <v>640</v>
      </c>
      <c r="E134" s="353">
        <f t="shared" si="2"/>
        <v>219.52839999999998</v>
      </c>
      <c r="F134" s="354"/>
      <c r="G134" s="358" t="s">
        <v>2315</v>
      </c>
      <c r="H134" s="359"/>
      <c r="I134" s="356">
        <f>Таблица37[[#This Row],[Цена]]+Таблица37[[#This Row],[Трудозатраты]]</f>
        <v>219.52839999999998</v>
      </c>
      <c r="J134" s="357">
        <v>219.52839999999998</v>
      </c>
      <c r="K134" s="220" t="e">
        <f>VLOOKUP(Таблица37[[#This Row],[Оболочки]],'[3]Расчет себес оболочек'!$A$3:$E$35,5,0)</f>
        <v>#N/A</v>
      </c>
    </row>
    <row r="135" spans="1:11" x14ac:dyDescent="0.25">
      <c r="B135" s="350" t="s">
        <v>853</v>
      </c>
      <c r="C135" s="351" t="s">
        <v>854</v>
      </c>
      <c r="D135" s="352" t="s">
        <v>640</v>
      </c>
      <c r="E135" s="353">
        <f t="shared" si="2"/>
        <v>244.28880000000001</v>
      </c>
      <c r="F135" s="354"/>
      <c r="G135" s="358" t="s">
        <v>2315</v>
      </c>
      <c r="H135" s="359"/>
      <c r="I135" s="356">
        <f>Таблица37[[#This Row],[Цена]]+Таблица37[[#This Row],[Трудозатраты]]</f>
        <v>244.28880000000001</v>
      </c>
      <c r="J135" s="357">
        <v>244.28880000000001</v>
      </c>
      <c r="K135" s="220" t="e">
        <f>VLOOKUP(Таблица37[[#This Row],[Оболочки]],'[3]Расчет себес оболочек'!$A$3:$E$35,5,0)</f>
        <v>#N/A</v>
      </c>
    </row>
    <row r="136" spans="1:11" x14ac:dyDescent="0.25">
      <c r="B136" s="350" t="s">
        <v>855</v>
      </c>
      <c r="C136" s="351" t="s">
        <v>856</v>
      </c>
      <c r="D136" s="352" t="s">
        <v>640</v>
      </c>
      <c r="E136" s="353">
        <f t="shared" si="2"/>
        <v>217.76719999999997</v>
      </c>
      <c r="F136" s="354"/>
      <c r="G136" s="358" t="s">
        <v>2315</v>
      </c>
      <c r="H136" s="359"/>
      <c r="I136" s="356">
        <f>Таблица37[[#This Row],[Цена]]+Таблица37[[#This Row],[Трудозатраты]]</f>
        <v>217.76719999999997</v>
      </c>
      <c r="J136" s="357">
        <v>217.76719999999997</v>
      </c>
      <c r="K136" s="220" t="e">
        <f>VLOOKUP(Таблица37[[#This Row],[Оболочки]],'[3]Расчет себес оболочек'!$A$3:$E$35,5,0)</f>
        <v>#N/A</v>
      </c>
    </row>
    <row r="137" spans="1:11" x14ac:dyDescent="0.25">
      <c r="B137" s="350" t="s">
        <v>857</v>
      </c>
      <c r="C137" s="351" t="s">
        <v>858</v>
      </c>
      <c r="D137" s="352" t="s">
        <v>640</v>
      </c>
      <c r="E137" s="353">
        <f t="shared" si="2"/>
        <v>266.97719999999998</v>
      </c>
      <c r="F137" s="354"/>
      <c r="G137" s="358" t="s">
        <v>2316</v>
      </c>
      <c r="H137" s="359"/>
      <c r="I137" s="356">
        <f>Таблица37[[#This Row],[Цена]]+Таблица37[[#This Row],[Трудозатраты]]</f>
        <v>266.97719999999998</v>
      </c>
      <c r="J137" s="357">
        <v>266.97719999999998</v>
      </c>
      <c r="K137" s="220" t="e">
        <f>VLOOKUP(Таблица37[[#This Row],[Оболочки]],'[3]Расчет себес оболочек'!$A$3:$E$35,5,0)</f>
        <v>#N/A</v>
      </c>
    </row>
    <row r="138" spans="1:11" x14ac:dyDescent="0.25">
      <c r="B138" s="350" t="s">
        <v>859</v>
      </c>
      <c r="C138" s="351" t="s">
        <v>860</v>
      </c>
      <c r="D138" s="352" t="s">
        <v>640</v>
      </c>
      <c r="E138" s="353">
        <f t="shared" si="2"/>
        <v>268.63480000000004</v>
      </c>
      <c r="F138" s="354"/>
      <c r="G138" s="358" t="s">
        <v>2316</v>
      </c>
      <c r="H138" s="359"/>
      <c r="I138" s="356">
        <f>Таблица37[[#This Row],[Цена]]+Таблица37[[#This Row],[Трудозатраты]]</f>
        <v>268.63480000000004</v>
      </c>
      <c r="J138" s="357">
        <v>268.63480000000004</v>
      </c>
      <c r="K138" s="220" t="e">
        <f>VLOOKUP(Таблица37[[#This Row],[Оболочки]],'[3]Расчет себес оболочек'!$A$3:$E$35,5,0)</f>
        <v>#N/A</v>
      </c>
    </row>
    <row r="139" spans="1:11" x14ac:dyDescent="0.25">
      <c r="B139" s="350" t="s">
        <v>861</v>
      </c>
      <c r="C139" s="351" t="s">
        <v>862</v>
      </c>
      <c r="D139" s="352" t="s">
        <v>640</v>
      </c>
      <c r="E139" s="353">
        <f t="shared" si="2"/>
        <v>273.19319999999999</v>
      </c>
      <c r="F139" s="354"/>
      <c r="G139" s="358" t="s">
        <v>2316</v>
      </c>
      <c r="H139" s="359"/>
      <c r="I139" s="356">
        <f>Таблица37[[#This Row],[Цена]]+Таблица37[[#This Row],[Трудозатраты]]</f>
        <v>273.19319999999999</v>
      </c>
      <c r="J139" s="357">
        <v>273.19319999999999</v>
      </c>
      <c r="K139" s="220" t="e">
        <f>VLOOKUP(Таблица37[[#This Row],[Оболочки]],'[3]Расчет себес оболочек'!$A$3:$E$35,5,0)</f>
        <v>#N/A</v>
      </c>
    </row>
    <row r="140" spans="1:11" x14ac:dyDescent="0.25">
      <c r="B140" s="350" t="s">
        <v>863</v>
      </c>
      <c r="C140" s="351" t="s">
        <v>864</v>
      </c>
      <c r="D140" s="352" t="s">
        <v>640</v>
      </c>
      <c r="E140" s="353">
        <f t="shared" si="2"/>
        <v>278.3732</v>
      </c>
      <c r="F140" s="354"/>
      <c r="G140" s="358" t="s">
        <v>2316</v>
      </c>
      <c r="H140" s="359"/>
      <c r="I140" s="356">
        <f>Таблица37[[#This Row],[Цена]]+Таблица37[[#This Row],[Трудозатраты]]</f>
        <v>278.3732</v>
      </c>
      <c r="J140" s="357">
        <v>278.3732</v>
      </c>
      <c r="K140" s="220" t="e">
        <f>VLOOKUP(Таблица37[[#This Row],[Оболочки]],'[3]Расчет себес оболочек'!$A$3:$E$35,5,0)</f>
        <v>#N/A</v>
      </c>
    </row>
    <row r="141" spans="1:11" x14ac:dyDescent="0.25">
      <c r="B141" s="350" t="s">
        <v>865</v>
      </c>
      <c r="C141" s="351" t="s">
        <v>866</v>
      </c>
      <c r="D141" s="352" t="s">
        <v>640</v>
      </c>
      <c r="E141" s="353">
        <f t="shared" si="2"/>
        <v>275.67959999999999</v>
      </c>
      <c r="F141" s="354"/>
      <c r="G141" s="358" t="s">
        <v>2316</v>
      </c>
      <c r="H141" s="359"/>
      <c r="I141" s="356">
        <f>Таблица37[[#This Row],[Цена]]+Таблица37[[#This Row],[Трудозатраты]]</f>
        <v>275.67959999999999</v>
      </c>
      <c r="J141" s="357">
        <v>275.67959999999999</v>
      </c>
      <c r="K141" s="220" t="e">
        <f>VLOOKUP(Таблица37[[#This Row],[Оболочки]],'[3]Расчет себес оболочек'!$A$3:$E$35,5,0)</f>
        <v>#N/A</v>
      </c>
    </row>
    <row r="142" spans="1:11" x14ac:dyDescent="0.25">
      <c r="B142" s="350" t="s">
        <v>867</v>
      </c>
      <c r="C142" s="351" t="s">
        <v>868</v>
      </c>
      <c r="D142" s="352" t="s">
        <v>640</v>
      </c>
      <c r="E142" s="353">
        <f t="shared" si="2"/>
        <v>324.5788</v>
      </c>
      <c r="F142" s="354"/>
      <c r="G142" s="358" t="s">
        <v>2316</v>
      </c>
      <c r="H142" s="359"/>
      <c r="I142" s="356">
        <f>Таблица37[[#This Row],[Цена]]+Таблица37[[#This Row],[Трудозатраты]]</f>
        <v>324.5788</v>
      </c>
      <c r="J142" s="357">
        <v>324.5788</v>
      </c>
      <c r="K142" s="220" t="e">
        <f>VLOOKUP(Таблица37[[#This Row],[Оболочки]],'[3]Расчет себес оболочек'!$A$3:$E$35,5,0)</f>
        <v>#N/A</v>
      </c>
    </row>
    <row r="143" spans="1:11" x14ac:dyDescent="0.25">
      <c r="B143" s="350" t="s">
        <v>869</v>
      </c>
      <c r="C143" s="351" t="s">
        <v>870</v>
      </c>
      <c r="D143" s="352" t="s">
        <v>640</v>
      </c>
      <c r="E143" s="353">
        <f t="shared" si="2"/>
        <v>317.53399999999993</v>
      </c>
      <c r="F143" s="354"/>
      <c r="G143" s="358" t="s">
        <v>2316</v>
      </c>
      <c r="H143" s="359"/>
      <c r="I143" s="356">
        <f>Таблица37[[#This Row],[Цена]]+Таблица37[[#This Row],[Трудозатраты]]</f>
        <v>317.53399999999993</v>
      </c>
      <c r="J143" s="357">
        <v>317.53399999999993</v>
      </c>
      <c r="K143" s="220" t="e">
        <f>VLOOKUP(Таблица37[[#This Row],[Оболочки]],'[3]Расчет себес оболочек'!$A$3:$E$35,5,0)</f>
        <v>#N/A</v>
      </c>
    </row>
    <row r="144" spans="1:11" x14ac:dyDescent="0.25">
      <c r="B144" s="350" t="s">
        <v>871</v>
      </c>
      <c r="C144" s="351" t="s">
        <v>872</v>
      </c>
      <c r="D144" s="352" t="s">
        <v>640</v>
      </c>
      <c r="E144" s="353">
        <f t="shared" si="2"/>
        <v>354.51920000000007</v>
      </c>
      <c r="F144" s="354"/>
      <c r="G144" s="358" t="s">
        <v>2317</v>
      </c>
      <c r="H144" s="359"/>
      <c r="I144" s="356">
        <f>Таблица37[[#This Row],[Цена]]+Таблица37[[#This Row],[Трудозатраты]]</f>
        <v>354.51920000000007</v>
      </c>
      <c r="J144" s="357">
        <v>354.51920000000007</v>
      </c>
      <c r="K144" s="220" t="e">
        <f>VLOOKUP(Таблица37[[#This Row],[Оболочки]],'[3]Расчет себес оболочек'!$A$3:$E$35,5,0)</f>
        <v>#N/A</v>
      </c>
    </row>
    <row r="145" spans="2:11" x14ac:dyDescent="0.25">
      <c r="B145" s="350" t="s">
        <v>873</v>
      </c>
      <c r="C145" s="351" t="s">
        <v>874</v>
      </c>
      <c r="D145" s="352" t="s">
        <v>640</v>
      </c>
      <c r="E145" s="353">
        <f t="shared" si="2"/>
        <v>410.15240000000006</v>
      </c>
      <c r="F145" s="354"/>
      <c r="G145" s="358" t="s">
        <v>2317</v>
      </c>
      <c r="H145" s="359"/>
      <c r="I145" s="356">
        <f>Таблица37[[#This Row],[Цена]]+Таблица37[[#This Row],[Трудозатраты]]</f>
        <v>410.15240000000006</v>
      </c>
      <c r="J145" s="357">
        <v>410.15240000000006</v>
      </c>
      <c r="K145" s="220" t="e">
        <f>VLOOKUP(Таблица37[[#This Row],[Оболочки]],'[3]Расчет себес оболочек'!$A$3:$E$35,5,0)</f>
        <v>#N/A</v>
      </c>
    </row>
    <row r="146" spans="2:11" x14ac:dyDescent="0.25">
      <c r="B146" s="350" t="s">
        <v>875</v>
      </c>
      <c r="C146" s="351" t="s">
        <v>876</v>
      </c>
      <c r="D146" s="352" t="s">
        <v>640</v>
      </c>
      <c r="E146" s="353">
        <f t="shared" si="2"/>
        <v>402.27880000000005</v>
      </c>
      <c r="F146" s="354"/>
      <c r="G146" s="358" t="s">
        <v>2317</v>
      </c>
      <c r="H146" s="359"/>
      <c r="I146" s="356">
        <f>Таблица37[[#This Row],[Цена]]+Таблица37[[#This Row],[Трудозатраты]]</f>
        <v>402.27880000000005</v>
      </c>
      <c r="J146" s="357">
        <v>402.27880000000005</v>
      </c>
      <c r="K146" s="220" t="e">
        <f>VLOOKUP(Таблица37[[#This Row],[Оболочки]],'[3]Расчет себес оболочек'!$A$3:$E$35,5,0)</f>
        <v>#N/A</v>
      </c>
    </row>
    <row r="147" spans="2:11" x14ac:dyDescent="0.25">
      <c r="B147" s="350" t="s">
        <v>877</v>
      </c>
      <c r="C147" s="351" t="s">
        <v>878</v>
      </c>
      <c r="D147" s="352" t="s">
        <v>640</v>
      </c>
      <c r="E147" s="353">
        <f t="shared" si="2"/>
        <v>636.93280000000004</v>
      </c>
      <c r="F147" s="354"/>
      <c r="G147" s="358" t="s">
        <v>2318</v>
      </c>
      <c r="H147" s="359"/>
      <c r="I147" s="356">
        <f>Таблица37[[#This Row],[Цена]]+Таблица37[[#This Row],[Трудозатраты]]</f>
        <v>636.93280000000004</v>
      </c>
      <c r="J147" s="357">
        <v>636.93280000000004</v>
      </c>
      <c r="K147" s="220" t="e">
        <f>VLOOKUP(Таблица37[[#This Row],[Оболочки]],'[3]Расчет себес оболочек'!$A$3:$E$35,5,0)</f>
        <v>#N/A</v>
      </c>
    </row>
    <row r="148" spans="2:11" x14ac:dyDescent="0.25">
      <c r="B148" s="350" t="s">
        <v>879</v>
      </c>
      <c r="C148" s="351" t="s">
        <v>880</v>
      </c>
      <c r="D148" s="352" t="s">
        <v>640</v>
      </c>
      <c r="E148" s="353">
        <f t="shared" si="2"/>
        <v>598.70440000000019</v>
      </c>
      <c r="F148" s="354"/>
      <c r="G148" s="358" t="s">
        <v>2318</v>
      </c>
      <c r="H148" s="359"/>
      <c r="I148" s="356">
        <f>Таблица37[[#This Row],[Цена]]+Таблица37[[#This Row],[Трудозатраты]]</f>
        <v>598.70440000000019</v>
      </c>
      <c r="J148" s="357">
        <v>598.70440000000019</v>
      </c>
      <c r="K148" s="220" t="e">
        <f>VLOOKUP(Таблица37[[#This Row],[Оболочки]],'[3]Расчет себес оболочек'!$A$3:$E$35,5,0)</f>
        <v>#N/A</v>
      </c>
    </row>
    <row r="149" spans="2:11" x14ac:dyDescent="0.25">
      <c r="B149" s="350" t="s">
        <v>881</v>
      </c>
      <c r="C149" s="351" t="s">
        <v>882</v>
      </c>
      <c r="D149" s="352" t="s">
        <v>640</v>
      </c>
      <c r="E149" s="353">
        <f t="shared" si="2"/>
        <v>167.93559999999997</v>
      </c>
      <c r="F149" s="354"/>
      <c r="G149" s="355"/>
      <c r="H149" s="359"/>
      <c r="I149" s="356">
        <f>Таблица37[[#This Row],[Цена]]+Таблица37[[#This Row],[Трудозатраты]]</f>
        <v>167.93559999999997</v>
      </c>
      <c r="J149" s="357">
        <v>167.93559999999997</v>
      </c>
      <c r="K149" s="220" t="e">
        <f>VLOOKUP(Таблица37[[#This Row],[Оболочки]],'[3]Расчет себес оболочек'!$A$3:$E$35,5,0)</f>
        <v>#N/A</v>
      </c>
    </row>
    <row r="150" spans="2:11" x14ac:dyDescent="0.25">
      <c r="B150" s="350" t="s">
        <v>883</v>
      </c>
      <c r="C150" s="351" t="s">
        <v>884</v>
      </c>
      <c r="D150" s="352" t="s">
        <v>640</v>
      </c>
      <c r="E150" s="353">
        <f t="shared" si="2"/>
        <v>189.27720000000002</v>
      </c>
      <c r="F150" s="354"/>
      <c r="G150" s="355"/>
      <c r="H150" s="359"/>
      <c r="I150" s="356">
        <f>Таблица37[[#This Row],[Цена]]+Таблица37[[#This Row],[Трудозатраты]]</f>
        <v>189.27720000000002</v>
      </c>
      <c r="J150" s="357">
        <v>189.27720000000002</v>
      </c>
      <c r="K150" s="220" t="e">
        <f>VLOOKUP(Таблица37[[#This Row],[Оболочки]],'[3]Расчет себес оболочек'!$A$3:$E$35,5,0)</f>
        <v>#N/A</v>
      </c>
    </row>
    <row r="151" spans="2:11" x14ac:dyDescent="0.25">
      <c r="B151" s="350" t="s">
        <v>885</v>
      </c>
      <c r="C151" s="351" t="s">
        <v>886</v>
      </c>
      <c r="D151" s="352" t="s">
        <v>640</v>
      </c>
      <c r="E151" s="353">
        <f t="shared" si="2"/>
        <v>190.93480000000002</v>
      </c>
      <c r="F151" s="354"/>
      <c r="G151" s="355"/>
      <c r="H151" s="359"/>
      <c r="I151" s="356">
        <f>Таблица37[[#This Row],[Цена]]+Таблица37[[#This Row],[Трудозатраты]]</f>
        <v>190.93480000000002</v>
      </c>
      <c r="J151" s="357">
        <v>190.93480000000002</v>
      </c>
      <c r="K151" s="220" t="e">
        <f>VLOOKUP(Таблица37[[#This Row],[Оболочки]],'[3]Расчет себес оболочек'!$A$3:$E$35,5,0)</f>
        <v>#N/A</v>
      </c>
    </row>
    <row r="152" spans="2:11" x14ac:dyDescent="0.25">
      <c r="B152" s="350" t="s">
        <v>887</v>
      </c>
      <c r="C152" s="351" t="s">
        <v>888</v>
      </c>
      <c r="D152" s="352" t="s">
        <v>640</v>
      </c>
      <c r="E152" s="353">
        <f t="shared" si="2"/>
        <v>196.42560000000003</v>
      </c>
      <c r="F152" s="354"/>
      <c r="G152" s="355"/>
      <c r="H152" s="359"/>
      <c r="I152" s="356">
        <f>Таблица37[[#This Row],[Цена]]+Таблица37[[#This Row],[Трудозатраты]]</f>
        <v>196.42560000000003</v>
      </c>
      <c r="J152" s="357">
        <v>196.42560000000003</v>
      </c>
      <c r="K152" s="220" t="e">
        <f>VLOOKUP(Таблица37[[#This Row],[Оболочки]],'[3]Расчет себес оболочек'!$A$3:$E$35,5,0)</f>
        <v>#N/A</v>
      </c>
    </row>
    <row r="153" spans="2:11" x14ac:dyDescent="0.25">
      <c r="B153" s="350" t="s">
        <v>889</v>
      </c>
      <c r="C153" s="351" t="s">
        <v>890</v>
      </c>
      <c r="D153" s="352" t="s">
        <v>640</v>
      </c>
      <c r="E153" s="353">
        <f t="shared" si="2"/>
        <v>220.46079999999998</v>
      </c>
      <c r="F153" s="354"/>
      <c r="G153" s="355"/>
      <c r="H153" s="359"/>
      <c r="I153" s="356">
        <f>Таблица37[[#This Row],[Цена]]+Таблица37[[#This Row],[Трудозатраты]]</f>
        <v>220.46079999999998</v>
      </c>
      <c r="J153" s="357">
        <v>220.46079999999998</v>
      </c>
      <c r="K153" s="220" t="e">
        <f>VLOOKUP(Таблица37[[#This Row],[Оболочки]],'[3]Расчет себес оболочек'!$A$3:$E$35,5,0)</f>
        <v>#N/A</v>
      </c>
    </row>
    <row r="154" spans="2:11" x14ac:dyDescent="0.25">
      <c r="B154" s="350" t="s">
        <v>891</v>
      </c>
      <c r="C154" s="351" t="s">
        <v>892</v>
      </c>
      <c r="D154" s="352" t="s">
        <v>640</v>
      </c>
      <c r="E154" s="353">
        <f t="shared" si="2"/>
        <v>245.22119999999998</v>
      </c>
      <c r="F154" s="354"/>
      <c r="G154" s="355"/>
      <c r="H154" s="359"/>
      <c r="I154" s="356">
        <f>Таблица37[[#This Row],[Цена]]+Таблица37[[#This Row],[Трудозатраты]]</f>
        <v>245.22119999999998</v>
      </c>
      <c r="J154" s="357">
        <v>245.22119999999998</v>
      </c>
      <c r="K154" s="220" t="e">
        <f>VLOOKUP(Таблица37[[#This Row],[Оболочки]],'[3]Расчет себес оболочек'!$A$3:$E$35,5,0)</f>
        <v>#N/A</v>
      </c>
    </row>
    <row r="155" spans="2:11" x14ac:dyDescent="0.25">
      <c r="B155" s="350" t="s">
        <v>893</v>
      </c>
      <c r="C155" s="351" t="s">
        <v>894</v>
      </c>
      <c r="D155" s="352" t="s">
        <v>640</v>
      </c>
      <c r="E155" s="353">
        <f t="shared" si="2"/>
        <v>218.6996</v>
      </c>
      <c r="F155" s="354"/>
      <c r="G155" s="355"/>
      <c r="H155" s="359"/>
      <c r="I155" s="356">
        <f>Таблица37[[#This Row],[Цена]]+Таблица37[[#This Row],[Трудозатраты]]</f>
        <v>218.6996</v>
      </c>
      <c r="J155" s="357">
        <v>218.6996</v>
      </c>
      <c r="K155" s="220" t="e">
        <f>VLOOKUP(Таблица37[[#This Row],[Оболочки]],'[3]Расчет себес оболочек'!$A$3:$E$35,5,0)</f>
        <v>#N/A</v>
      </c>
    </row>
    <row r="156" spans="2:11" x14ac:dyDescent="0.25">
      <c r="B156" s="350" t="s">
        <v>895</v>
      </c>
      <c r="C156" s="351" t="s">
        <v>896</v>
      </c>
      <c r="D156" s="352" t="s">
        <v>640</v>
      </c>
      <c r="E156" s="353">
        <f t="shared" si="2"/>
        <v>269.15280000000001</v>
      </c>
      <c r="F156" s="354"/>
      <c r="G156" s="355"/>
      <c r="H156" s="359"/>
      <c r="I156" s="356">
        <f>Таблица37[[#This Row],[Цена]]+Таблица37[[#This Row],[Трудозатраты]]</f>
        <v>269.15280000000001</v>
      </c>
      <c r="J156" s="357">
        <v>269.15280000000001</v>
      </c>
      <c r="K156" s="220" t="e">
        <f>VLOOKUP(Таблица37[[#This Row],[Оболочки]],'[3]Расчет себес оболочек'!$A$3:$E$35,5,0)</f>
        <v>#N/A</v>
      </c>
    </row>
    <row r="157" spans="2:11" x14ac:dyDescent="0.25">
      <c r="B157" s="350" t="s">
        <v>897</v>
      </c>
      <c r="C157" s="351" t="s">
        <v>898</v>
      </c>
      <c r="D157" s="352" t="s">
        <v>640</v>
      </c>
      <c r="E157" s="353">
        <f t="shared" si="2"/>
        <v>270.81040000000002</v>
      </c>
      <c r="F157" s="354"/>
      <c r="G157" s="355"/>
      <c r="H157" s="359"/>
      <c r="I157" s="356">
        <f>Таблица37[[#This Row],[Цена]]+Таблица37[[#This Row],[Трудозатраты]]</f>
        <v>270.81040000000002</v>
      </c>
      <c r="J157" s="357">
        <v>270.81040000000002</v>
      </c>
      <c r="K157" s="220" t="e">
        <f>VLOOKUP(Таблица37[[#This Row],[Оболочки]],'[3]Расчет себес оболочек'!$A$3:$E$35,5,0)</f>
        <v>#N/A</v>
      </c>
    </row>
    <row r="158" spans="2:11" x14ac:dyDescent="0.25">
      <c r="B158" s="350" t="s">
        <v>899</v>
      </c>
      <c r="C158" s="351" t="s">
        <v>900</v>
      </c>
      <c r="D158" s="352" t="s">
        <v>640</v>
      </c>
      <c r="E158" s="353">
        <f t="shared" si="2"/>
        <v>275.36879999999996</v>
      </c>
      <c r="F158" s="354"/>
      <c r="G158" s="355"/>
      <c r="H158" s="359"/>
      <c r="I158" s="356">
        <f>Таблица37[[#This Row],[Цена]]+Таблица37[[#This Row],[Трудозатраты]]</f>
        <v>275.36879999999996</v>
      </c>
      <c r="J158" s="357">
        <v>275.36879999999996</v>
      </c>
      <c r="K158" s="220" t="e">
        <f>VLOOKUP(Таблица37[[#This Row],[Оболочки]],'[3]Расчет себес оболочек'!$A$3:$E$35,5,0)</f>
        <v>#N/A</v>
      </c>
    </row>
    <row r="159" spans="2:11" x14ac:dyDescent="0.25">
      <c r="B159" s="350" t="s">
        <v>901</v>
      </c>
      <c r="C159" s="351" t="s">
        <v>902</v>
      </c>
      <c r="D159" s="352" t="s">
        <v>640</v>
      </c>
      <c r="E159" s="353">
        <f t="shared" si="2"/>
        <v>280.54879999999997</v>
      </c>
      <c r="F159" s="354"/>
      <c r="G159" s="355"/>
      <c r="H159" s="359"/>
      <c r="I159" s="356">
        <f>Таблица37[[#This Row],[Цена]]+Таблица37[[#This Row],[Трудозатраты]]</f>
        <v>280.54879999999997</v>
      </c>
      <c r="J159" s="357">
        <v>280.54879999999997</v>
      </c>
      <c r="K159" s="220" t="e">
        <f>VLOOKUP(Таблица37[[#This Row],[Оболочки]],'[3]Расчет себес оболочек'!$A$3:$E$35,5,0)</f>
        <v>#N/A</v>
      </c>
    </row>
    <row r="160" spans="2:11" x14ac:dyDescent="0.25">
      <c r="B160" s="350" t="s">
        <v>903</v>
      </c>
      <c r="C160" s="351" t="s">
        <v>904</v>
      </c>
      <c r="D160" s="352" t="s">
        <v>640</v>
      </c>
      <c r="E160" s="353">
        <f t="shared" si="2"/>
        <v>277.85519999999997</v>
      </c>
      <c r="F160" s="354"/>
      <c r="G160" s="355"/>
      <c r="H160" s="359"/>
      <c r="I160" s="356">
        <f>Таблица37[[#This Row],[Цена]]+Таблица37[[#This Row],[Трудозатраты]]</f>
        <v>277.85519999999997</v>
      </c>
      <c r="J160" s="357">
        <v>277.85519999999997</v>
      </c>
      <c r="K160" s="220" t="e">
        <f>VLOOKUP(Таблица37[[#This Row],[Оболочки]],'[3]Расчет себес оболочек'!$A$3:$E$35,5,0)</f>
        <v>#N/A</v>
      </c>
    </row>
    <row r="161" spans="2:11" x14ac:dyDescent="0.25">
      <c r="B161" s="350" t="s">
        <v>905</v>
      </c>
      <c r="C161" s="351" t="s">
        <v>906</v>
      </c>
      <c r="D161" s="352" t="s">
        <v>640</v>
      </c>
      <c r="E161" s="353">
        <f t="shared" si="2"/>
        <v>326.75439999999998</v>
      </c>
      <c r="F161" s="354"/>
      <c r="G161" s="355"/>
      <c r="H161" s="359"/>
      <c r="I161" s="356">
        <f>Таблица37[[#This Row],[Цена]]+Таблица37[[#This Row],[Трудозатраты]]</f>
        <v>326.75439999999998</v>
      </c>
      <c r="J161" s="357">
        <v>326.75439999999998</v>
      </c>
      <c r="K161" s="220" t="e">
        <f>VLOOKUP(Таблица37[[#This Row],[Оболочки]],'[3]Расчет себес оболочек'!$A$3:$E$35,5,0)</f>
        <v>#N/A</v>
      </c>
    </row>
    <row r="162" spans="2:11" x14ac:dyDescent="0.25">
      <c r="B162" s="350" t="s">
        <v>907</v>
      </c>
      <c r="C162" s="351" t="s">
        <v>908</v>
      </c>
      <c r="D162" s="352" t="s">
        <v>640</v>
      </c>
      <c r="E162" s="353">
        <f t="shared" si="2"/>
        <v>319.70959999999997</v>
      </c>
      <c r="F162" s="354"/>
      <c r="G162" s="355"/>
      <c r="H162" s="359"/>
      <c r="I162" s="356">
        <f>Таблица37[[#This Row],[Цена]]+Таблица37[[#This Row],[Трудозатраты]]</f>
        <v>319.70959999999997</v>
      </c>
      <c r="J162" s="357">
        <v>319.70959999999997</v>
      </c>
      <c r="K162" s="220" t="e">
        <f>VLOOKUP(Таблица37[[#This Row],[Оболочки]],'[3]Расчет себес оболочек'!$A$3:$E$35,5,0)</f>
        <v>#N/A</v>
      </c>
    </row>
    <row r="163" spans="2:11" x14ac:dyDescent="0.25">
      <c r="B163" s="350" t="s">
        <v>909</v>
      </c>
      <c r="C163" s="351" t="s">
        <v>910</v>
      </c>
      <c r="D163" s="352" t="s">
        <v>640</v>
      </c>
      <c r="E163" s="353">
        <f t="shared" si="2"/>
        <v>348.61400000000003</v>
      </c>
      <c r="F163" s="354"/>
      <c r="G163" s="355"/>
      <c r="H163" s="359"/>
      <c r="I163" s="356">
        <f>Таблица37[[#This Row],[Цена]]+Таблица37[[#This Row],[Трудозатраты]]</f>
        <v>348.61400000000003</v>
      </c>
      <c r="J163" s="357">
        <v>348.61400000000003</v>
      </c>
      <c r="K163" s="220" t="e">
        <f>VLOOKUP(Таблица37[[#This Row],[Оболочки]],'[3]Расчет себес оболочек'!$A$3:$E$35,5,0)</f>
        <v>#N/A</v>
      </c>
    </row>
    <row r="164" spans="2:11" x14ac:dyDescent="0.25">
      <c r="B164" s="350" t="s">
        <v>911</v>
      </c>
      <c r="C164" s="351" t="s">
        <v>912</v>
      </c>
      <c r="D164" s="352" t="s">
        <v>640</v>
      </c>
      <c r="E164" s="353">
        <f t="shared" si="2"/>
        <v>404.24720000000002</v>
      </c>
      <c r="F164" s="354"/>
      <c r="G164" s="355"/>
      <c r="H164" s="359"/>
      <c r="I164" s="356">
        <f>Таблица37[[#This Row],[Цена]]+Таблица37[[#This Row],[Трудозатраты]]</f>
        <v>404.24720000000002</v>
      </c>
      <c r="J164" s="357">
        <v>404.24720000000002</v>
      </c>
      <c r="K164" s="220" t="e">
        <f>VLOOKUP(Таблица37[[#This Row],[Оболочки]],'[3]Расчет себес оболочек'!$A$3:$E$35,5,0)</f>
        <v>#N/A</v>
      </c>
    </row>
    <row r="165" spans="2:11" x14ac:dyDescent="0.25">
      <c r="B165" s="350" t="s">
        <v>913</v>
      </c>
      <c r="C165" s="351" t="s">
        <v>914</v>
      </c>
      <c r="D165" s="352" t="s">
        <v>640</v>
      </c>
      <c r="E165" s="353">
        <f t="shared" si="2"/>
        <v>396.37360000000007</v>
      </c>
      <c r="F165" s="354"/>
      <c r="G165" s="355"/>
      <c r="H165" s="359"/>
      <c r="I165" s="356">
        <f>Таблица37[[#This Row],[Цена]]+Таблица37[[#This Row],[Трудозатраты]]</f>
        <v>396.37360000000007</v>
      </c>
      <c r="J165" s="357">
        <v>396.37360000000007</v>
      </c>
      <c r="K165" s="220" t="e">
        <f>VLOOKUP(Таблица37[[#This Row],[Оболочки]],'[3]Расчет себес оболочек'!$A$3:$E$35,5,0)</f>
        <v>#N/A</v>
      </c>
    </row>
    <row r="166" spans="2:11" x14ac:dyDescent="0.25">
      <c r="B166" s="350" t="s">
        <v>915</v>
      </c>
      <c r="C166" s="351" t="s">
        <v>916</v>
      </c>
      <c r="D166" s="352" t="s">
        <v>640</v>
      </c>
      <c r="E166" s="353">
        <f t="shared" si="2"/>
        <v>601.29440000000011</v>
      </c>
      <c r="F166" s="354"/>
      <c r="G166" s="355"/>
      <c r="H166" s="359"/>
      <c r="I166" s="356">
        <f>Таблица37[[#This Row],[Цена]]+Таблица37[[#This Row],[Трудозатраты]]</f>
        <v>601.29440000000011</v>
      </c>
      <c r="J166" s="357">
        <v>601.29440000000011</v>
      </c>
      <c r="K166" s="220" t="e">
        <f>VLOOKUP(Таблица37[[#This Row],[Оболочки]],'[3]Расчет себес оболочек'!$A$3:$E$35,5,0)</f>
        <v>#N/A</v>
      </c>
    </row>
    <row r="167" spans="2:11" x14ac:dyDescent="0.25">
      <c r="B167" s="350" t="s">
        <v>917</v>
      </c>
      <c r="C167" s="351" t="s">
        <v>918</v>
      </c>
      <c r="D167" s="352" t="s">
        <v>640</v>
      </c>
      <c r="E167" s="353">
        <f t="shared" si="2"/>
        <v>563.06600000000003</v>
      </c>
      <c r="F167" s="354"/>
      <c r="G167" s="355"/>
      <c r="H167" s="359"/>
      <c r="I167" s="356">
        <f>Таблица37[[#This Row],[Цена]]+Таблица37[[#This Row],[Трудозатраты]]</f>
        <v>563.06600000000003</v>
      </c>
      <c r="J167" s="357">
        <v>563.06600000000003</v>
      </c>
      <c r="K167" s="220" t="e">
        <f>VLOOKUP(Таблица37[[#This Row],[Оболочки]],'[3]Расчет себес оболочек'!$A$3:$E$35,5,0)</f>
        <v>#N/A</v>
      </c>
    </row>
    <row r="168" spans="2:11" x14ac:dyDescent="0.25">
      <c r="B168" s="350" t="s">
        <v>406</v>
      </c>
      <c r="C168" s="351" t="s">
        <v>919</v>
      </c>
      <c r="D168" s="352" t="s">
        <v>640</v>
      </c>
      <c r="E168" s="353">
        <f t="shared" si="2"/>
        <v>171.87239999999997</v>
      </c>
      <c r="F168" s="354"/>
      <c r="G168" s="358" t="s">
        <v>2315</v>
      </c>
      <c r="H168" s="359"/>
      <c r="I168" s="356">
        <f>Таблица37[[#This Row],[Цена]]+Таблица37[[#This Row],[Трудозатраты]]</f>
        <v>171.87239999999997</v>
      </c>
      <c r="J168" s="357">
        <v>171.87239999999997</v>
      </c>
      <c r="K168" s="220" t="e">
        <f>VLOOKUP(Таблица37[[#This Row],[Оболочки]],'[3]Расчет себес оболочек'!$A$3:$E$35,5,0)</f>
        <v>#N/A</v>
      </c>
    </row>
    <row r="169" spans="2:11" x14ac:dyDescent="0.25">
      <c r="B169" s="350" t="s">
        <v>410</v>
      </c>
      <c r="C169" s="351" t="s">
        <v>920</v>
      </c>
      <c r="D169" s="352" t="s">
        <v>640</v>
      </c>
      <c r="E169" s="353">
        <f t="shared" si="2"/>
        <v>167.72839999999999</v>
      </c>
      <c r="F169" s="354"/>
      <c r="G169" s="358" t="s">
        <v>2315</v>
      </c>
      <c r="H169" s="359"/>
      <c r="I169" s="356">
        <f>Таблица37[[#This Row],[Цена]]+Таблица37[[#This Row],[Трудозатраты]]</f>
        <v>167.72839999999999</v>
      </c>
      <c r="J169" s="357">
        <v>167.72839999999999</v>
      </c>
      <c r="K169" s="220" t="e">
        <f>VLOOKUP(Таблица37[[#This Row],[Оболочки]],'[3]Расчет себес оболочек'!$A$3:$E$35,5,0)</f>
        <v>#N/A</v>
      </c>
    </row>
    <row r="170" spans="2:11" x14ac:dyDescent="0.25">
      <c r="B170" s="350" t="s">
        <v>414</v>
      </c>
      <c r="C170" s="351" t="s">
        <v>921</v>
      </c>
      <c r="D170" s="352" t="s">
        <v>640</v>
      </c>
      <c r="E170" s="353">
        <f t="shared" si="2"/>
        <v>186.27279999999999</v>
      </c>
      <c r="F170" s="354"/>
      <c r="G170" s="358" t="s">
        <v>2316</v>
      </c>
      <c r="H170" s="359"/>
      <c r="I170" s="356">
        <f>Таблица37[[#This Row],[Цена]]+Таблица37[[#This Row],[Трудозатраты]]</f>
        <v>186.27279999999999</v>
      </c>
      <c r="J170" s="357">
        <v>186.27279999999999</v>
      </c>
      <c r="K170" s="220" t="e">
        <f>VLOOKUP(Таблица37[[#This Row],[Оболочки]],'[3]Расчет себес оболочек'!$A$3:$E$35,5,0)</f>
        <v>#N/A</v>
      </c>
    </row>
    <row r="171" spans="2:11" x14ac:dyDescent="0.25">
      <c r="B171" s="350" t="s">
        <v>418</v>
      </c>
      <c r="C171" s="351" t="s">
        <v>922</v>
      </c>
      <c r="D171" s="352" t="s">
        <v>640</v>
      </c>
      <c r="E171" s="353">
        <f t="shared" si="2"/>
        <v>208.13240000000002</v>
      </c>
      <c r="F171" s="354"/>
      <c r="G171" s="358" t="s">
        <v>2316</v>
      </c>
      <c r="H171" s="359"/>
      <c r="I171" s="356">
        <f>Таблица37[[#This Row],[Цена]]+Таблица37[[#This Row],[Трудозатраты]]</f>
        <v>208.13240000000002</v>
      </c>
      <c r="J171" s="357">
        <v>208.13240000000002</v>
      </c>
      <c r="K171" s="220" t="e">
        <f>VLOOKUP(Таблица37[[#This Row],[Оболочки]],'[3]Расчет себес оболочек'!$A$3:$E$35,5,0)</f>
        <v>#N/A</v>
      </c>
    </row>
    <row r="172" spans="2:11" x14ac:dyDescent="0.25">
      <c r="B172" s="350" t="s">
        <v>422</v>
      </c>
      <c r="C172" s="351" t="s">
        <v>923</v>
      </c>
      <c r="D172" s="352" t="s">
        <v>640</v>
      </c>
      <c r="E172" s="353">
        <f t="shared" si="2"/>
        <v>275.36879999999996</v>
      </c>
      <c r="F172" s="354"/>
      <c r="G172" s="358" t="s">
        <v>2317</v>
      </c>
      <c r="H172" s="359"/>
      <c r="I172" s="356">
        <f>Таблица37[[#This Row],[Цена]]+Таблица37[[#This Row],[Трудозатраты]]</f>
        <v>275.36879999999996</v>
      </c>
      <c r="J172" s="357">
        <v>275.36879999999996</v>
      </c>
      <c r="K172" s="220" t="e">
        <f>VLOOKUP(Таблица37[[#This Row],[Оболочки]],'[3]Расчет себес оболочек'!$A$3:$E$35,5,0)</f>
        <v>#N/A</v>
      </c>
    </row>
    <row r="173" spans="2:11" x14ac:dyDescent="0.25">
      <c r="B173" s="350" t="s">
        <v>426</v>
      </c>
      <c r="C173" s="351" t="s">
        <v>924</v>
      </c>
      <c r="D173" s="352" t="s">
        <v>640</v>
      </c>
      <c r="E173" s="353">
        <f t="shared" si="2"/>
        <v>312.76839999999987</v>
      </c>
      <c r="F173" s="354"/>
      <c r="G173" s="358" t="s">
        <v>2317</v>
      </c>
      <c r="H173" s="359"/>
      <c r="I173" s="356">
        <f>Таблица37[[#This Row],[Цена]]+Таблица37[[#This Row],[Трудозатраты]]</f>
        <v>312.76839999999987</v>
      </c>
      <c r="J173" s="357">
        <v>312.76839999999987</v>
      </c>
      <c r="K173" s="220" t="e">
        <f>VLOOKUP(Таблица37[[#This Row],[Оболочки]],'[3]Расчет себес оболочек'!$A$3:$E$35,5,0)</f>
        <v>#N/A</v>
      </c>
    </row>
    <row r="174" spans="2:11" x14ac:dyDescent="0.25">
      <c r="B174" s="350" t="s">
        <v>430</v>
      </c>
      <c r="C174" s="351" t="s">
        <v>925</v>
      </c>
      <c r="D174" s="352" t="s">
        <v>640</v>
      </c>
      <c r="E174" s="353">
        <f t="shared" si="2"/>
        <v>350.89320000000009</v>
      </c>
      <c r="F174" s="354"/>
      <c r="G174" s="358" t="s">
        <v>2318</v>
      </c>
      <c r="H174" s="359"/>
      <c r="I174" s="356">
        <f>Таблица37[[#This Row],[Цена]]+Таблица37[[#This Row],[Трудозатраты]]</f>
        <v>350.89320000000009</v>
      </c>
      <c r="J174" s="357">
        <v>350.89320000000009</v>
      </c>
      <c r="K174" s="220" t="e">
        <f>VLOOKUP(Таблица37[[#This Row],[Оболочки]],'[3]Расчет себес оболочек'!$A$3:$E$35,5,0)</f>
        <v>#N/A</v>
      </c>
    </row>
    <row r="175" spans="2:11" x14ac:dyDescent="0.25">
      <c r="B175" s="350" t="s">
        <v>434</v>
      </c>
      <c r="C175" s="351" t="s">
        <v>926</v>
      </c>
      <c r="D175" s="352" t="s">
        <v>640</v>
      </c>
      <c r="E175" s="353">
        <f t="shared" si="2"/>
        <v>392.12599999999998</v>
      </c>
      <c r="F175" s="354"/>
      <c r="G175" s="358" t="s">
        <v>2318</v>
      </c>
      <c r="H175" s="359"/>
      <c r="I175" s="356">
        <f>Таблица37[[#This Row],[Цена]]+Таблица37[[#This Row],[Трудозатраты]]</f>
        <v>392.12599999999998</v>
      </c>
      <c r="J175" s="357">
        <v>392.12599999999998</v>
      </c>
      <c r="K175" s="220" t="e">
        <f>VLOOKUP(Таблица37[[#This Row],[Оболочки]],'[3]Расчет себес оболочек'!$A$3:$E$35,5,0)</f>
        <v>#N/A</v>
      </c>
    </row>
    <row r="176" spans="2:11" x14ac:dyDescent="0.25">
      <c r="B176" s="350" t="s">
        <v>438</v>
      </c>
      <c r="C176" s="351" t="s">
        <v>927</v>
      </c>
      <c r="D176" s="352" t="s">
        <v>640</v>
      </c>
      <c r="E176" s="353">
        <f t="shared" si="2"/>
        <v>546.28280000000007</v>
      </c>
      <c r="F176" s="354"/>
      <c r="G176" s="358" t="s">
        <v>2319</v>
      </c>
      <c r="H176" s="359"/>
      <c r="I176" s="356">
        <f>Таблица37[[#This Row],[Цена]]+Таблица37[[#This Row],[Трудозатраты]]</f>
        <v>546.28280000000007</v>
      </c>
      <c r="J176" s="357">
        <v>546.28280000000007</v>
      </c>
      <c r="K176" s="220" t="e">
        <f>VLOOKUP(Таблица37[[#This Row],[Оболочки]],'[3]Расчет себес оболочек'!$A$3:$E$35,5,0)</f>
        <v>#N/A</v>
      </c>
    </row>
    <row r="177" spans="2:11" x14ac:dyDescent="0.25">
      <c r="B177" s="350" t="s">
        <v>442</v>
      </c>
      <c r="C177" s="351" t="s">
        <v>928</v>
      </c>
      <c r="D177" s="352" t="s">
        <v>640</v>
      </c>
      <c r="E177" s="353">
        <f t="shared" si="2"/>
        <v>609.58240000000012</v>
      </c>
      <c r="F177" s="354"/>
      <c r="G177" s="358" t="s">
        <v>2319</v>
      </c>
      <c r="H177" s="359"/>
      <c r="I177" s="356">
        <f>Таблица37[[#This Row],[Цена]]+Таблица37[[#This Row],[Трудозатраты]]</f>
        <v>609.58240000000012</v>
      </c>
      <c r="J177" s="357">
        <v>609.58240000000012</v>
      </c>
      <c r="K177" s="220" t="e">
        <f>VLOOKUP(Таблица37[[#This Row],[Оболочки]],'[3]Расчет себес оболочек'!$A$3:$E$35,5,0)</f>
        <v>#N/A</v>
      </c>
    </row>
    <row r="178" spans="2:11" x14ac:dyDescent="0.25">
      <c r="B178" s="350" t="s">
        <v>446</v>
      </c>
      <c r="C178" s="351" t="s">
        <v>929</v>
      </c>
      <c r="D178" s="352" t="s">
        <v>640</v>
      </c>
      <c r="E178" s="353">
        <f t="shared" si="2"/>
        <v>701.0612000000001</v>
      </c>
      <c r="F178" s="354"/>
      <c r="G178" s="358" t="s">
        <v>2320</v>
      </c>
      <c r="H178" s="359"/>
      <c r="I178" s="356">
        <f>Таблица37[[#This Row],[Цена]]+Таблица37[[#This Row],[Трудозатраты]]</f>
        <v>701.0612000000001</v>
      </c>
      <c r="J178" s="357">
        <v>701.0612000000001</v>
      </c>
      <c r="K178" s="220" t="e">
        <f>VLOOKUP(Таблица37[[#This Row],[Оболочки]],'[3]Расчет себес оболочек'!$A$3:$E$35,5,0)</f>
        <v>#N/A</v>
      </c>
    </row>
    <row r="179" spans="2:11" x14ac:dyDescent="0.25">
      <c r="B179" s="350" t="s">
        <v>450</v>
      </c>
      <c r="C179" s="351" t="s">
        <v>930</v>
      </c>
      <c r="D179" s="352" t="s">
        <v>640</v>
      </c>
      <c r="E179" s="353">
        <f t="shared" si="2"/>
        <v>759.28440000000001</v>
      </c>
      <c r="F179" s="354"/>
      <c r="G179" s="358" t="s">
        <v>2320</v>
      </c>
      <c r="H179" s="359"/>
      <c r="I179" s="356">
        <f>Таблица37[[#This Row],[Цена]]+Таблица37[[#This Row],[Трудозатраты]]</f>
        <v>759.28440000000001</v>
      </c>
      <c r="J179" s="357">
        <v>759.28440000000001</v>
      </c>
      <c r="K179" s="220" t="e">
        <f>VLOOKUP(Таблица37[[#This Row],[Оболочки]],'[3]Расчет себес оболочек'!$A$3:$E$35,5,0)</f>
        <v>#N/A</v>
      </c>
    </row>
    <row r="180" spans="2:11" x14ac:dyDescent="0.25">
      <c r="B180" s="350" t="s">
        <v>931</v>
      </c>
      <c r="C180" s="351" t="s">
        <v>932</v>
      </c>
      <c r="D180" s="352" t="s">
        <v>640</v>
      </c>
      <c r="E180" s="353">
        <f t="shared" si="2"/>
        <v>174.048</v>
      </c>
      <c r="F180" s="354"/>
      <c r="G180" s="358"/>
      <c r="H180" s="359"/>
      <c r="I180" s="356">
        <f>Таблица37[[#This Row],[Цена]]+Таблица37[[#This Row],[Трудозатраты]]</f>
        <v>174.048</v>
      </c>
      <c r="J180" s="357">
        <v>174.048</v>
      </c>
      <c r="K180" s="220" t="e">
        <f>VLOOKUP(Таблица37[[#This Row],[Оболочки]],'[3]Расчет себес оболочек'!$A$3:$E$35,5,0)</f>
        <v>#N/A</v>
      </c>
    </row>
    <row r="181" spans="2:11" x14ac:dyDescent="0.25">
      <c r="B181" s="350" t="s">
        <v>933</v>
      </c>
      <c r="C181" s="351" t="s">
        <v>934</v>
      </c>
      <c r="D181" s="352" t="s">
        <v>640</v>
      </c>
      <c r="E181" s="353">
        <f t="shared" si="2"/>
        <v>169.904</v>
      </c>
      <c r="F181" s="354"/>
      <c r="G181" s="355"/>
      <c r="H181" s="359"/>
      <c r="I181" s="356">
        <f>Таблица37[[#This Row],[Цена]]+Таблица37[[#This Row],[Трудозатраты]]</f>
        <v>169.904</v>
      </c>
      <c r="J181" s="357">
        <v>169.904</v>
      </c>
      <c r="K181" s="220" t="e">
        <f>VLOOKUP(Таблица37[[#This Row],[Оболочки]],'[3]Расчет себес оболочек'!$A$3:$E$35,5,0)</f>
        <v>#N/A</v>
      </c>
    </row>
    <row r="182" spans="2:11" x14ac:dyDescent="0.25">
      <c r="B182" s="350" t="s">
        <v>935</v>
      </c>
      <c r="C182" s="351" t="s">
        <v>936</v>
      </c>
      <c r="D182" s="352" t="s">
        <v>640</v>
      </c>
      <c r="E182" s="353">
        <f t="shared" si="2"/>
        <v>189.89880000000002</v>
      </c>
      <c r="F182" s="354"/>
      <c r="G182" s="358"/>
      <c r="H182" s="359"/>
      <c r="I182" s="356">
        <f>Таблица37[[#This Row],[Цена]]+Таблица37[[#This Row],[Трудозатраты]]</f>
        <v>189.89880000000002</v>
      </c>
      <c r="J182" s="357">
        <v>189.89880000000002</v>
      </c>
      <c r="K182" s="220" t="e">
        <f>VLOOKUP(Таблица37[[#This Row],[Оболочки]],'[3]Расчет себес оболочек'!$A$3:$E$35,5,0)</f>
        <v>#N/A</v>
      </c>
    </row>
    <row r="183" spans="2:11" x14ac:dyDescent="0.25">
      <c r="B183" s="350" t="s">
        <v>937</v>
      </c>
      <c r="C183" s="351" t="s">
        <v>938</v>
      </c>
      <c r="D183" s="352" t="s">
        <v>640</v>
      </c>
      <c r="E183" s="353">
        <f t="shared" si="2"/>
        <v>211.75840000000002</v>
      </c>
      <c r="F183" s="354"/>
      <c r="G183" s="355"/>
      <c r="H183" s="359"/>
      <c r="I183" s="356">
        <f>Таблица37[[#This Row],[Цена]]+Таблица37[[#This Row],[Трудозатраты]]</f>
        <v>211.75840000000002</v>
      </c>
      <c r="J183" s="357">
        <v>211.75840000000002</v>
      </c>
      <c r="K183" s="220" t="e">
        <f>VLOOKUP(Таблица37[[#This Row],[Оболочки]],'[3]Расчет себес оболочек'!$A$3:$E$35,5,0)</f>
        <v>#N/A</v>
      </c>
    </row>
    <row r="184" spans="2:11" x14ac:dyDescent="0.25">
      <c r="B184" s="350" t="s">
        <v>939</v>
      </c>
      <c r="C184" s="351" t="s">
        <v>940</v>
      </c>
      <c r="D184" s="352" t="s">
        <v>640</v>
      </c>
      <c r="E184" s="353">
        <f t="shared" si="2"/>
        <v>282.1028</v>
      </c>
      <c r="F184" s="354"/>
      <c r="G184" s="358"/>
      <c r="H184" s="359"/>
      <c r="I184" s="356">
        <f>Таблица37[[#This Row],[Цена]]+Таблица37[[#This Row],[Трудозатраты]]</f>
        <v>282.1028</v>
      </c>
      <c r="J184" s="357">
        <v>282.1028</v>
      </c>
      <c r="K184" s="220" t="e">
        <f>VLOOKUP(Таблица37[[#This Row],[Оболочки]],'[3]Расчет себес оболочек'!$A$3:$E$35,5,0)</f>
        <v>#N/A</v>
      </c>
    </row>
    <row r="185" spans="2:11" x14ac:dyDescent="0.25">
      <c r="B185" s="350" t="s">
        <v>941</v>
      </c>
      <c r="C185" s="351" t="s">
        <v>942</v>
      </c>
      <c r="D185" s="352" t="s">
        <v>640</v>
      </c>
      <c r="E185" s="353">
        <f t="shared" si="2"/>
        <v>319.50239999999997</v>
      </c>
      <c r="F185" s="354"/>
      <c r="G185" s="355"/>
      <c r="H185" s="359"/>
      <c r="I185" s="356">
        <f>Таблица37[[#This Row],[Цена]]+Таблица37[[#This Row],[Трудозатраты]]</f>
        <v>319.50239999999997</v>
      </c>
      <c r="J185" s="357">
        <v>319.50239999999997</v>
      </c>
      <c r="K185" s="220" t="e">
        <f>VLOOKUP(Таблица37[[#This Row],[Оболочки]],'[3]Расчет себес оболочек'!$A$3:$E$35,5,0)</f>
        <v>#N/A</v>
      </c>
    </row>
    <row r="186" spans="2:11" x14ac:dyDescent="0.25">
      <c r="B186" s="350" t="s">
        <v>943</v>
      </c>
      <c r="C186" s="351" t="s">
        <v>944</v>
      </c>
      <c r="D186" s="352" t="s">
        <v>640</v>
      </c>
      <c r="E186" s="353">
        <f t="shared" si="2"/>
        <v>366.32960000000008</v>
      </c>
      <c r="F186" s="354"/>
      <c r="G186" s="355"/>
      <c r="H186" s="359"/>
      <c r="I186" s="356">
        <f>Таблица37[[#This Row],[Цена]]+Таблица37[[#This Row],[Трудозатраты]]</f>
        <v>366.32960000000008</v>
      </c>
      <c r="J186" s="357">
        <v>366.32960000000008</v>
      </c>
      <c r="K186" s="220" t="e">
        <f>VLOOKUP(Таблица37[[#This Row],[Оболочки]],'[3]Расчет себес оболочек'!$A$3:$E$35,5,0)</f>
        <v>#N/A</v>
      </c>
    </row>
    <row r="187" spans="2:11" x14ac:dyDescent="0.25">
      <c r="B187" s="350" t="s">
        <v>945</v>
      </c>
      <c r="C187" s="351" t="s">
        <v>946</v>
      </c>
      <c r="D187" s="352" t="s">
        <v>640</v>
      </c>
      <c r="E187" s="353">
        <f t="shared" si="2"/>
        <v>407.56240000000008</v>
      </c>
      <c r="F187" s="354"/>
      <c r="G187" s="355"/>
      <c r="H187" s="359"/>
      <c r="I187" s="356">
        <f>Таблица37[[#This Row],[Цена]]+Таблица37[[#This Row],[Трудозатраты]]</f>
        <v>407.56240000000008</v>
      </c>
      <c r="J187" s="357">
        <v>407.56240000000008</v>
      </c>
      <c r="K187" s="220" t="e">
        <f>VLOOKUP(Таблица37[[#This Row],[Оболочки]],'[3]Расчет себес оболочек'!$A$3:$E$35,5,0)</f>
        <v>#N/A</v>
      </c>
    </row>
    <row r="188" spans="2:11" x14ac:dyDescent="0.25">
      <c r="B188" s="350" t="s">
        <v>947</v>
      </c>
      <c r="C188" s="351" t="s">
        <v>948</v>
      </c>
      <c r="D188" s="352" t="s">
        <v>640</v>
      </c>
      <c r="E188" s="353">
        <f t="shared" si="2"/>
        <v>600.36200000000008</v>
      </c>
      <c r="F188" s="354"/>
      <c r="G188" s="355"/>
      <c r="H188" s="359"/>
      <c r="I188" s="356">
        <f>Таблица37[[#This Row],[Цена]]+Таблица37[[#This Row],[Трудозатраты]]</f>
        <v>600.36200000000008</v>
      </c>
      <c r="J188" s="357">
        <v>600.36200000000008</v>
      </c>
      <c r="K188" s="220" t="e">
        <f>VLOOKUP(Таблица37[[#This Row],[Оболочки]],'[3]Расчет себес оболочек'!$A$3:$E$35,5,0)</f>
        <v>#N/A</v>
      </c>
    </row>
    <row r="189" spans="2:11" x14ac:dyDescent="0.25">
      <c r="B189" s="350" t="s">
        <v>949</v>
      </c>
      <c r="C189" s="351" t="s">
        <v>950</v>
      </c>
      <c r="D189" s="352" t="s">
        <v>640</v>
      </c>
      <c r="E189" s="353">
        <f t="shared" si="2"/>
        <v>663.66160000000002</v>
      </c>
      <c r="F189" s="354"/>
      <c r="G189" s="355"/>
      <c r="H189" s="359"/>
      <c r="I189" s="356">
        <f>Таблица37[[#This Row],[Цена]]+Таблица37[[#This Row],[Трудозатраты]]</f>
        <v>663.66160000000002</v>
      </c>
      <c r="J189" s="357">
        <v>663.66160000000002</v>
      </c>
      <c r="K189" s="220" t="e">
        <f>VLOOKUP(Таблица37[[#This Row],[Оболочки]],'[3]Расчет себес оболочек'!$A$3:$E$35,5,0)</f>
        <v>#N/A</v>
      </c>
    </row>
    <row r="190" spans="2:11" x14ac:dyDescent="0.25">
      <c r="B190" s="350" t="s">
        <v>951</v>
      </c>
      <c r="C190" s="351" t="s">
        <v>952</v>
      </c>
      <c r="D190" s="352" t="s">
        <v>640</v>
      </c>
      <c r="E190" s="353">
        <f t="shared" si="2"/>
        <v>709.66</v>
      </c>
      <c r="F190" s="354"/>
      <c r="G190" s="355"/>
      <c r="H190" s="359"/>
      <c r="I190" s="356">
        <f>Таблица37[[#This Row],[Цена]]+Таблица37[[#This Row],[Трудозатраты]]</f>
        <v>709.66</v>
      </c>
      <c r="J190" s="357">
        <v>709.66</v>
      </c>
      <c r="K190" s="220" t="e">
        <f>VLOOKUP(Таблица37[[#This Row],[Оболочки]],'[3]Расчет себес оболочек'!$A$3:$E$35,5,0)</f>
        <v>#N/A</v>
      </c>
    </row>
    <row r="191" spans="2:11" x14ac:dyDescent="0.25">
      <c r="B191" s="350" t="s">
        <v>953</v>
      </c>
      <c r="C191" s="351" t="s">
        <v>954</v>
      </c>
      <c r="D191" s="352" t="s">
        <v>640</v>
      </c>
      <c r="E191" s="353">
        <f t="shared" si="2"/>
        <v>767.88319999999999</v>
      </c>
      <c r="F191" s="354"/>
      <c r="G191" s="355"/>
      <c r="H191" s="359"/>
      <c r="I191" s="356">
        <f>Таблица37[[#This Row],[Цена]]+Таблица37[[#This Row],[Трудозатраты]]</f>
        <v>767.88319999999999</v>
      </c>
      <c r="J191" s="357">
        <v>767.88319999999999</v>
      </c>
      <c r="K191" s="220" t="e">
        <f>VLOOKUP(Таблица37[[#This Row],[Оболочки]],'[3]Расчет себес оболочек'!$A$3:$E$35,5,0)</f>
        <v>#N/A</v>
      </c>
    </row>
    <row r="192" spans="2:11" x14ac:dyDescent="0.25">
      <c r="B192" s="350" t="s">
        <v>955</v>
      </c>
      <c r="C192" s="351" t="s">
        <v>956</v>
      </c>
      <c r="D192" s="352" t="s">
        <v>640</v>
      </c>
      <c r="E192" s="353">
        <f t="shared" si="2"/>
        <v>174.35879999999995</v>
      </c>
      <c r="F192" s="354"/>
      <c r="G192" s="355"/>
      <c r="H192" s="359"/>
      <c r="I192" s="356">
        <f>Таблица37[[#This Row],[Цена]]+Таблица37[[#This Row],[Трудозатраты]]</f>
        <v>174.35879999999995</v>
      </c>
      <c r="J192" s="357">
        <v>174.35879999999995</v>
      </c>
      <c r="K192" s="220" t="e">
        <f>VLOOKUP(Таблица37[[#This Row],[Оболочки]],'[3]Расчет себес оболочек'!$A$3:$E$35,5,0)</f>
        <v>#N/A</v>
      </c>
    </row>
    <row r="193" spans="2:11" x14ac:dyDescent="0.25">
      <c r="B193" s="350" t="s">
        <v>957</v>
      </c>
      <c r="C193" s="351" t="s">
        <v>958</v>
      </c>
      <c r="D193" s="352" t="s">
        <v>640</v>
      </c>
      <c r="E193" s="353">
        <f t="shared" si="2"/>
        <v>170.21480000000003</v>
      </c>
      <c r="F193" s="354"/>
      <c r="G193" s="355"/>
      <c r="H193" s="359"/>
      <c r="I193" s="356">
        <f>Таблица37[[#This Row],[Цена]]+Таблица37[[#This Row],[Трудозатраты]]</f>
        <v>170.21480000000003</v>
      </c>
      <c r="J193" s="357">
        <v>170.21480000000003</v>
      </c>
      <c r="K193" s="220" t="e">
        <f>VLOOKUP(Таблица37[[#This Row],[Оболочки]],'[3]Расчет себес оболочек'!$A$3:$E$35,5,0)</f>
        <v>#N/A</v>
      </c>
    </row>
    <row r="194" spans="2:11" x14ac:dyDescent="0.25">
      <c r="B194" s="350" t="s">
        <v>959</v>
      </c>
      <c r="C194" s="351" t="s">
        <v>960</v>
      </c>
      <c r="D194" s="352" t="s">
        <v>640</v>
      </c>
      <c r="E194" s="353">
        <f t="shared" ref="E194:E239" si="3">J194</f>
        <v>190.83120000000002</v>
      </c>
      <c r="F194" s="354"/>
      <c r="G194" s="355"/>
      <c r="H194" s="359"/>
      <c r="I194" s="356">
        <f>Таблица37[[#This Row],[Цена]]+Таблица37[[#This Row],[Трудозатраты]]</f>
        <v>190.83120000000002</v>
      </c>
      <c r="J194" s="357">
        <v>190.83120000000002</v>
      </c>
      <c r="K194" s="220" t="e">
        <f>VLOOKUP(Таблица37[[#This Row],[Оболочки]],'[3]Расчет себес оболочек'!$A$3:$E$35,5,0)</f>
        <v>#N/A</v>
      </c>
    </row>
    <row r="195" spans="2:11" x14ac:dyDescent="0.25">
      <c r="B195" s="350" t="s">
        <v>961</v>
      </c>
      <c r="C195" s="351" t="s">
        <v>962</v>
      </c>
      <c r="D195" s="352" t="s">
        <v>640</v>
      </c>
      <c r="E195" s="353">
        <f t="shared" si="3"/>
        <v>212.6908</v>
      </c>
      <c r="F195" s="354"/>
      <c r="G195" s="355"/>
      <c r="H195" s="359"/>
      <c r="I195" s="356">
        <f>Таблица37[[#This Row],[Цена]]+Таблица37[[#This Row],[Трудозатраты]]</f>
        <v>212.6908</v>
      </c>
      <c r="J195" s="357">
        <v>212.6908</v>
      </c>
      <c r="K195" s="220" t="e">
        <f>VLOOKUP(Таблица37[[#This Row],[Оболочки]],'[3]Расчет себес оболочек'!$A$3:$E$35,5,0)</f>
        <v>#N/A</v>
      </c>
    </row>
    <row r="196" spans="2:11" x14ac:dyDescent="0.25">
      <c r="B196" s="350" t="s">
        <v>963</v>
      </c>
      <c r="C196" s="351" t="s">
        <v>964</v>
      </c>
      <c r="D196" s="352" t="s">
        <v>640</v>
      </c>
      <c r="E196" s="353">
        <f t="shared" si="3"/>
        <v>284.27839999999998</v>
      </c>
      <c r="F196" s="354"/>
      <c r="G196" s="355"/>
      <c r="H196" s="359"/>
      <c r="I196" s="356">
        <f>Таблица37[[#This Row],[Цена]]+Таблица37[[#This Row],[Трудозатраты]]</f>
        <v>284.27839999999998</v>
      </c>
      <c r="J196" s="357">
        <v>284.27839999999998</v>
      </c>
      <c r="K196" s="220" t="e">
        <f>VLOOKUP(Таблица37[[#This Row],[Оболочки]],'[3]Расчет себес оболочек'!$A$3:$E$35,5,0)</f>
        <v>#N/A</v>
      </c>
    </row>
    <row r="197" spans="2:11" x14ac:dyDescent="0.25">
      <c r="B197" s="350" t="s">
        <v>965</v>
      </c>
      <c r="C197" s="351" t="s">
        <v>966</v>
      </c>
      <c r="D197" s="352" t="s">
        <v>640</v>
      </c>
      <c r="E197" s="353">
        <f t="shared" si="3"/>
        <v>321.67799999999994</v>
      </c>
      <c r="F197" s="354"/>
      <c r="G197" s="355"/>
      <c r="H197" s="359"/>
      <c r="I197" s="356">
        <f>Таблица37[[#This Row],[Цена]]+Таблица37[[#This Row],[Трудозатраты]]</f>
        <v>321.67799999999994</v>
      </c>
      <c r="J197" s="357">
        <v>321.67799999999994</v>
      </c>
      <c r="K197" s="220" t="e">
        <f>VLOOKUP(Таблица37[[#This Row],[Оболочки]],'[3]Расчет себес оболочек'!$A$3:$E$35,5,0)</f>
        <v>#N/A</v>
      </c>
    </row>
    <row r="198" spans="2:11" x14ac:dyDescent="0.25">
      <c r="B198" s="350" t="s">
        <v>967</v>
      </c>
      <c r="C198" s="351" t="s">
        <v>968</v>
      </c>
      <c r="D198" s="352" t="s">
        <v>640</v>
      </c>
      <c r="E198" s="353">
        <f t="shared" si="3"/>
        <v>360.42440000000005</v>
      </c>
      <c r="F198" s="354"/>
      <c r="G198" s="355"/>
      <c r="H198" s="359"/>
      <c r="I198" s="356">
        <f>Таблица37[[#This Row],[Цена]]+Таблица37[[#This Row],[Трудозатраты]]</f>
        <v>360.42440000000005</v>
      </c>
      <c r="J198" s="357">
        <v>360.42440000000005</v>
      </c>
      <c r="K198" s="220" t="e">
        <f>VLOOKUP(Таблица37[[#This Row],[Оболочки]],'[3]Расчет себес оболочек'!$A$3:$E$35,5,0)</f>
        <v>#N/A</v>
      </c>
    </row>
    <row r="199" spans="2:11" x14ac:dyDescent="0.25">
      <c r="B199" s="350" t="s">
        <v>969</v>
      </c>
      <c r="C199" s="351" t="s">
        <v>970</v>
      </c>
      <c r="D199" s="352" t="s">
        <v>640</v>
      </c>
      <c r="E199" s="353">
        <f t="shared" si="3"/>
        <v>401.6572000000001</v>
      </c>
      <c r="F199" s="354"/>
      <c r="G199" s="355"/>
      <c r="H199" s="359"/>
      <c r="I199" s="356">
        <f>Таблица37[[#This Row],[Цена]]+Таблица37[[#This Row],[Трудозатраты]]</f>
        <v>401.6572000000001</v>
      </c>
      <c r="J199" s="357">
        <v>401.6572000000001</v>
      </c>
      <c r="K199" s="220" t="e">
        <f>VLOOKUP(Таблица37[[#This Row],[Оболочки]],'[3]Расчет себес оболочек'!$A$3:$E$35,5,0)</f>
        <v>#N/A</v>
      </c>
    </row>
    <row r="200" spans="2:11" x14ac:dyDescent="0.25">
      <c r="B200" s="350" t="s">
        <v>971</v>
      </c>
      <c r="C200" s="351" t="s">
        <v>972</v>
      </c>
      <c r="D200" s="352" t="s">
        <v>640</v>
      </c>
      <c r="E200" s="353">
        <f t="shared" si="3"/>
        <v>564.72360000000003</v>
      </c>
      <c r="F200" s="354"/>
      <c r="G200" s="355"/>
      <c r="H200" s="359"/>
      <c r="I200" s="356">
        <f>Таблица37[[#This Row],[Цена]]+Таблица37[[#This Row],[Трудозатраты]]</f>
        <v>564.72360000000003</v>
      </c>
      <c r="J200" s="357">
        <v>564.72360000000003</v>
      </c>
      <c r="K200" s="220" t="e">
        <f>VLOOKUP(Таблица37[[#This Row],[Оболочки]],'[3]Расчет себес оболочек'!$A$3:$E$35,5,0)</f>
        <v>#N/A</v>
      </c>
    </row>
    <row r="201" spans="2:11" x14ac:dyDescent="0.25">
      <c r="B201" s="350" t="s">
        <v>973</v>
      </c>
      <c r="C201" s="351" t="s">
        <v>974</v>
      </c>
      <c r="D201" s="352" t="s">
        <v>640</v>
      </c>
      <c r="E201" s="353">
        <f t="shared" si="3"/>
        <v>628.02320000000009</v>
      </c>
      <c r="F201" s="354"/>
      <c r="G201" s="355"/>
      <c r="H201" s="359"/>
      <c r="I201" s="356">
        <f>Таблица37[[#This Row],[Цена]]+Таблица37[[#This Row],[Трудозатраты]]</f>
        <v>628.02320000000009</v>
      </c>
      <c r="J201" s="357">
        <v>628.02320000000009</v>
      </c>
      <c r="K201" s="220" t="e">
        <f>VLOOKUP(Таблица37[[#This Row],[Оболочки]],'[3]Расчет себес оболочек'!$A$3:$E$35,5,0)</f>
        <v>#N/A</v>
      </c>
    </row>
    <row r="202" spans="2:11" x14ac:dyDescent="0.25">
      <c r="B202" s="350" t="s">
        <v>975</v>
      </c>
      <c r="C202" s="351" t="s">
        <v>976</v>
      </c>
      <c r="D202" s="352" t="s">
        <v>640</v>
      </c>
      <c r="E202" s="353">
        <f t="shared" si="3"/>
        <v>674.22879999999986</v>
      </c>
      <c r="F202" s="354"/>
      <c r="G202" s="355"/>
      <c r="H202" s="359"/>
      <c r="I202" s="356">
        <f>Таблица37[[#This Row],[Цена]]+Таблица37[[#This Row],[Трудозатраты]]</f>
        <v>674.22879999999986</v>
      </c>
      <c r="J202" s="357">
        <v>674.22879999999986</v>
      </c>
      <c r="K202" s="220" t="e">
        <f>VLOOKUP(Таблица37[[#This Row],[Оболочки]],'[3]Расчет себес оболочек'!$A$3:$E$35,5,0)</f>
        <v>#N/A</v>
      </c>
    </row>
    <row r="203" spans="2:11" x14ac:dyDescent="0.25">
      <c r="B203" s="350" t="s">
        <v>977</v>
      </c>
      <c r="C203" s="351" t="s">
        <v>978</v>
      </c>
      <c r="D203" s="352" t="s">
        <v>640</v>
      </c>
      <c r="E203" s="353">
        <f t="shared" si="3"/>
        <v>732.452</v>
      </c>
      <c r="F203" s="354"/>
      <c r="G203" s="355"/>
      <c r="H203" s="359"/>
      <c r="I203" s="356">
        <f>Таблица37[[#This Row],[Цена]]+Таблица37[[#This Row],[Трудозатраты]]</f>
        <v>732.452</v>
      </c>
      <c r="J203" s="357">
        <v>732.452</v>
      </c>
      <c r="K203" s="220" t="e">
        <f>VLOOKUP(Таблица37[[#This Row],[Оболочки]],'[3]Расчет себес оболочек'!$A$3:$E$35,5,0)</f>
        <v>#N/A</v>
      </c>
    </row>
    <row r="204" spans="2:11" x14ac:dyDescent="0.25">
      <c r="B204" s="350" t="s">
        <v>408</v>
      </c>
      <c r="C204" s="351" t="s">
        <v>979</v>
      </c>
      <c r="D204" s="352" t="s">
        <v>640</v>
      </c>
      <c r="E204" s="353">
        <f t="shared" si="3"/>
        <v>163.17000000000002</v>
      </c>
      <c r="F204" s="354"/>
      <c r="G204" s="358" t="s">
        <v>2315</v>
      </c>
      <c r="H204" s="359"/>
      <c r="I204" s="356">
        <f>Таблица37[[#This Row],[Цена]]+Таблица37[[#This Row],[Трудозатраты]]</f>
        <v>163.17000000000002</v>
      </c>
      <c r="J204" s="357">
        <v>163.17000000000002</v>
      </c>
      <c r="K204" s="220" t="e">
        <f>VLOOKUP(Таблица37[[#This Row],[Оболочки]],'[3]Расчет себес оболочек'!$A$3:$E$35,5,0)</f>
        <v>#N/A</v>
      </c>
    </row>
    <row r="205" spans="2:11" x14ac:dyDescent="0.25">
      <c r="B205" s="350" t="s">
        <v>412</v>
      </c>
      <c r="C205" s="351" t="s">
        <v>980</v>
      </c>
      <c r="D205" s="352" t="s">
        <v>640</v>
      </c>
      <c r="E205" s="353">
        <f t="shared" si="3"/>
        <v>173.84079999999997</v>
      </c>
      <c r="F205" s="354"/>
      <c r="G205" s="358" t="s">
        <v>2315</v>
      </c>
      <c r="H205" s="359"/>
      <c r="I205" s="356">
        <f>Таблица37[[#This Row],[Цена]]+Таблица37[[#This Row],[Трудозатраты]]</f>
        <v>173.84079999999997</v>
      </c>
      <c r="J205" s="357">
        <v>173.84079999999997</v>
      </c>
      <c r="K205" s="220" t="e">
        <f>VLOOKUP(Таблица37[[#This Row],[Оболочки]],'[3]Расчет себес оболочек'!$A$3:$E$35,5,0)</f>
        <v>#N/A</v>
      </c>
    </row>
    <row r="206" spans="2:11" x14ac:dyDescent="0.25">
      <c r="B206" s="350" t="s">
        <v>416</v>
      </c>
      <c r="C206" s="351" t="s">
        <v>981</v>
      </c>
      <c r="D206" s="352" t="s">
        <v>640</v>
      </c>
      <c r="E206" s="353">
        <f t="shared" si="3"/>
        <v>166.79600000000002</v>
      </c>
      <c r="F206" s="354"/>
      <c r="G206" s="358" t="s">
        <v>2316</v>
      </c>
      <c r="H206" s="359"/>
      <c r="I206" s="356">
        <f>Таблица37[[#This Row],[Цена]]+Таблица37[[#This Row],[Трудозатраты]]</f>
        <v>166.79600000000002</v>
      </c>
      <c r="J206" s="357">
        <v>166.79600000000002</v>
      </c>
      <c r="K206" s="220" t="e">
        <f>VLOOKUP(Таблица37[[#This Row],[Оболочки]],'[3]Расчет себес оболочек'!$A$3:$E$35,5,0)</f>
        <v>#N/A</v>
      </c>
    </row>
    <row r="207" spans="2:11" x14ac:dyDescent="0.25">
      <c r="B207" s="350" t="s">
        <v>420</v>
      </c>
      <c r="C207" s="351" t="s">
        <v>982</v>
      </c>
      <c r="D207" s="352" t="s">
        <v>640</v>
      </c>
      <c r="E207" s="353">
        <f t="shared" si="3"/>
        <v>174.8768</v>
      </c>
      <c r="F207" s="354"/>
      <c r="G207" s="358" t="s">
        <v>2316</v>
      </c>
      <c r="H207" s="359"/>
      <c r="I207" s="356">
        <f>Таблица37[[#This Row],[Цена]]+Таблица37[[#This Row],[Трудозатраты]]</f>
        <v>174.8768</v>
      </c>
      <c r="J207" s="357">
        <v>174.8768</v>
      </c>
      <c r="K207" s="220" t="e">
        <f>VLOOKUP(Таблица37[[#This Row],[Оболочки]],'[3]Расчет себес оболочек'!$A$3:$E$35,5,0)</f>
        <v>#N/A</v>
      </c>
    </row>
    <row r="208" spans="2:11" x14ac:dyDescent="0.25">
      <c r="B208" s="350" t="s">
        <v>424</v>
      </c>
      <c r="C208" s="351" t="s">
        <v>983</v>
      </c>
      <c r="D208" s="352" t="s">
        <v>640</v>
      </c>
      <c r="E208" s="353">
        <f t="shared" si="3"/>
        <v>249.57239999999993</v>
      </c>
      <c r="F208" s="354"/>
      <c r="G208" s="358" t="s">
        <v>2317</v>
      </c>
      <c r="H208" s="359"/>
      <c r="I208" s="356">
        <f>Таблица37[[#This Row],[Цена]]+Таблица37[[#This Row],[Трудозатраты]]</f>
        <v>249.57239999999993</v>
      </c>
      <c r="J208" s="357">
        <v>249.57239999999993</v>
      </c>
      <c r="K208" s="220" t="e">
        <f>VLOOKUP(Таблица37[[#This Row],[Оболочки]],'[3]Расчет себес оболочек'!$A$3:$E$35,5,0)</f>
        <v>#N/A</v>
      </c>
    </row>
    <row r="209" spans="2:11" x14ac:dyDescent="0.25">
      <c r="B209" s="350" t="s">
        <v>428</v>
      </c>
      <c r="C209" s="351" t="s">
        <v>984</v>
      </c>
      <c r="D209" s="352" t="s">
        <v>640</v>
      </c>
      <c r="E209" s="353">
        <f t="shared" si="3"/>
        <v>271.22479999999996</v>
      </c>
      <c r="F209" s="354"/>
      <c r="G209" s="358" t="s">
        <v>2317</v>
      </c>
      <c r="H209" s="359"/>
      <c r="I209" s="356">
        <f>Таблица37[[#This Row],[Цена]]+Таблица37[[#This Row],[Трудозатраты]]</f>
        <v>271.22479999999996</v>
      </c>
      <c r="J209" s="357">
        <v>271.22479999999996</v>
      </c>
      <c r="K209" s="220" t="e">
        <f>VLOOKUP(Таблица37[[#This Row],[Оболочки]],'[3]Расчет себес оболочек'!$A$3:$E$35,5,0)</f>
        <v>#N/A</v>
      </c>
    </row>
    <row r="210" spans="2:11" x14ac:dyDescent="0.25">
      <c r="B210" s="350" t="s">
        <v>432</v>
      </c>
      <c r="C210" s="351" t="s">
        <v>985</v>
      </c>
      <c r="D210" s="352" t="s">
        <v>640</v>
      </c>
      <c r="E210" s="353">
        <f t="shared" si="3"/>
        <v>309.55680000000001</v>
      </c>
      <c r="F210" s="354"/>
      <c r="G210" s="358" t="s">
        <v>2318</v>
      </c>
      <c r="H210" s="359"/>
      <c r="I210" s="356">
        <f>Таблица37[[#This Row],[Цена]]+Таблица37[[#This Row],[Трудозатраты]]</f>
        <v>309.55680000000001</v>
      </c>
      <c r="J210" s="357">
        <v>309.55680000000001</v>
      </c>
      <c r="K210" s="220" t="e">
        <f>VLOOKUP(Таблица37[[#This Row],[Оболочки]],'[3]Расчет себес оболочек'!$A$3:$E$35,5,0)</f>
        <v>#N/A</v>
      </c>
    </row>
    <row r="211" spans="2:11" x14ac:dyDescent="0.25">
      <c r="B211" s="350" t="s">
        <v>436</v>
      </c>
      <c r="C211" s="351" t="s">
        <v>986</v>
      </c>
      <c r="D211" s="352" t="s">
        <v>640</v>
      </c>
      <c r="E211" s="353">
        <f t="shared" si="3"/>
        <v>350.78960000000001</v>
      </c>
      <c r="F211" s="354"/>
      <c r="G211" s="358" t="s">
        <v>2318</v>
      </c>
      <c r="H211" s="359"/>
      <c r="I211" s="356">
        <f>Таблица37[[#This Row],[Цена]]+Таблица37[[#This Row],[Трудозатраты]]</f>
        <v>350.78960000000001</v>
      </c>
      <c r="J211" s="357">
        <v>350.78960000000001</v>
      </c>
      <c r="K211" s="220" t="e">
        <f>VLOOKUP(Таблица37[[#This Row],[Оболочки]],'[3]Расчет себес оболочек'!$A$3:$E$35,5,0)</f>
        <v>#N/A</v>
      </c>
    </row>
    <row r="212" spans="2:11" x14ac:dyDescent="0.25">
      <c r="B212" s="350" t="s">
        <v>440</v>
      </c>
      <c r="C212" s="351" t="s">
        <v>987</v>
      </c>
      <c r="D212" s="352" t="s">
        <v>640</v>
      </c>
      <c r="E212" s="353">
        <f t="shared" si="3"/>
        <v>499.45560000000006</v>
      </c>
      <c r="F212" s="354"/>
      <c r="G212" s="358" t="s">
        <v>2319</v>
      </c>
      <c r="H212" s="359"/>
      <c r="I212" s="356">
        <f>Таблица37[[#This Row],[Цена]]+Таблица37[[#This Row],[Трудозатраты]]</f>
        <v>499.45560000000006</v>
      </c>
      <c r="J212" s="357">
        <v>499.45560000000006</v>
      </c>
      <c r="K212" s="220" t="e">
        <f>VLOOKUP(Таблица37[[#This Row],[Оболочки]],'[3]Расчет себес оболочек'!$A$3:$E$35,5,0)</f>
        <v>#N/A</v>
      </c>
    </row>
    <row r="213" spans="2:11" x14ac:dyDescent="0.25">
      <c r="B213" s="350" t="s">
        <v>444</v>
      </c>
      <c r="C213" s="351" t="s">
        <v>988</v>
      </c>
      <c r="D213" s="352" t="s">
        <v>640</v>
      </c>
      <c r="E213" s="353">
        <f t="shared" si="3"/>
        <v>530.12120000000016</v>
      </c>
      <c r="F213" s="354"/>
      <c r="G213" s="358" t="s">
        <v>2319</v>
      </c>
      <c r="H213" s="359"/>
      <c r="I213" s="356">
        <f>Таблица37[[#This Row],[Цена]]+Таблица37[[#This Row],[Трудозатраты]]</f>
        <v>530.12120000000016</v>
      </c>
      <c r="J213" s="357">
        <v>530.12120000000016</v>
      </c>
      <c r="K213" s="220" t="e">
        <f>VLOOKUP(Таблица37[[#This Row],[Оболочки]],'[3]Расчет себес оболочек'!$A$3:$E$35,5,0)</f>
        <v>#N/A</v>
      </c>
    </row>
    <row r="214" spans="2:11" x14ac:dyDescent="0.25">
      <c r="B214" s="350" t="s">
        <v>448</v>
      </c>
      <c r="C214" s="351" t="s">
        <v>989</v>
      </c>
      <c r="D214" s="352" t="s">
        <v>640</v>
      </c>
      <c r="E214" s="353">
        <f t="shared" si="3"/>
        <v>612.89760000000001</v>
      </c>
      <c r="F214" s="354"/>
      <c r="G214" s="358" t="s">
        <v>2320</v>
      </c>
      <c r="H214" s="359"/>
      <c r="I214" s="356">
        <f>Таблица37[[#This Row],[Цена]]+Таблица37[[#This Row],[Трудозатраты]]</f>
        <v>612.89760000000001</v>
      </c>
      <c r="J214" s="357">
        <v>612.89760000000001</v>
      </c>
      <c r="K214" s="220" t="e">
        <f>VLOOKUP(Таблица37[[#This Row],[Оболочки]],'[3]Расчет себес оболочек'!$A$3:$E$35,5,0)</f>
        <v>#N/A</v>
      </c>
    </row>
    <row r="215" spans="2:11" x14ac:dyDescent="0.25">
      <c r="B215" s="350" t="s">
        <v>452</v>
      </c>
      <c r="C215" s="351" t="s">
        <v>990</v>
      </c>
      <c r="D215" s="352" t="s">
        <v>640</v>
      </c>
      <c r="E215" s="353">
        <f t="shared" si="3"/>
        <v>665.83719999999994</v>
      </c>
      <c r="F215" s="354"/>
      <c r="G215" s="358" t="s">
        <v>2320</v>
      </c>
      <c r="H215" s="359"/>
      <c r="I215" s="356">
        <f>Таблица37[[#This Row],[Цена]]+Таблица37[[#This Row],[Трудозатраты]]</f>
        <v>665.83719999999994</v>
      </c>
      <c r="J215" s="357">
        <v>665.83719999999994</v>
      </c>
      <c r="K215" s="220" t="e">
        <f>VLOOKUP(Таблица37[[#This Row],[Оболочки]],'[3]Расчет себес оболочек'!$A$3:$E$35,5,0)</f>
        <v>#N/A</v>
      </c>
    </row>
    <row r="216" spans="2:11" x14ac:dyDescent="0.25">
      <c r="B216" s="350" t="s">
        <v>991</v>
      </c>
      <c r="C216" s="351" t="s">
        <v>992</v>
      </c>
      <c r="D216" s="352" t="s">
        <v>640</v>
      </c>
      <c r="E216" s="353">
        <f t="shared" si="3"/>
        <v>165.34559999999999</v>
      </c>
      <c r="F216" s="354"/>
      <c r="G216" s="355"/>
      <c r="H216" s="359"/>
      <c r="I216" s="356">
        <f>Таблица37[[#This Row],[Цена]]+Таблица37[[#This Row],[Трудозатраты]]</f>
        <v>165.34559999999999</v>
      </c>
      <c r="J216" s="357">
        <v>165.34559999999999</v>
      </c>
      <c r="K216" s="220" t="e">
        <f>VLOOKUP(Таблица37[[#This Row],[Оболочки]],'[3]Расчет себес оболочек'!$A$3:$E$35,5,0)</f>
        <v>#N/A</v>
      </c>
    </row>
    <row r="217" spans="2:11" x14ac:dyDescent="0.25">
      <c r="B217" s="350" t="s">
        <v>993</v>
      </c>
      <c r="C217" s="351" t="s">
        <v>994</v>
      </c>
      <c r="D217" s="352" t="s">
        <v>640</v>
      </c>
      <c r="E217" s="353">
        <f t="shared" si="3"/>
        <v>176.0164</v>
      </c>
      <c r="F217" s="354"/>
      <c r="G217" s="355"/>
      <c r="H217" s="359"/>
      <c r="I217" s="356">
        <f>Таблица37[[#This Row],[Цена]]+Таблица37[[#This Row],[Трудозатраты]]</f>
        <v>176.0164</v>
      </c>
      <c r="J217" s="357">
        <v>176.0164</v>
      </c>
      <c r="K217" s="220" t="e">
        <f>VLOOKUP(Таблица37[[#This Row],[Оболочки]],'[3]Расчет себес оболочек'!$A$3:$E$35,5,0)</f>
        <v>#N/A</v>
      </c>
    </row>
    <row r="218" spans="2:11" x14ac:dyDescent="0.25">
      <c r="B218" s="350" t="s">
        <v>995</v>
      </c>
      <c r="C218" s="351" t="s">
        <v>996</v>
      </c>
      <c r="D218" s="352" t="s">
        <v>640</v>
      </c>
      <c r="E218" s="353">
        <f t="shared" si="3"/>
        <v>170.422</v>
      </c>
      <c r="F218" s="354"/>
      <c r="G218" s="355"/>
      <c r="H218" s="359"/>
      <c r="I218" s="356">
        <f>Таблица37[[#This Row],[Цена]]+Таблица37[[#This Row],[Трудозатраты]]</f>
        <v>170.422</v>
      </c>
      <c r="J218" s="357">
        <v>170.422</v>
      </c>
      <c r="K218" s="220" t="e">
        <f>VLOOKUP(Таблица37[[#This Row],[Оболочки]],'[3]Расчет себес оболочек'!$A$3:$E$35,5,0)</f>
        <v>#N/A</v>
      </c>
    </row>
    <row r="219" spans="2:11" x14ac:dyDescent="0.25">
      <c r="B219" s="350" t="s">
        <v>997</v>
      </c>
      <c r="C219" s="351" t="s">
        <v>998</v>
      </c>
      <c r="D219" s="352" t="s">
        <v>640</v>
      </c>
      <c r="E219" s="353">
        <f t="shared" si="3"/>
        <v>178.50280000000004</v>
      </c>
      <c r="F219" s="354"/>
      <c r="G219" s="355"/>
      <c r="H219" s="359"/>
      <c r="I219" s="356">
        <f>Таблица37[[#This Row],[Цена]]+Таблица37[[#This Row],[Трудозатраты]]</f>
        <v>178.50280000000004</v>
      </c>
      <c r="J219" s="357">
        <v>178.50280000000004</v>
      </c>
      <c r="K219" s="220" t="e">
        <f>VLOOKUP(Таблица37[[#This Row],[Оболочки]],'[3]Расчет себес оболочек'!$A$3:$E$35,5,0)</f>
        <v>#N/A</v>
      </c>
    </row>
    <row r="220" spans="2:11" x14ac:dyDescent="0.25">
      <c r="B220" s="350" t="s">
        <v>999</v>
      </c>
      <c r="C220" s="351" t="s">
        <v>1000</v>
      </c>
      <c r="D220" s="352" t="s">
        <v>640</v>
      </c>
      <c r="E220" s="353">
        <f t="shared" si="3"/>
        <v>256.3064</v>
      </c>
      <c r="F220" s="354"/>
      <c r="G220" s="355"/>
      <c r="H220" s="359"/>
      <c r="I220" s="356">
        <f>Таблица37[[#This Row],[Цена]]+Таблица37[[#This Row],[Трудозатраты]]</f>
        <v>256.3064</v>
      </c>
      <c r="J220" s="357">
        <v>256.3064</v>
      </c>
      <c r="K220" s="220" t="e">
        <f>VLOOKUP(Таблица37[[#This Row],[Оболочки]],'[3]Расчет себес оболочек'!$A$3:$E$35,5,0)</f>
        <v>#N/A</v>
      </c>
    </row>
    <row r="221" spans="2:11" x14ac:dyDescent="0.25">
      <c r="B221" s="350" t="s">
        <v>1001</v>
      </c>
      <c r="C221" s="351" t="s">
        <v>1002</v>
      </c>
      <c r="D221" s="352" t="s">
        <v>640</v>
      </c>
      <c r="E221" s="353">
        <f t="shared" si="3"/>
        <v>277.9588</v>
      </c>
      <c r="F221" s="354"/>
      <c r="G221" s="355"/>
      <c r="H221" s="359"/>
      <c r="I221" s="356">
        <f>Таблица37[[#This Row],[Цена]]+Таблица37[[#This Row],[Трудозатраты]]</f>
        <v>277.9588</v>
      </c>
      <c r="J221" s="357">
        <v>277.9588</v>
      </c>
      <c r="K221" s="220" t="e">
        <f>VLOOKUP(Таблица37[[#This Row],[Оболочки]],'[3]Расчет себес оболочек'!$A$3:$E$35,5,0)</f>
        <v>#N/A</v>
      </c>
    </row>
    <row r="222" spans="2:11" x14ac:dyDescent="0.25">
      <c r="B222" s="350" t="s">
        <v>1003</v>
      </c>
      <c r="C222" s="351" t="s">
        <v>1004</v>
      </c>
      <c r="D222" s="352" t="s">
        <v>640</v>
      </c>
      <c r="E222" s="353">
        <f t="shared" si="3"/>
        <v>324.99320000000006</v>
      </c>
      <c r="F222" s="354"/>
      <c r="G222" s="355"/>
      <c r="H222" s="359"/>
      <c r="I222" s="356">
        <f>Таблица37[[#This Row],[Цена]]+Таблица37[[#This Row],[Трудозатраты]]</f>
        <v>324.99320000000006</v>
      </c>
      <c r="J222" s="357">
        <v>324.99320000000006</v>
      </c>
      <c r="K222" s="220" t="e">
        <f>VLOOKUP(Таблица37[[#This Row],[Оболочки]],'[3]Расчет себес оболочек'!$A$3:$E$35,5,0)</f>
        <v>#N/A</v>
      </c>
    </row>
    <row r="223" spans="2:11" x14ac:dyDescent="0.25">
      <c r="B223" s="350" t="s">
        <v>1005</v>
      </c>
      <c r="C223" s="351" t="s">
        <v>1006</v>
      </c>
      <c r="D223" s="352" t="s">
        <v>640</v>
      </c>
      <c r="E223" s="353">
        <f t="shared" si="3"/>
        <v>366.226</v>
      </c>
      <c r="F223" s="354"/>
      <c r="G223" s="355"/>
      <c r="H223" s="359"/>
      <c r="I223" s="356">
        <f>Таблица37[[#This Row],[Цена]]+Таблица37[[#This Row],[Трудозатраты]]</f>
        <v>366.226</v>
      </c>
      <c r="J223" s="357">
        <v>366.226</v>
      </c>
      <c r="K223" s="220" t="e">
        <f>VLOOKUP(Таблица37[[#This Row],[Оболочки]],'[3]Расчет себес оболочек'!$A$3:$E$35,5,0)</f>
        <v>#N/A</v>
      </c>
    </row>
    <row r="224" spans="2:11" x14ac:dyDescent="0.25">
      <c r="B224" s="350" t="s">
        <v>1007</v>
      </c>
      <c r="C224" s="351" t="s">
        <v>1008</v>
      </c>
      <c r="D224" s="352" t="s">
        <v>640</v>
      </c>
      <c r="E224" s="353">
        <f t="shared" si="3"/>
        <v>553.53480000000002</v>
      </c>
      <c r="F224" s="354"/>
      <c r="G224" s="355"/>
      <c r="H224" s="359"/>
      <c r="I224" s="356">
        <f>Таблица37[[#This Row],[Цена]]+Таблица37[[#This Row],[Трудозатраты]]</f>
        <v>553.53480000000002</v>
      </c>
      <c r="J224" s="357">
        <v>553.53480000000002</v>
      </c>
      <c r="K224" s="220" t="e">
        <f>VLOOKUP(Таблица37[[#This Row],[Оболочки]],'[3]Расчет себес оболочек'!$A$3:$E$35,5,0)</f>
        <v>#N/A</v>
      </c>
    </row>
    <row r="225" spans="1:11" x14ac:dyDescent="0.25">
      <c r="B225" s="350" t="s">
        <v>1009</v>
      </c>
      <c r="C225" s="351" t="s">
        <v>1010</v>
      </c>
      <c r="D225" s="352" t="s">
        <v>640</v>
      </c>
      <c r="E225" s="353">
        <f t="shared" si="3"/>
        <v>584.20040000000006</v>
      </c>
      <c r="F225" s="354"/>
      <c r="G225" s="355"/>
      <c r="H225" s="359"/>
      <c r="I225" s="356">
        <f>Таблица37[[#This Row],[Цена]]+Таблица37[[#This Row],[Трудозатраты]]</f>
        <v>584.20040000000006</v>
      </c>
      <c r="J225" s="357">
        <v>584.20040000000006</v>
      </c>
      <c r="K225" s="220" t="e">
        <f>VLOOKUP(Таблица37[[#This Row],[Оболочки]],'[3]Расчет себес оболочек'!$A$3:$E$35,5,0)</f>
        <v>#N/A</v>
      </c>
    </row>
    <row r="226" spans="1:11" x14ac:dyDescent="0.25">
      <c r="B226" s="350" t="s">
        <v>1011</v>
      </c>
      <c r="C226" s="351" t="s">
        <v>1012</v>
      </c>
      <c r="D226" s="352" t="s">
        <v>640</v>
      </c>
      <c r="E226" s="353">
        <f t="shared" si="3"/>
        <v>621.49639999999999</v>
      </c>
      <c r="F226" s="354"/>
      <c r="G226" s="355"/>
      <c r="H226" s="359"/>
      <c r="I226" s="356">
        <f>Таблица37[[#This Row],[Цена]]+Таблица37[[#This Row],[Трудозатраты]]</f>
        <v>621.49639999999999</v>
      </c>
      <c r="J226" s="357">
        <v>621.49639999999999</v>
      </c>
      <c r="K226" s="220" t="e">
        <f>VLOOKUP(Таблица37[[#This Row],[Оболочки]],'[3]Расчет себес оболочек'!$A$3:$E$35,5,0)</f>
        <v>#N/A</v>
      </c>
    </row>
    <row r="227" spans="1:11" x14ac:dyDescent="0.25">
      <c r="B227" s="350" t="s">
        <v>1013</v>
      </c>
      <c r="C227" s="351" t="s">
        <v>1014</v>
      </c>
      <c r="D227" s="352" t="s">
        <v>640</v>
      </c>
      <c r="E227" s="353">
        <f t="shared" si="3"/>
        <v>674.43599999999992</v>
      </c>
      <c r="F227" s="354"/>
      <c r="G227" s="355"/>
      <c r="H227" s="359"/>
      <c r="I227" s="356">
        <f>Таблица37[[#This Row],[Цена]]+Таблица37[[#This Row],[Трудозатраты]]</f>
        <v>674.43599999999992</v>
      </c>
      <c r="J227" s="357">
        <v>674.43599999999992</v>
      </c>
      <c r="K227" s="220" t="e">
        <f>VLOOKUP(Таблица37[[#This Row],[Оболочки]],'[3]Расчет себес оболочек'!$A$3:$E$35,5,0)</f>
        <v>#N/A</v>
      </c>
    </row>
    <row r="228" spans="1:11" x14ac:dyDescent="0.25">
      <c r="B228" s="350" t="s">
        <v>1015</v>
      </c>
      <c r="C228" s="351" t="s">
        <v>1016</v>
      </c>
      <c r="D228" s="352" t="s">
        <v>640</v>
      </c>
      <c r="E228" s="353">
        <f t="shared" si="3"/>
        <v>165.65639999999999</v>
      </c>
      <c r="F228" s="354"/>
      <c r="G228" s="355"/>
      <c r="H228" s="359"/>
      <c r="I228" s="356">
        <f>Таблица37[[#This Row],[Цена]]+Таблица37[[#This Row],[Трудозатраты]]</f>
        <v>165.65639999999999</v>
      </c>
      <c r="J228" s="357">
        <v>165.65639999999999</v>
      </c>
      <c r="K228" s="220" t="e">
        <f>VLOOKUP(Таблица37[[#This Row],[Оболочки]],'[3]Расчет себес оболочек'!$A$3:$E$35,5,0)</f>
        <v>#N/A</v>
      </c>
    </row>
    <row r="229" spans="1:11" x14ac:dyDescent="0.25">
      <c r="B229" s="350" t="s">
        <v>1017</v>
      </c>
      <c r="C229" s="351" t="s">
        <v>1018</v>
      </c>
      <c r="D229" s="352" t="s">
        <v>640</v>
      </c>
      <c r="E229" s="353">
        <f t="shared" si="3"/>
        <v>176.32719999999998</v>
      </c>
      <c r="F229" s="354"/>
      <c r="G229" s="355"/>
      <c r="H229" s="359"/>
      <c r="I229" s="356">
        <f>Таблица37[[#This Row],[Цена]]+Таблица37[[#This Row],[Трудозатраты]]</f>
        <v>176.32719999999998</v>
      </c>
      <c r="J229" s="357">
        <v>176.32719999999998</v>
      </c>
      <c r="K229" s="220" t="e">
        <f>VLOOKUP(Таблица37[[#This Row],[Оболочки]],'[3]Расчет себес оболочек'!$A$3:$E$35,5,0)</f>
        <v>#N/A</v>
      </c>
    </row>
    <row r="230" spans="1:11" x14ac:dyDescent="0.25">
      <c r="B230" s="350" t="s">
        <v>1019</v>
      </c>
      <c r="C230" s="351" t="s">
        <v>1020</v>
      </c>
      <c r="D230" s="352" t="s">
        <v>640</v>
      </c>
      <c r="E230" s="353">
        <f t="shared" si="3"/>
        <v>171.35440000000003</v>
      </c>
      <c r="F230" s="354"/>
      <c r="G230" s="355"/>
      <c r="H230" s="359"/>
      <c r="I230" s="356">
        <f>Таблица37[[#This Row],[Цена]]+Таблица37[[#This Row],[Трудозатраты]]</f>
        <v>171.35440000000003</v>
      </c>
      <c r="J230" s="357">
        <v>171.35440000000003</v>
      </c>
      <c r="K230" s="220" t="e">
        <f>VLOOKUP(Таблица37[[#This Row],[Оболочки]],'[3]Расчет себес оболочек'!$A$3:$E$35,5,0)</f>
        <v>#N/A</v>
      </c>
    </row>
    <row r="231" spans="1:11" x14ac:dyDescent="0.25">
      <c r="B231" s="350" t="s">
        <v>1021</v>
      </c>
      <c r="C231" s="351" t="s">
        <v>1022</v>
      </c>
      <c r="D231" s="352" t="s">
        <v>640</v>
      </c>
      <c r="E231" s="353">
        <f t="shared" si="3"/>
        <v>179.43520000000001</v>
      </c>
      <c r="F231" s="354"/>
      <c r="G231" s="355"/>
      <c r="H231" s="359"/>
      <c r="I231" s="356">
        <f>Таблица37[[#This Row],[Цена]]+Таблица37[[#This Row],[Трудозатраты]]</f>
        <v>179.43520000000001</v>
      </c>
      <c r="J231" s="357">
        <v>179.43520000000001</v>
      </c>
      <c r="K231" s="220" t="e">
        <f>VLOOKUP(Таблица37[[#This Row],[Оболочки]],'[3]Расчет себес оболочек'!$A$3:$E$35,5,0)</f>
        <v>#N/A</v>
      </c>
    </row>
    <row r="232" spans="1:11" x14ac:dyDescent="0.25">
      <c r="B232" s="350" t="s">
        <v>1023</v>
      </c>
      <c r="C232" s="351" t="s">
        <v>1024</v>
      </c>
      <c r="D232" s="352" t="s">
        <v>640</v>
      </c>
      <c r="E232" s="353">
        <f t="shared" si="3"/>
        <v>258.48199999999997</v>
      </c>
      <c r="F232" s="354"/>
      <c r="G232" s="355"/>
      <c r="H232" s="359"/>
      <c r="I232" s="356">
        <f>Таблица37[[#This Row],[Цена]]+Таблица37[[#This Row],[Трудозатраты]]</f>
        <v>258.48199999999997</v>
      </c>
      <c r="J232" s="357">
        <v>258.48199999999997</v>
      </c>
      <c r="K232" s="220" t="e">
        <f>VLOOKUP(Таблица37[[#This Row],[Оболочки]],'[3]Расчет себес оболочек'!$A$3:$E$35,5,0)</f>
        <v>#N/A</v>
      </c>
    </row>
    <row r="233" spans="1:11" x14ac:dyDescent="0.25">
      <c r="B233" s="350" t="s">
        <v>1025</v>
      </c>
      <c r="C233" s="351" t="s">
        <v>1026</v>
      </c>
      <c r="D233" s="352" t="s">
        <v>640</v>
      </c>
      <c r="E233" s="353">
        <f t="shared" si="3"/>
        <v>280.13439999999997</v>
      </c>
      <c r="F233" s="354"/>
      <c r="G233" s="355"/>
      <c r="H233" s="359"/>
      <c r="I233" s="356">
        <f>Таблица37[[#This Row],[Цена]]+Таблица37[[#This Row],[Трудозатраты]]</f>
        <v>280.13439999999997</v>
      </c>
      <c r="J233" s="357">
        <v>280.13439999999997</v>
      </c>
      <c r="K233" s="220" t="e">
        <f>VLOOKUP(Таблица37[[#This Row],[Оболочки]],'[3]Расчет себес оболочек'!$A$3:$E$35,5,0)</f>
        <v>#N/A</v>
      </c>
    </row>
    <row r="234" spans="1:11" x14ac:dyDescent="0.25">
      <c r="B234" s="350" t="s">
        <v>1027</v>
      </c>
      <c r="C234" s="351" t="s">
        <v>1028</v>
      </c>
      <c r="D234" s="352" t="s">
        <v>640</v>
      </c>
      <c r="E234" s="353">
        <f t="shared" si="3"/>
        <v>319.08800000000008</v>
      </c>
      <c r="F234" s="354"/>
      <c r="G234" s="355"/>
      <c r="H234" s="359"/>
      <c r="I234" s="356">
        <f>Таблица37[[#This Row],[Цена]]+Таблица37[[#This Row],[Трудозатраты]]</f>
        <v>319.08800000000008</v>
      </c>
      <c r="J234" s="357">
        <v>319.08800000000008</v>
      </c>
      <c r="K234" s="220" t="e">
        <f>VLOOKUP(Таблица37[[#This Row],[Оболочки]],'[3]Расчет себес оболочек'!$A$3:$E$35,5,0)</f>
        <v>#N/A</v>
      </c>
    </row>
    <row r="235" spans="1:11" x14ac:dyDescent="0.25">
      <c r="B235" s="350" t="s">
        <v>1029</v>
      </c>
      <c r="C235" s="351" t="s">
        <v>1030</v>
      </c>
      <c r="D235" s="352" t="s">
        <v>640</v>
      </c>
      <c r="E235" s="353">
        <f t="shared" si="3"/>
        <v>360.32080000000008</v>
      </c>
      <c r="F235" s="354"/>
      <c r="G235" s="355"/>
      <c r="H235" s="359"/>
      <c r="I235" s="356">
        <f>Таблица37[[#This Row],[Цена]]+Таблица37[[#This Row],[Трудозатраты]]</f>
        <v>360.32080000000008</v>
      </c>
      <c r="J235" s="357">
        <v>360.32080000000008</v>
      </c>
      <c r="K235" s="220" t="e">
        <f>VLOOKUP(Таблица37[[#This Row],[Оболочки]],'[3]Расчет себес оболочек'!$A$3:$E$35,5,0)</f>
        <v>#N/A</v>
      </c>
    </row>
    <row r="236" spans="1:11" x14ac:dyDescent="0.25">
      <c r="B236" s="350" t="s">
        <v>1031</v>
      </c>
      <c r="C236" s="351" t="s">
        <v>1032</v>
      </c>
      <c r="D236" s="352" t="s">
        <v>640</v>
      </c>
      <c r="E236" s="353">
        <f t="shared" si="3"/>
        <v>517.89640000000009</v>
      </c>
      <c r="F236" s="354"/>
      <c r="G236" s="355"/>
      <c r="H236" s="359"/>
      <c r="I236" s="356">
        <f>Таблица37[[#This Row],[Цена]]+Таблица37[[#This Row],[Трудозатраты]]</f>
        <v>517.89640000000009</v>
      </c>
      <c r="J236" s="357">
        <v>517.89640000000009</v>
      </c>
      <c r="K236" s="220" t="e">
        <f>VLOOKUP(Таблица37[[#This Row],[Оболочки]],'[3]Расчет себес оболочек'!$A$3:$E$35,5,0)</f>
        <v>#N/A</v>
      </c>
    </row>
    <row r="237" spans="1:11" x14ac:dyDescent="0.25">
      <c r="B237" s="350" t="s">
        <v>1033</v>
      </c>
      <c r="C237" s="351" t="s">
        <v>1034</v>
      </c>
      <c r="D237" s="352" t="s">
        <v>640</v>
      </c>
      <c r="E237" s="353">
        <f t="shared" si="3"/>
        <v>548.56200000000013</v>
      </c>
      <c r="F237" s="354"/>
      <c r="G237" s="355"/>
      <c r="H237" s="359"/>
      <c r="I237" s="356">
        <f>Таблица37[[#This Row],[Цена]]+Таблица37[[#This Row],[Трудозатраты]]</f>
        <v>548.56200000000013</v>
      </c>
      <c r="J237" s="357">
        <v>548.56200000000013</v>
      </c>
      <c r="K237" s="220" t="e">
        <f>VLOOKUP(Таблица37[[#This Row],[Оболочки]],'[3]Расчет себес оболочек'!$A$3:$E$35,5,0)</f>
        <v>#N/A</v>
      </c>
    </row>
    <row r="238" spans="1:11" x14ac:dyDescent="0.25">
      <c r="B238" s="350" t="s">
        <v>1035</v>
      </c>
      <c r="C238" s="351" t="s">
        <v>1036</v>
      </c>
      <c r="D238" s="352" t="s">
        <v>640</v>
      </c>
      <c r="E238" s="353">
        <f t="shared" si="3"/>
        <v>586.0652</v>
      </c>
      <c r="F238" s="354"/>
      <c r="G238" s="355"/>
      <c r="H238" s="359"/>
      <c r="I238" s="356">
        <f>Таблица37[[#This Row],[Цена]]+Таблица37[[#This Row],[Трудозатраты]]</f>
        <v>586.0652</v>
      </c>
      <c r="J238" s="357">
        <v>586.0652</v>
      </c>
      <c r="K238" s="220" t="e">
        <f>VLOOKUP(Таблица37[[#This Row],[Оболочки]],'[3]Расчет себес оболочек'!$A$3:$E$35,5,0)</f>
        <v>#N/A</v>
      </c>
    </row>
    <row r="239" spans="1:11" x14ac:dyDescent="0.25">
      <c r="B239" s="350" t="s">
        <v>1037</v>
      </c>
      <c r="C239" s="351" t="s">
        <v>1038</v>
      </c>
      <c r="D239" s="352" t="s">
        <v>640</v>
      </c>
      <c r="E239" s="353">
        <f t="shared" si="3"/>
        <v>639.00479999999993</v>
      </c>
      <c r="F239" s="354"/>
      <c r="G239" s="355"/>
      <c r="H239" s="359"/>
      <c r="I239" s="356">
        <f>Таблица37[[#This Row],[Цена]]+Таблица37[[#This Row],[Трудозатраты]]</f>
        <v>639.00479999999993</v>
      </c>
      <c r="J239" s="357">
        <v>639.00479999999993</v>
      </c>
      <c r="K239" s="220" t="e">
        <f>VLOOKUP(Таблица37[[#This Row],[Оболочки]],'[3]Расчет себес оболочек'!$A$3:$E$35,5,0)</f>
        <v>#N/A</v>
      </c>
    </row>
    <row r="240" spans="1:11" x14ac:dyDescent="0.25">
      <c r="A240" s="221">
        <v>16</v>
      </c>
      <c r="B240" s="350" t="s">
        <v>208</v>
      </c>
      <c r="C240" s="351" t="s">
        <v>1039</v>
      </c>
      <c r="D240" s="352" t="s">
        <v>640</v>
      </c>
      <c r="E240" s="353">
        <f>VLOOKUP(Таблица37[[#This Row],[Оболочки]],'предоставленные цены'!$B$4:$D$328,2,0)</f>
        <v>799.99696500000005</v>
      </c>
      <c r="F240" s="354"/>
      <c r="G240" s="358" t="s">
        <v>2315</v>
      </c>
      <c r="H240" s="359">
        <f>VLOOKUP(A240,Таблы!$O$265:$S$275,5,0)</f>
        <v>95.04</v>
      </c>
      <c r="I240" s="356">
        <f>Таблица37[[#This Row],[Цена]]+Таблица37[[#This Row],[Трудозатраты]]</f>
        <v>895.03696500000001</v>
      </c>
      <c r="J240" s="357">
        <v>226.36599999999996</v>
      </c>
      <c r="K240" s="220" t="e">
        <f>VLOOKUP(Таблица37[[#This Row],[Оболочки]],'[3]Расчет себес оболочек'!$A$3:$E$35,5,0)</f>
        <v>#N/A</v>
      </c>
    </row>
    <row r="241" spans="1:11" x14ac:dyDescent="0.25">
      <c r="A241" s="221">
        <v>20</v>
      </c>
      <c r="B241" s="350" t="s">
        <v>209</v>
      </c>
      <c r="C241" s="351" t="s">
        <v>1040</v>
      </c>
      <c r="D241" s="352" t="s">
        <v>640</v>
      </c>
      <c r="E241" s="353">
        <f>VLOOKUP(Таблица37[[#This Row],[Оболочки]],'предоставленные цены'!$B$4:$D$328,2,0)</f>
        <v>809.70736499999998</v>
      </c>
      <c r="F241" s="354"/>
      <c r="G241" s="358" t="s">
        <v>2316</v>
      </c>
      <c r="H241" s="359">
        <f>VLOOKUP(A241,Таблы!$O$265:$S$275,5,0)</f>
        <v>77.759999999999991</v>
      </c>
      <c r="I241" s="356">
        <f>Таблица37[[#This Row],[Цена]]+Таблица37[[#This Row],[Трудозатраты]]</f>
        <v>887.46736499999997</v>
      </c>
      <c r="J241" s="357">
        <v>243.25279999999995</v>
      </c>
      <c r="K241" s="220" t="e">
        <f>VLOOKUP(Таблица37[[#This Row],[Оболочки]],'[3]Расчет себес оболочек'!$A$3:$E$35,5,0)</f>
        <v>#N/A</v>
      </c>
    </row>
    <row r="242" spans="1:11" x14ac:dyDescent="0.25">
      <c r="A242" s="221">
        <v>25</v>
      </c>
      <c r="B242" s="350" t="s">
        <v>210</v>
      </c>
      <c r="C242" s="351" t="s">
        <v>1041</v>
      </c>
      <c r="D242" s="352" t="s">
        <v>640</v>
      </c>
      <c r="E242" s="353">
        <f>VLOOKUP(Таблица37[[#This Row],[Оболочки]],'предоставленные цены'!$B$4:$D$328,2,0)</f>
        <v>1114.2242850000002</v>
      </c>
      <c r="F242" s="354"/>
      <c r="G242" s="358" t="s">
        <v>2317</v>
      </c>
      <c r="H242" s="359">
        <f>VLOOKUP(A242,Таблы!$O$265:$S$275,5,0)</f>
        <v>129.6</v>
      </c>
      <c r="I242" s="356">
        <f>Таблица37[[#This Row],[Цена]]+Таблица37[[#This Row],[Трудозатраты]]</f>
        <v>1243.8242850000001</v>
      </c>
      <c r="J242" s="357">
        <v>376.27520000000004</v>
      </c>
      <c r="K242" s="220" t="e">
        <f>VLOOKUP(Таблица37[[#This Row],[Оболочки]],'[3]Расчет себес оболочек'!$A$3:$E$35,5,0)</f>
        <v>#N/A</v>
      </c>
    </row>
    <row r="243" spans="1:11" x14ac:dyDescent="0.25">
      <c r="A243" s="221">
        <v>32</v>
      </c>
      <c r="B243" s="350" t="s">
        <v>211</v>
      </c>
      <c r="C243" s="351" t="s">
        <v>1042</v>
      </c>
      <c r="D243" s="352" t="s">
        <v>640</v>
      </c>
      <c r="E243" s="353">
        <f>VLOOKUP(Таблица37[[#This Row],[Оболочки]],'предоставленные цены'!$B$4:$D$328,2,0)</f>
        <v>1502.437764</v>
      </c>
      <c r="F243" s="354"/>
      <c r="G243" s="358" t="s">
        <v>2318</v>
      </c>
      <c r="H243" s="359">
        <f>VLOOKUP(A243,Таблы!$O$265:$S$275,5,0)</f>
        <v>190.08</v>
      </c>
      <c r="I243" s="356">
        <f>Таблица37[[#This Row],[Цена]]+Таблица37[[#This Row],[Трудозатраты]]</f>
        <v>1692.5177639999999</v>
      </c>
      <c r="J243" s="357">
        <v>450.45280000000008</v>
      </c>
      <c r="K243" s="220" t="e">
        <f>VLOOKUP(Таблица37[[#This Row],[Оболочки]],'[3]Расчет себес оболочек'!$A$3:$E$35,5,0)</f>
        <v>#N/A</v>
      </c>
    </row>
    <row r="244" spans="1:11" x14ac:dyDescent="0.25">
      <c r="A244" s="221">
        <v>40</v>
      </c>
      <c r="B244" s="350" t="s">
        <v>212</v>
      </c>
      <c r="C244" s="351" t="s">
        <v>1043</v>
      </c>
      <c r="D244" s="352" t="s">
        <v>640</v>
      </c>
      <c r="E244" s="353">
        <f>VLOOKUP(Таблица37[[#This Row],[Оболочки]],'предоставленные цены'!$B$4:$D$328,2,0)</f>
        <v>2090.8524060000004</v>
      </c>
      <c r="F244" s="354"/>
      <c r="G244" s="358" t="s">
        <v>2319</v>
      </c>
      <c r="H244" s="359">
        <f>VLOOKUP(A244,Таблы!$O$265:$S$275,5,0)</f>
        <v>267.83999999999997</v>
      </c>
      <c r="I244" s="356">
        <f>Таблица37[[#This Row],[Цена]]+Таблица37[[#This Row],[Трудозатраты]]</f>
        <v>2358.6924060000006</v>
      </c>
      <c r="J244" s="357">
        <v>741.67240000000004</v>
      </c>
      <c r="K244" s="220" t="e">
        <f>VLOOKUP(Таблица37[[#This Row],[Оболочки]],'[3]Расчет себес оболочек'!$A$3:$E$35,5,0)</f>
        <v>#N/A</v>
      </c>
    </row>
    <row r="245" spans="1:11" x14ac:dyDescent="0.25">
      <c r="A245" s="221">
        <v>50</v>
      </c>
      <c r="B245" s="350" t="s">
        <v>213</v>
      </c>
      <c r="C245" s="351" t="s">
        <v>1044</v>
      </c>
      <c r="D245" s="352" t="s">
        <v>640</v>
      </c>
      <c r="E245" s="353">
        <f>VLOOKUP(Таблица37[[#This Row],[Оболочки]],'предоставленные цены'!$B$4:$D$328,2,0)</f>
        <v>2614.0355999999997</v>
      </c>
      <c r="F245" s="354"/>
      <c r="G245" s="358" t="s">
        <v>2320</v>
      </c>
      <c r="H245" s="359">
        <f>VLOOKUP(A245,Таблы!$O$265:$S$275,5,0)</f>
        <v>362.87999999999994</v>
      </c>
      <c r="I245" s="356">
        <f>Таблица37[[#This Row],[Цена]]+Таблица37[[#This Row],[Трудозатраты]]</f>
        <v>2976.9155999999998</v>
      </c>
      <c r="J245" s="357">
        <v>1016.1088000000001</v>
      </c>
      <c r="K245" s="220" t="e">
        <f>VLOOKUP(Таблица37[[#This Row],[Оболочки]],'[3]Расчет себес оболочек'!$A$3:$E$35,5,0)</f>
        <v>#N/A</v>
      </c>
    </row>
    <row r="246" spans="1:11" x14ac:dyDescent="0.25">
      <c r="A246" s="221">
        <v>63</v>
      </c>
      <c r="B246" s="350" t="s">
        <v>214</v>
      </c>
      <c r="C246" s="351" t="s">
        <v>1045</v>
      </c>
      <c r="D246" s="352" t="s">
        <v>640</v>
      </c>
      <c r="E246" s="353">
        <f>VLOOKUP(Таблица37[[#This Row],[Оболочки]],'предоставленные цены'!$B$4:$D$328,2,0)</f>
        <v>3278.3310000000001</v>
      </c>
      <c r="F246" s="354"/>
      <c r="G246" s="358" t="s">
        <v>2321</v>
      </c>
      <c r="H246" s="359">
        <f>VLOOKUP(A246,Таблы!$O$265:$S$275,5,0)</f>
        <v>544.32000000000005</v>
      </c>
      <c r="I246" s="356">
        <f>Таблица37[[#This Row],[Цена]]+Таблица37[[#This Row],[Трудозатраты]]</f>
        <v>3822.6510000000003</v>
      </c>
      <c r="J246" s="357">
        <v>1405.6448</v>
      </c>
      <c r="K246" s="220" t="e">
        <f>VLOOKUP(Таблица37[[#This Row],[Оболочки]],'[3]Расчет себес оболочек'!$A$3:$E$35,5,0)</f>
        <v>#N/A</v>
      </c>
    </row>
    <row r="247" spans="1:11" x14ac:dyDescent="0.25">
      <c r="A247" s="221">
        <v>75</v>
      </c>
      <c r="B247" s="350" t="s">
        <v>1046</v>
      </c>
      <c r="C247" s="351" t="s">
        <v>1047</v>
      </c>
      <c r="D247" s="352" t="s">
        <v>640</v>
      </c>
      <c r="E247" s="353">
        <f t="shared" ref="E247:E249" si="4">J247</f>
        <v>2050.9692</v>
      </c>
      <c r="F247" s="354"/>
      <c r="G247" s="358" t="s">
        <v>2322</v>
      </c>
      <c r="H247" s="359">
        <f>VLOOKUP(A247,Таблы!$O$265:$S$275,5,0)</f>
        <v>907.19999999999993</v>
      </c>
      <c r="I247" s="356">
        <f>Таблица37[[#This Row],[Цена]]+Таблица37[[#This Row],[Трудозатраты]]</f>
        <v>2958.1691999999998</v>
      </c>
      <c r="J247" s="357">
        <v>2050.9692</v>
      </c>
      <c r="K247" s="220" t="e">
        <f>VLOOKUP(Таблица37[[#This Row],[Оболочки]],'[3]Расчет себес оболочек'!$A$3:$E$35,5,0)</f>
        <v>#N/A</v>
      </c>
    </row>
    <row r="248" spans="1:11" x14ac:dyDescent="0.25">
      <c r="A248" s="221">
        <v>75</v>
      </c>
      <c r="B248" s="350" t="s">
        <v>1048</v>
      </c>
      <c r="C248" s="351" t="s">
        <v>1049</v>
      </c>
      <c r="D248" s="352" t="s">
        <v>640</v>
      </c>
      <c r="E248" s="353">
        <f t="shared" si="4"/>
        <v>2447.0319999999997</v>
      </c>
      <c r="F248" s="354"/>
      <c r="G248" s="358" t="s">
        <v>2322</v>
      </c>
      <c r="H248" s="359">
        <f>VLOOKUP(A248,Таблы!$O$265:$S$275,5,0)</f>
        <v>907.19999999999993</v>
      </c>
      <c r="I248" s="356">
        <f>Таблица37[[#This Row],[Цена]]+Таблица37[[#This Row],[Трудозатраты]]</f>
        <v>3354.2319999999995</v>
      </c>
      <c r="J248" s="357">
        <v>2447.0319999999997</v>
      </c>
      <c r="K248" s="220" t="e">
        <f>VLOOKUP(Таблица37[[#This Row],[Оболочки]],'[3]Расчет себес оболочек'!$A$3:$E$35,5,0)</f>
        <v>#N/A</v>
      </c>
    </row>
    <row r="249" spans="1:11" x14ac:dyDescent="0.25">
      <c r="A249" s="221">
        <v>90</v>
      </c>
      <c r="B249" s="350" t="s">
        <v>1050</v>
      </c>
      <c r="C249" s="351" t="s">
        <v>1051</v>
      </c>
      <c r="D249" s="352" t="s">
        <v>640</v>
      </c>
      <c r="E249" s="353">
        <f t="shared" si="4"/>
        <v>2590.5180000000005</v>
      </c>
      <c r="F249" s="354"/>
      <c r="G249" s="358" t="s">
        <v>2324</v>
      </c>
      <c r="H249" s="359">
        <f>VLOOKUP(A249,Таблы!$O$265:$S$275,5,0)</f>
        <v>1296</v>
      </c>
      <c r="I249" s="356">
        <f>Таблица37[[#This Row],[Цена]]+Таблица37[[#This Row],[Трудозатраты]]</f>
        <v>3886.5180000000005</v>
      </c>
      <c r="J249" s="357">
        <v>2590.5180000000005</v>
      </c>
      <c r="K249" s="220" t="e">
        <f>VLOOKUP(Таблица37[[#This Row],[Оболочки]],'[3]Расчет себес оболочек'!$A$3:$E$35,5,0)</f>
        <v>#N/A</v>
      </c>
    </row>
    <row r="250" spans="1:11" x14ac:dyDescent="0.25">
      <c r="A250" s="221">
        <v>20</v>
      </c>
      <c r="B250" s="350" t="s">
        <v>1094</v>
      </c>
      <c r="C250" s="351" t="s">
        <v>2433</v>
      </c>
      <c r="D250" s="352"/>
      <c r="E250" s="353">
        <f>VLOOKUP(Таблица37[[#This Row],[Оболочки]],'предоставленные цены'!$B$4:$D$328,2,0)</f>
        <v>809.70736499999998</v>
      </c>
      <c r="F250" s="354"/>
      <c r="G250" s="358"/>
      <c r="H250" s="359">
        <f>VLOOKUP(A250,Таблы!$O$265:$S$275,5,0)</f>
        <v>77.759999999999991</v>
      </c>
      <c r="I250" s="356">
        <f>Таблица37[[#This Row],[Цена]]+Таблица37[[#This Row],[Трудозатраты]]</f>
        <v>887.46736499999997</v>
      </c>
      <c r="J250" s="357">
        <v>300</v>
      </c>
      <c r="K250" s="220" t="e">
        <f>VLOOKUP(Таблица37[[#This Row],[Оболочки]],'[3]Расчет себес оболочек'!$A$3:$E$35,5,0)</f>
        <v>#N/A</v>
      </c>
    </row>
    <row r="251" spans="1:11" x14ac:dyDescent="0.25">
      <c r="A251" s="221">
        <v>25</v>
      </c>
      <c r="B251" s="350" t="s">
        <v>1096</v>
      </c>
      <c r="C251" s="351" t="s">
        <v>2434</v>
      </c>
      <c r="D251" s="352"/>
      <c r="E251" s="353">
        <f>VLOOKUP(Таблица37[[#This Row],[Оболочки]],'предоставленные цены'!$B$4:$D$328,2,0)</f>
        <v>1114.2242850000002</v>
      </c>
      <c r="F251" s="354"/>
      <c r="G251" s="358"/>
      <c r="H251" s="359">
        <f>VLOOKUP(A251,Таблы!$O$265:$S$275,5,0)</f>
        <v>129.6</v>
      </c>
      <c r="I251" s="356">
        <f>Таблица37[[#This Row],[Цена]]+Таблица37[[#This Row],[Трудозатраты]]</f>
        <v>1243.8242850000001</v>
      </c>
      <c r="J251" s="357">
        <v>420</v>
      </c>
      <c r="K251" s="220" t="e">
        <f>VLOOKUP(Таблица37[[#This Row],[Оболочки]],'[3]Расчет себес оболочек'!$A$3:$E$35,5,0)</f>
        <v>#N/A</v>
      </c>
    </row>
    <row r="252" spans="1:11" x14ac:dyDescent="0.25">
      <c r="A252" s="221">
        <v>32</v>
      </c>
      <c r="B252" s="350" t="s">
        <v>1098</v>
      </c>
      <c r="C252" s="351" t="s">
        <v>2435</v>
      </c>
      <c r="D252" s="352"/>
      <c r="E252" s="353">
        <f>VLOOKUP(Таблица37[[#This Row],[Оболочки]],'предоставленные цены'!$B$4:$D$328,2,0)</f>
        <v>1502.437764</v>
      </c>
      <c r="F252" s="354"/>
      <c r="G252" s="358"/>
      <c r="H252" s="359">
        <f>VLOOKUP(A252,Таблы!$O$265:$S$275,5,0)</f>
        <v>190.08</v>
      </c>
      <c r="I252" s="356">
        <f>Таблица37[[#This Row],[Цена]]+Таблица37[[#This Row],[Трудозатраты]]</f>
        <v>1692.5177639999999</v>
      </c>
      <c r="J252" s="357">
        <v>550</v>
      </c>
      <c r="K252" s="220" t="e">
        <f>VLOOKUP(Таблица37[[#This Row],[Оболочки]],'[3]Расчет себес оболочек'!$A$3:$E$35,5,0)</f>
        <v>#N/A</v>
      </c>
    </row>
    <row r="253" spans="1:11" x14ac:dyDescent="0.25">
      <c r="A253" s="221">
        <v>40</v>
      </c>
      <c r="B253" s="350" t="s">
        <v>1100</v>
      </c>
      <c r="C253" s="351" t="s">
        <v>2436</v>
      </c>
      <c r="D253" s="352"/>
      <c r="E253" s="353">
        <f>VLOOKUP(Таблица37[[#This Row],[Оболочки]],'предоставленные цены'!$B$4:$D$328,2,0)</f>
        <v>2090.8524060000004</v>
      </c>
      <c r="F253" s="354"/>
      <c r="G253" s="358"/>
      <c r="H253" s="359">
        <f>VLOOKUP(A253,Таблы!$O$265:$S$275,5,0)</f>
        <v>267.83999999999997</v>
      </c>
      <c r="I253" s="356">
        <f>Таблица37[[#This Row],[Цена]]+Таблица37[[#This Row],[Трудозатраты]]</f>
        <v>2358.6924060000006</v>
      </c>
      <c r="J253" s="357">
        <v>800</v>
      </c>
      <c r="K253" s="220" t="e">
        <f>VLOOKUP(Таблица37[[#This Row],[Оболочки]],'[3]Расчет себес оболочек'!$A$3:$E$35,5,0)</f>
        <v>#N/A</v>
      </c>
    </row>
    <row r="254" spans="1:11" x14ac:dyDescent="0.25">
      <c r="A254" s="221">
        <v>90</v>
      </c>
      <c r="B254" s="350" t="s">
        <v>1052</v>
      </c>
      <c r="C254" s="351" t="s">
        <v>1053</v>
      </c>
      <c r="D254" s="352" t="s">
        <v>640</v>
      </c>
      <c r="E254" s="353">
        <f t="shared" ref="E254:E274" si="5">J254</f>
        <v>0</v>
      </c>
      <c r="F254" s="354"/>
      <c r="G254" s="358" t="s">
        <v>2324</v>
      </c>
      <c r="H254" s="359">
        <f>VLOOKUP(A254,Таблы!$O$265:$S$275,5,0)</f>
        <v>1296</v>
      </c>
      <c r="I254" s="356">
        <f>Таблица37[[#This Row],[Цена]]+Таблица37[[#This Row],[Трудозатраты]]</f>
        <v>1296</v>
      </c>
      <c r="J254" s="357"/>
      <c r="K254" s="220" t="e">
        <f>VLOOKUP(Таблица37[[#This Row],[Оболочки]],'[3]Расчет себес оболочек'!$A$3:$E$35,5,0)</f>
        <v>#N/A</v>
      </c>
    </row>
    <row r="255" spans="1:11" x14ac:dyDescent="0.25">
      <c r="B255" s="350" t="s">
        <v>1054</v>
      </c>
      <c r="C255" s="351" t="s">
        <v>1055</v>
      </c>
      <c r="D255" s="352" t="s">
        <v>640</v>
      </c>
      <c r="E255" s="353">
        <f t="shared" si="5"/>
        <v>228.54159999999993</v>
      </c>
      <c r="F255" s="354"/>
      <c r="G255" s="358"/>
      <c r="H255" s="359"/>
      <c r="I255" s="356">
        <f>Таблица37[[#This Row],[Цена]]+Таблица37[[#This Row],[Трудозатраты]]</f>
        <v>228.54159999999993</v>
      </c>
      <c r="J255" s="357">
        <v>228.54159999999993</v>
      </c>
      <c r="K255" s="220" t="e">
        <f>VLOOKUP(Таблица37[[#This Row],[Оболочки]],'[3]Расчет себес оболочек'!$A$3:$E$35,5,0)</f>
        <v>#N/A</v>
      </c>
    </row>
    <row r="256" spans="1:11" x14ac:dyDescent="0.25">
      <c r="B256" s="350" t="s">
        <v>1056</v>
      </c>
      <c r="C256" s="351" t="s">
        <v>1057</v>
      </c>
      <c r="D256" s="352" t="s">
        <v>640</v>
      </c>
      <c r="E256" s="353">
        <f t="shared" si="5"/>
        <v>246.87879999999998</v>
      </c>
      <c r="F256" s="354"/>
      <c r="G256" s="355"/>
      <c r="H256" s="359"/>
      <c r="I256" s="356">
        <f>Таблица37[[#This Row],[Цена]]+Таблица37[[#This Row],[Трудозатраты]]</f>
        <v>246.87879999999998</v>
      </c>
      <c r="J256" s="357">
        <v>246.87879999999998</v>
      </c>
      <c r="K256" s="220" t="e">
        <f>VLOOKUP(Таблица37[[#This Row],[Оболочки]],'[3]Расчет себес оболочек'!$A$3:$E$35,5,0)</f>
        <v>#N/A</v>
      </c>
    </row>
    <row r="257" spans="2:11" x14ac:dyDescent="0.25">
      <c r="B257" s="350" t="s">
        <v>1058</v>
      </c>
      <c r="C257" s="351" t="s">
        <v>1059</v>
      </c>
      <c r="D257" s="352" t="s">
        <v>640</v>
      </c>
      <c r="E257" s="353">
        <f t="shared" si="5"/>
        <v>383.00920000000002</v>
      </c>
      <c r="F257" s="354"/>
      <c r="G257" s="358"/>
      <c r="H257" s="359"/>
      <c r="I257" s="356">
        <f>Таблица37[[#This Row],[Цена]]+Таблица37[[#This Row],[Трудозатраты]]</f>
        <v>383.00920000000002</v>
      </c>
      <c r="J257" s="357">
        <v>383.00920000000002</v>
      </c>
      <c r="K257" s="220" t="e">
        <f>VLOOKUP(Таблица37[[#This Row],[Оболочки]],'[3]Расчет себес оболочек'!$A$3:$E$35,5,0)</f>
        <v>#N/A</v>
      </c>
    </row>
    <row r="258" spans="2:11" x14ac:dyDescent="0.25">
      <c r="B258" s="350" t="s">
        <v>1060</v>
      </c>
      <c r="C258" s="351" t="s">
        <v>1061</v>
      </c>
      <c r="D258" s="352" t="s">
        <v>640</v>
      </c>
      <c r="E258" s="353">
        <f t="shared" si="5"/>
        <v>465.88919999999996</v>
      </c>
      <c r="F258" s="354"/>
      <c r="G258" s="358"/>
      <c r="H258" s="359"/>
      <c r="I258" s="356">
        <f>Таблица37[[#This Row],[Цена]]+Таблица37[[#This Row],[Трудозатраты]]</f>
        <v>465.88919999999996</v>
      </c>
      <c r="J258" s="357">
        <v>465.88919999999996</v>
      </c>
      <c r="K258" s="220" t="e">
        <f>VLOOKUP(Таблица37[[#This Row],[Оболочки]],'[3]Расчет себес оболочек'!$A$3:$E$35,5,0)</f>
        <v>#N/A</v>
      </c>
    </row>
    <row r="259" spans="2:11" x14ac:dyDescent="0.25">
      <c r="B259" s="350" t="s">
        <v>1062</v>
      </c>
      <c r="C259" s="351" t="s">
        <v>1063</v>
      </c>
      <c r="D259" s="352" t="s">
        <v>640</v>
      </c>
      <c r="E259" s="353">
        <f t="shared" si="5"/>
        <v>795.75159999999994</v>
      </c>
      <c r="F259" s="354"/>
      <c r="G259" s="358"/>
      <c r="H259" s="359"/>
      <c r="I259" s="356">
        <f>Таблица37[[#This Row],[Цена]]+Таблица37[[#This Row],[Трудозатраты]]</f>
        <v>795.75159999999994</v>
      </c>
      <c r="J259" s="357">
        <v>795.75159999999994</v>
      </c>
      <c r="K259" s="220" t="e">
        <f>VLOOKUP(Таблица37[[#This Row],[Оболочки]],'[3]Расчет себес оболочек'!$A$3:$E$35,5,0)</f>
        <v>#N/A</v>
      </c>
    </row>
    <row r="260" spans="2:11" x14ac:dyDescent="0.25">
      <c r="B260" s="350" t="s">
        <v>1064</v>
      </c>
      <c r="C260" s="351" t="s">
        <v>1065</v>
      </c>
      <c r="D260" s="352" t="s">
        <v>640</v>
      </c>
      <c r="E260" s="353">
        <f t="shared" si="5"/>
        <v>1024.7075999999997</v>
      </c>
      <c r="F260" s="354"/>
      <c r="G260" s="355"/>
      <c r="H260" s="359"/>
      <c r="I260" s="356">
        <f>Таблица37[[#This Row],[Цена]]+Таблица37[[#This Row],[Трудозатраты]]</f>
        <v>1024.7075999999997</v>
      </c>
      <c r="J260" s="357">
        <v>1024.7075999999997</v>
      </c>
      <c r="K260" s="220" t="e">
        <f>VLOOKUP(Таблица37[[#This Row],[Оболочки]],'[3]Расчет себес оболочек'!$A$3:$E$35,5,0)</f>
        <v>#N/A</v>
      </c>
    </row>
    <row r="261" spans="2:11" x14ac:dyDescent="0.25">
      <c r="B261" s="350" t="s">
        <v>1066</v>
      </c>
      <c r="C261" s="351" t="s">
        <v>1067</v>
      </c>
      <c r="D261" s="352" t="s">
        <v>640</v>
      </c>
      <c r="E261" s="353">
        <f t="shared" si="5"/>
        <v>1425.4323999999999</v>
      </c>
      <c r="F261" s="354"/>
      <c r="G261" s="358"/>
      <c r="H261" s="359"/>
      <c r="I261" s="356">
        <f>Таблица37[[#This Row],[Цена]]+Таблица37[[#This Row],[Трудозатраты]]</f>
        <v>1425.4323999999999</v>
      </c>
      <c r="J261" s="357">
        <v>1425.4323999999999</v>
      </c>
      <c r="K261" s="220" t="e">
        <f>VLOOKUP(Таблица37[[#This Row],[Оболочки]],'[3]Расчет себес оболочек'!$A$3:$E$35,5,0)</f>
        <v>#N/A</v>
      </c>
    </row>
    <row r="262" spans="2:11" x14ac:dyDescent="0.25">
      <c r="B262" s="350" t="s">
        <v>1068</v>
      </c>
      <c r="C262" s="351" t="s">
        <v>1069</v>
      </c>
      <c r="D262" s="352" t="s">
        <v>640</v>
      </c>
      <c r="E262" s="353">
        <f t="shared" si="5"/>
        <v>2231.5439999999999</v>
      </c>
      <c r="F262" s="354"/>
      <c r="G262" s="358"/>
      <c r="H262" s="359"/>
      <c r="I262" s="356">
        <f>Таблица37[[#This Row],[Цена]]+Таблица37[[#This Row],[Трудозатраты]]</f>
        <v>2231.5439999999999</v>
      </c>
      <c r="J262" s="357">
        <v>2231.5439999999999</v>
      </c>
      <c r="K262" s="220" t="e">
        <f>VLOOKUP(Таблица37[[#This Row],[Оболочки]],'[3]Расчет себес оболочек'!$A$3:$E$35,5,0)</f>
        <v>#N/A</v>
      </c>
    </row>
    <row r="263" spans="2:11" x14ac:dyDescent="0.25">
      <c r="B263" s="350" t="s">
        <v>1070</v>
      </c>
      <c r="C263" s="351" t="s">
        <v>1071</v>
      </c>
      <c r="D263" s="352" t="s">
        <v>640</v>
      </c>
      <c r="E263" s="353">
        <f t="shared" si="5"/>
        <v>2519.5520000000001</v>
      </c>
      <c r="F263" s="354"/>
      <c r="G263" s="358"/>
      <c r="H263" s="359"/>
      <c r="I263" s="356">
        <f>Таблица37[[#This Row],[Цена]]+Таблица37[[#This Row],[Трудозатраты]]</f>
        <v>2519.5520000000001</v>
      </c>
      <c r="J263" s="357">
        <v>2519.5520000000001</v>
      </c>
      <c r="K263" s="220" t="e">
        <f>VLOOKUP(Таблица37[[#This Row],[Оболочки]],'[3]Расчет себес оболочек'!$A$3:$E$35,5,0)</f>
        <v>#N/A</v>
      </c>
    </row>
    <row r="264" spans="2:11" x14ac:dyDescent="0.25">
      <c r="B264" s="350" t="s">
        <v>1072</v>
      </c>
      <c r="C264" s="351" t="s">
        <v>1073</v>
      </c>
      <c r="D264" s="352" t="s">
        <v>640</v>
      </c>
      <c r="E264" s="353">
        <f t="shared" si="5"/>
        <v>2836.6715999999997</v>
      </c>
      <c r="F264" s="354"/>
      <c r="G264" s="355"/>
      <c r="H264" s="359"/>
      <c r="I264" s="356">
        <f>Таблица37[[#This Row],[Цена]]+Таблица37[[#This Row],[Трудозатраты]]</f>
        <v>2836.6715999999997</v>
      </c>
      <c r="J264" s="357">
        <v>2836.6715999999997</v>
      </c>
      <c r="K264" s="220" t="e">
        <f>VLOOKUP(Таблица37[[#This Row],[Оболочки]],'[3]Расчет себес оболочек'!$A$3:$E$35,5,0)</f>
        <v>#N/A</v>
      </c>
    </row>
    <row r="265" spans="2:11" x14ac:dyDescent="0.25">
      <c r="B265" s="350" t="s">
        <v>1074</v>
      </c>
      <c r="C265" s="351" t="s">
        <v>1075</v>
      </c>
      <c r="D265" s="352" t="s">
        <v>640</v>
      </c>
      <c r="E265" s="353">
        <f t="shared" si="5"/>
        <v>228.85239999999993</v>
      </c>
      <c r="F265" s="354"/>
      <c r="G265" s="358"/>
      <c r="H265" s="359"/>
      <c r="I265" s="356">
        <f>Таблица37[[#This Row],[Цена]]+Таблица37[[#This Row],[Трудозатраты]]</f>
        <v>228.85239999999993</v>
      </c>
      <c r="J265" s="357">
        <v>228.85239999999993</v>
      </c>
      <c r="K265" s="220" t="e">
        <f>VLOOKUP(Таблица37[[#This Row],[Оболочки]],'[3]Расчет себес оболочек'!$A$3:$E$35,5,0)</f>
        <v>#N/A</v>
      </c>
    </row>
    <row r="266" spans="2:11" x14ac:dyDescent="0.25">
      <c r="B266" s="350" t="s">
        <v>1076</v>
      </c>
      <c r="C266" s="351" t="s">
        <v>1077</v>
      </c>
      <c r="D266" s="352" t="s">
        <v>640</v>
      </c>
      <c r="E266" s="353">
        <f t="shared" si="5"/>
        <v>247.81120000000004</v>
      </c>
      <c r="F266" s="354"/>
      <c r="G266" s="358"/>
      <c r="H266" s="359"/>
      <c r="I266" s="356">
        <f>Таблица37[[#This Row],[Цена]]+Таблица37[[#This Row],[Трудозатраты]]</f>
        <v>247.81120000000004</v>
      </c>
      <c r="J266" s="357">
        <v>247.81120000000004</v>
      </c>
      <c r="K266" s="220" t="e">
        <f>VLOOKUP(Таблица37[[#This Row],[Оболочки]],'[3]Расчет себес оболочек'!$A$3:$E$35,5,0)</f>
        <v>#N/A</v>
      </c>
    </row>
    <row r="267" spans="2:11" x14ac:dyDescent="0.25">
      <c r="B267" s="350" t="s">
        <v>1078</v>
      </c>
      <c r="C267" s="351" t="s">
        <v>1079</v>
      </c>
      <c r="D267" s="352" t="s">
        <v>640</v>
      </c>
      <c r="E267" s="353">
        <f t="shared" si="5"/>
        <v>385.18480000000005</v>
      </c>
      <c r="F267" s="354"/>
      <c r="G267" s="358"/>
      <c r="H267" s="359"/>
      <c r="I267" s="356">
        <f>Таблица37[[#This Row],[Цена]]+Таблица37[[#This Row],[Трудозатраты]]</f>
        <v>385.18480000000005</v>
      </c>
      <c r="J267" s="357">
        <v>385.18480000000005</v>
      </c>
      <c r="K267" s="220" t="e">
        <f>VLOOKUP(Таблица37[[#This Row],[Оболочки]],'[3]Расчет себес оболочек'!$A$3:$E$35,5,0)</f>
        <v>#N/A</v>
      </c>
    </row>
    <row r="268" spans="2:11" x14ac:dyDescent="0.25">
      <c r="B268" s="350" t="s">
        <v>1080</v>
      </c>
      <c r="C268" s="351" t="s">
        <v>1081</v>
      </c>
      <c r="D268" s="352" t="s">
        <v>640</v>
      </c>
      <c r="E268" s="353">
        <f t="shared" si="5"/>
        <v>459.98399999999992</v>
      </c>
      <c r="F268" s="354"/>
      <c r="G268" s="358"/>
      <c r="H268" s="359"/>
      <c r="I268" s="356">
        <f>Таблица37[[#This Row],[Цена]]+Таблица37[[#This Row],[Трудозатраты]]</f>
        <v>459.98399999999992</v>
      </c>
      <c r="J268" s="357">
        <v>459.98399999999992</v>
      </c>
      <c r="K268" s="220" t="e">
        <f>VLOOKUP(Таблица37[[#This Row],[Оболочки]],'[3]Расчет себес оболочек'!$A$3:$E$35,5,0)</f>
        <v>#N/A</v>
      </c>
    </row>
    <row r="269" spans="2:11" x14ac:dyDescent="0.25">
      <c r="B269" s="350" t="s">
        <v>1082</v>
      </c>
      <c r="C269" s="351" t="s">
        <v>1083</v>
      </c>
      <c r="D269" s="352" t="s">
        <v>640</v>
      </c>
      <c r="E269" s="353">
        <f t="shared" si="5"/>
        <v>760.11319999999989</v>
      </c>
      <c r="F269" s="354"/>
      <c r="G269" s="358"/>
      <c r="H269" s="359"/>
      <c r="I269" s="356">
        <f>Таблица37[[#This Row],[Цена]]+Таблица37[[#This Row],[Трудозатраты]]</f>
        <v>760.11319999999989</v>
      </c>
      <c r="J269" s="357">
        <v>760.11319999999989</v>
      </c>
      <c r="K269" s="220" t="e">
        <f>VLOOKUP(Таблица37[[#This Row],[Оболочки]],'[3]Расчет себес оболочек'!$A$3:$E$35,5,0)</f>
        <v>#N/A</v>
      </c>
    </row>
    <row r="270" spans="2:11" x14ac:dyDescent="0.25">
      <c r="B270" s="350" t="s">
        <v>1084</v>
      </c>
      <c r="C270" s="351" t="s">
        <v>1085</v>
      </c>
      <c r="D270" s="352" t="s">
        <v>640</v>
      </c>
      <c r="E270" s="353">
        <f t="shared" si="5"/>
        <v>989.27640000000008</v>
      </c>
      <c r="F270" s="354"/>
      <c r="G270" s="355"/>
      <c r="H270" s="359"/>
      <c r="I270" s="356">
        <f>Таблица37[[#This Row],[Цена]]+Таблица37[[#This Row],[Трудозатраты]]</f>
        <v>989.27640000000008</v>
      </c>
      <c r="J270" s="357">
        <v>989.27640000000008</v>
      </c>
      <c r="K270" s="220" t="e">
        <f>VLOOKUP(Таблица37[[#This Row],[Оболочки]],'[3]Расчет себес оболочек'!$A$3:$E$35,5,0)</f>
        <v>#N/A</v>
      </c>
    </row>
    <row r="271" spans="2:11" x14ac:dyDescent="0.25">
      <c r="B271" s="350" t="s">
        <v>1086</v>
      </c>
      <c r="C271" s="351" t="s">
        <v>1087</v>
      </c>
      <c r="D271" s="352" t="s">
        <v>640</v>
      </c>
      <c r="E271" s="353">
        <f t="shared" si="5"/>
        <v>1354.1556</v>
      </c>
      <c r="F271" s="354"/>
      <c r="G271" s="355"/>
      <c r="H271" s="359"/>
      <c r="I271" s="356">
        <f>Таблица37[[#This Row],[Цена]]+Таблица37[[#This Row],[Трудозатраты]]</f>
        <v>1354.1556</v>
      </c>
      <c r="J271" s="357">
        <v>1354.1556</v>
      </c>
      <c r="K271" s="220" t="e">
        <f>VLOOKUP(Таблица37[[#This Row],[Оболочки]],'[3]Расчет себес оболочек'!$A$3:$E$35,5,0)</f>
        <v>#N/A</v>
      </c>
    </row>
    <row r="272" spans="2:11" x14ac:dyDescent="0.25">
      <c r="B272" s="350" t="s">
        <v>1088</v>
      </c>
      <c r="C272" s="351" t="s">
        <v>1089</v>
      </c>
      <c r="D272" s="352" t="s">
        <v>640</v>
      </c>
      <c r="E272" s="353">
        <f t="shared" si="5"/>
        <v>2053.4556000000002</v>
      </c>
      <c r="F272" s="354"/>
      <c r="G272" s="355"/>
      <c r="H272" s="359"/>
      <c r="I272" s="356">
        <f>Таблица37[[#This Row],[Цена]]+Таблица37[[#This Row],[Трудозатраты]]</f>
        <v>2053.4556000000002</v>
      </c>
      <c r="J272" s="357">
        <v>2053.4556000000002</v>
      </c>
      <c r="K272" s="220" t="e">
        <f>VLOOKUP(Таблица37[[#This Row],[Оболочки]],'[3]Расчет себес оболочек'!$A$3:$E$35,5,0)</f>
        <v>#N/A</v>
      </c>
    </row>
    <row r="273" spans="2:11" x14ac:dyDescent="0.25">
      <c r="B273" s="350" t="s">
        <v>1090</v>
      </c>
      <c r="C273" s="351" t="s">
        <v>1091</v>
      </c>
      <c r="D273" s="352" t="s">
        <v>640</v>
      </c>
      <c r="E273" s="353">
        <f t="shared" si="5"/>
        <v>2449.5183999999999</v>
      </c>
      <c r="F273" s="354"/>
      <c r="G273" s="355"/>
      <c r="H273" s="359"/>
      <c r="I273" s="356">
        <f>Таблица37[[#This Row],[Цена]]+Таблица37[[#This Row],[Трудозатраты]]</f>
        <v>2449.5183999999999</v>
      </c>
      <c r="J273" s="357">
        <v>2449.5183999999999</v>
      </c>
      <c r="K273" s="220" t="e">
        <f>VLOOKUP(Таблица37[[#This Row],[Оболочки]],'[3]Расчет себес оболочек'!$A$3:$E$35,5,0)</f>
        <v>#N/A</v>
      </c>
    </row>
    <row r="274" spans="2:11" x14ac:dyDescent="0.25">
      <c r="B274" s="350" t="s">
        <v>1092</v>
      </c>
      <c r="C274" s="351" t="s">
        <v>1093</v>
      </c>
      <c r="D274" s="352" t="s">
        <v>640</v>
      </c>
      <c r="E274" s="353">
        <f t="shared" si="5"/>
        <v>2543.4836</v>
      </c>
      <c r="F274" s="354"/>
      <c r="G274" s="355"/>
      <c r="H274" s="359"/>
      <c r="I274" s="356">
        <f>Таблица37[[#This Row],[Цена]]+Таблица37[[#This Row],[Трудозатраты]]</f>
        <v>2543.4836</v>
      </c>
      <c r="J274" s="357">
        <v>2543.4836</v>
      </c>
      <c r="K274" s="220" t="e">
        <f>VLOOKUP(Таблица37[[#This Row],[Оболочки]],'[3]Расчет себес оболочек'!$A$3:$E$35,5,0)</f>
        <v>#N/A</v>
      </c>
    </row>
    <row r="275" spans="2:11" x14ac:dyDescent="0.25">
      <c r="B275" s="350" t="s">
        <v>1094</v>
      </c>
      <c r="C275" s="351" t="s">
        <v>1095</v>
      </c>
      <c r="D275" s="352" t="s">
        <v>640</v>
      </c>
      <c r="E275" s="353">
        <f>VLOOKUP(Таблица37[[#This Row],[Оболочки]],'предоставленные цены'!$B$4:$D$328,2,0)</f>
        <v>809.70736499999998</v>
      </c>
      <c r="F275" s="354"/>
      <c r="G275" s="355"/>
      <c r="H275" s="359"/>
      <c r="I275" s="356">
        <f>Таблица37[[#This Row],[Цена]]+Таблица37[[#This Row],[Трудозатраты]]</f>
        <v>809.70736499999998</v>
      </c>
      <c r="J275" s="357">
        <v>220.14999999999998</v>
      </c>
      <c r="K275" s="220" t="e">
        <f>VLOOKUP(Таблица37[[#This Row],[Оболочки]],'[3]Расчет себес оболочек'!$A$3:$E$35,5,0)</f>
        <v>#N/A</v>
      </c>
    </row>
    <row r="276" spans="2:11" x14ac:dyDescent="0.25">
      <c r="B276" s="350" t="s">
        <v>1096</v>
      </c>
      <c r="C276" s="351" t="s">
        <v>1097</v>
      </c>
      <c r="D276" s="352" t="s">
        <v>640</v>
      </c>
      <c r="E276" s="353">
        <f>VLOOKUP(Таблица37[[#This Row],[Оболочки]],'предоставленные цены'!$B$4:$D$328,2,0)</f>
        <v>1114.2242850000002</v>
      </c>
      <c r="F276" s="354"/>
      <c r="G276" s="355"/>
      <c r="H276" s="359"/>
      <c r="I276" s="356">
        <f>Таблица37[[#This Row],[Цена]]+Таблица37[[#This Row],[Трудозатраты]]</f>
        <v>1114.2242850000002</v>
      </c>
      <c r="J276" s="357">
        <v>349.96080000000012</v>
      </c>
      <c r="K276" s="220" t="e">
        <f>VLOOKUP(Таблица37[[#This Row],[Оболочки]],'[3]Расчет себес оболочек'!$A$3:$E$35,5,0)</f>
        <v>#N/A</v>
      </c>
    </row>
    <row r="277" spans="2:11" x14ac:dyDescent="0.25">
      <c r="B277" s="350" t="s">
        <v>1098</v>
      </c>
      <c r="C277" s="351" t="s">
        <v>1099</v>
      </c>
      <c r="D277" s="352" t="s">
        <v>640</v>
      </c>
      <c r="E277" s="353">
        <f>VLOOKUP(Таблица37[[#This Row],[Оболочки]],'предоставленные цены'!$B$4:$D$328,2,0)</f>
        <v>1502.437764</v>
      </c>
      <c r="F277" s="354"/>
      <c r="G277" s="355"/>
      <c r="H277" s="359"/>
      <c r="I277" s="356">
        <f>Таблица37[[#This Row],[Цена]]+Таблица37[[#This Row],[Трудозатраты]]</f>
        <v>1502.437764</v>
      </c>
      <c r="J277" s="357">
        <v>449.20960000000008</v>
      </c>
      <c r="K277" s="220" t="e">
        <f>VLOOKUP(Таблица37[[#This Row],[Оболочки]],'[3]Расчет себес оболочек'!$A$3:$E$35,5,0)</f>
        <v>#N/A</v>
      </c>
    </row>
    <row r="278" spans="2:11" x14ac:dyDescent="0.25">
      <c r="B278" s="350" t="s">
        <v>1100</v>
      </c>
      <c r="C278" s="351" t="s">
        <v>1101</v>
      </c>
      <c r="D278" s="352" t="s">
        <v>640</v>
      </c>
      <c r="E278" s="353">
        <f>VLOOKUP(Таблица37[[#This Row],[Оболочки]],'предоставленные цены'!$B$4:$D$328,2,0)</f>
        <v>2090.8524060000004</v>
      </c>
      <c r="F278" s="354"/>
      <c r="G278" s="355"/>
      <c r="H278" s="359"/>
      <c r="I278" s="356">
        <f>Таблица37[[#This Row],[Цена]]+Таблица37[[#This Row],[Трудозатраты]]</f>
        <v>2090.8524060000004</v>
      </c>
      <c r="J278" s="357">
        <v>659.9319999999999</v>
      </c>
      <c r="K278" s="220" t="e">
        <f>VLOOKUP(Таблица37[[#This Row],[Оболочки]],'[3]Расчет себес оболочек'!$A$3:$E$35,5,0)</f>
        <v>#N/A</v>
      </c>
    </row>
    <row r="279" spans="2:11" x14ac:dyDescent="0.25">
      <c r="B279" s="350" t="s">
        <v>394</v>
      </c>
      <c r="C279" s="351" t="s">
        <v>1102</v>
      </c>
      <c r="D279" s="352" t="s">
        <v>640</v>
      </c>
      <c r="E279" s="353">
        <f t="shared" ref="E279:E302" si="6">J279</f>
        <v>312.72753333333333</v>
      </c>
      <c r="F279" s="354"/>
      <c r="G279" s="358" t="s">
        <v>2316</v>
      </c>
      <c r="H279" s="359"/>
      <c r="I279" s="356">
        <f>Таблица37[[#This Row],[Цена]]+Таблица37[[#This Row],[Трудозатраты]]</f>
        <v>312.72753333333333</v>
      </c>
      <c r="J279" s="357">
        <v>312.72753333333333</v>
      </c>
      <c r="K279" s="220" t="e">
        <f>VLOOKUP(Таблица37[[#This Row],[Оболочки]],'[3]Расчет себес оболочек'!$A$3:$E$35,5,0)</f>
        <v>#N/A</v>
      </c>
    </row>
    <row r="280" spans="2:11" x14ac:dyDescent="0.25">
      <c r="B280" s="350" t="s">
        <v>396</v>
      </c>
      <c r="C280" s="351" t="s">
        <v>1103</v>
      </c>
      <c r="D280" s="352" t="s">
        <v>640</v>
      </c>
      <c r="E280" s="353">
        <f t="shared" si="6"/>
        <v>333.94839999999999</v>
      </c>
      <c r="F280" s="354"/>
      <c r="G280" s="358" t="s">
        <v>2316</v>
      </c>
      <c r="H280" s="359"/>
      <c r="I280" s="356">
        <f>Таблица37[[#This Row],[Цена]]+Таблица37[[#This Row],[Трудозатраты]]</f>
        <v>333.94839999999999</v>
      </c>
      <c r="J280" s="357">
        <v>333.94839999999999</v>
      </c>
      <c r="K280" s="220" t="e">
        <f>VLOOKUP(Таблица37[[#This Row],[Оболочки]],'[3]Расчет себес оболочек'!$A$3:$E$35,5,0)</f>
        <v>#N/A</v>
      </c>
    </row>
    <row r="281" spans="2:11" x14ac:dyDescent="0.25">
      <c r="B281" s="350" t="s">
        <v>397</v>
      </c>
      <c r="C281" s="351" t="s">
        <v>1104</v>
      </c>
      <c r="D281" s="352" t="s">
        <v>640</v>
      </c>
      <c r="E281" s="353">
        <f t="shared" si="6"/>
        <v>452.54859999999996</v>
      </c>
      <c r="F281" s="354"/>
      <c r="G281" s="358" t="s">
        <v>2316</v>
      </c>
      <c r="H281" s="359"/>
      <c r="I281" s="356">
        <f>Таблица37[[#This Row],[Цена]]+Таблица37[[#This Row],[Трудозатраты]]</f>
        <v>452.54859999999996</v>
      </c>
      <c r="J281" s="357">
        <v>452.54859999999996</v>
      </c>
      <c r="K281" s="220" t="e">
        <f>VLOOKUP(Таблица37[[#This Row],[Оболочки]],'[3]Расчет себес оболочек'!$A$3:$E$35,5,0)</f>
        <v>#N/A</v>
      </c>
    </row>
    <row r="282" spans="2:11" x14ac:dyDescent="0.25">
      <c r="B282" s="350" t="s">
        <v>398</v>
      </c>
      <c r="C282" s="351" t="s">
        <v>1105</v>
      </c>
      <c r="D282" s="352" t="s">
        <v>640</v>
      </c>
      <c r="E282" s="353">
        <f t="shared" si="6"/>
        <v>472.35800000000006</v>
      </c>
      <c r="F282" s="360"/>
      <c r="G282" s="358" t="s">
        <v>2317</v>
      </c>
      <c r="H282" s="359"/>
      <c r="I282" s="356">
        <f>Таблица37[[#This Row],[Цена]]+Таблица37[[#This Row],[Трудозатраты]]</f>
        <v>472.35800000000006</v>
      </c>
      <c r="J282" s="357">
        <v>472.35800000000006</v>
      </c>
      <c r="K282" s="220" t="e">
        <f>VLOOKUP(Таблица37[[#This Row],[Оболочки]],'[3]Расчет себес оболочек'!$A$3:$E$35,5,0)</f>
        <v>#N/A</v>
      </c>
    </row>
    <row r="283" spans="2:11" x14ac:dyDescent="0.25">
      <c r="B283" s="350" t="s">
        <v>400</v>
      </c>
      <c r="C283" s="351" t="s">
        <v>1106</v>
      </c>
      <c r="D283" s="352" t="s">
        <v>640</v>
      </c>
      <c r="E283" s="353">
        <f t="shared" si="6"/>
        <v>516.05540000000008</v>
      </c>
      <c r="F283" s="360"/>
      <c r="G283" s="358" t="s">
        <v>2317</v>
      </c>
      <c r="H283" s="359"/>
      <c r="I283" s="356">
        <f>Таблица37[[#This Row],[Цена]]+Таблица37[[#This Row],[Трудозатраты]]</f>
        <v>516.05540000000008</v>
      </c>
      <c r="J283" s="357">
        <v>516.05540000000008</v>
      </c>
      <c r="K283" s="220" t="e">
        <f>VLOOKUP(Таблица37[[#This Row],[Оболочки]],'[3]Расчет себес оболочек'!$A$3:$E$35,5,0)</f>
        <v>#N/A</v>
      </c>
    </row>
    <row r="284" spans="2:11" x14ac:dyDescent="0.25">
      <c r="B284" s="350" t="s">
        <v>401</v>
      </c>
      <c r="C284" s="351" t="s">
        <v>1107</v>
      </c>
      <c r="D284" s="352" t="s">
        <v>640</v>
      </c>
      <c r="E284" s="353">
        <f t="shared" si="6"/>
        <v>691.62139999999999</v>
      </c>
      <c r="F284" s="360"/>
      <c r="G284" s="358" t="s">
        <v>2317</v>
      </c>
      <c r="H284" s="359"/>
      <c r="I284" s="356">
        <f>Таблица37[[#This Row],[Цена]]+Таблица37[[#This Row],[Трудозатраты]]</f>
        <v>691.62139999999999</v>
      </c>
      <c r="J284" s="357">
        <v>691.62139999999999</v>
      </c>
      <c r="K284" s="220" t="e">
        <f>VLOOKUP(Таблица37[[#This Row],[Оболочки]],'[3]Расчет себес оболочек'!$A$3:$E$35,5,0)</f>
        <v>#N/A</v>
      </c>
    </row>
    <row r="285" spans="2:11" x14ac:dyDescent="0.25">
      <c r="B285" s="350" t="s">
        <v>402</v>
      </c>
      <c r="C285" s="351" t="s">
        <v>1108</v>
      </c>
      <c r="D285" s="352" t="s">
        <v>640</v>
      </c>
      <c r="E285" s="353">
        <f t="shared" si="6"/>
        <v>596.24180000000001</v>
      </c>
      <c r="F285" s="360"/>
      <c r="G285" s="358" t="s">
        <v>2318</v>
      </c>
      <c r="H285" s="359"/>
      <c r="I285" s="356">
        <f>Таблица37[[#This Row],[Цена]]+Таблица37[[#This Row],[Трудозатраты]]</f>
        <v>596.24180000000001</v>
      </c>
      <c r="J285" s="357">
        <v>596.24180000000001</v>
      </c>
      <c r="K285" s="220" t="e">
        <f>VLOOKUP(Таблица37[[#This Row],[Оболочки]],'[3]Расчет себес оболочек'!$A$3:$E$35,5,0)</f>
        <v>#N/A</v>
      </c>
    </row>
    <row r="286" spans="2:11" x14ac:dyDescent="0.25">
      <c r="B286" s="350" t="s">
        <v>404</v>
      </c>
      <c r="C286" s="351" t="s">
        <v>1109</v>
      </c>
      <c r="D286" s="352" t="s">
        <v>640</v>
      </c>
      <c r="E286" s="353">
        <f t="shared" si="6"/>
        <v>739.17380000000003</v>
      </c>
      <c r="F286" s="360"/>
      <c r="G286" s="358" t="s">
        <v>2318</v>
      </c>
      <c r="H286" s="359"/>
      <c r="I286" s="356">
        <f>Таблица37[[#This Row],[Цена]]+Таблица37[[#This Row],[Трудозатраты]]</f>
        <v>739.17380000000003</v>
      </c>
      <c r="J286" s="357">
        <v>739.17380000000003</v>
      </c>
      <c r="K286" s="220" t="e">
        <f>VLOOKUP(Таблица37[[#This Row],[Оболочки]],'[3]Расчет себес оболочек'!$A$3:$E$35,5,0)</f>
        <v>#N/A</v>
      </c>
    </row>
    <row r="287" spans="2:11" x14ac:dyDescent="0.25">
      <c r="B287" s="350" t="s">
        <v>405</v>
      </c>
      <c r="C287" s="351" t="s">
        <v>1110</v>
      </c>
      <c r="D287" s="352" t="s">
        <v>640</v>
      </c>
      <c r="E287" s="353">
        <f t="shared" si="6"/>
        <v>880.35739999999998</v>
      </c>
      <c r="F287" s="360"/>
      <c r="G287" s="358" t="s">
        <v>2318</v>
      </c>
      <c r="H287" s="359"/>
      <c r="I287" s="356">
        <f>Таблица37[[#This Row],[Цена]]+Таблица37[[#This Row],[Трудозатраты]]</f>
        <v>880.35739999999998</v>
      </c>
      <c r="J287" s="357">
        <v>880.35739999999998</v>
      </c>
      <c r="K287" s="220" t="e">
        <f>VLOOKUP(Таблица37[[#This Row],[Оболочки]],'[3]Расчет себес оболочек'!$A$3:$E$35,5,0)</f>
        <v>#N/A</v>
      </c>
    </row>
    <row r="288" spans="2:11" x14ac:dyDescent="0.25">
      <c r="B288" s="350" t="s">
        <v>1111</v>
      </c>
      <c r="C288" s="351" t="s">
        <v>1112</v>
      </c>
      <c r="D288" s="352" t="s">
        <v>640</v>
      </c>
      <c r="E288" s="353">
        <f t="shared" si="6"/>
        <v>424.76</v>
      </c>
      <c r="F288" s="360"/>
      <c r="G288" s="358" t="s">
        <v>2316</v>
      </c>
      <c r="H288" s="359"/>
      <c r="I288" s="356">
        <f>Таблица37[[#This Row],[Цена]]+Таблица37[[#This Row],[Трудозатраты]]</f>
        <v>424.76</v>
      </c>
      <c r="J288" s="357">
        <v>424.76</v>
      </c>
      <c r="K288" s="220" t="e">
        <f>VLOOKUP(Таблица37[[#This Row],[Оболочки]],'[3]Расчет себес оболочек'!$A$3:$E$35,5,0)</f>
        <v>#N/A</v>
      </c>
    </row>
    <row r="289" spans="1:11" x14ac:dyDescent="0.25">
      <c r="B289" s="350" t="s">
        <v>1113</v>
      </c>
      <c r="C289" s="351" t="s">
        <v>1114</v>
      </c>
      <c r="D289" s="352" t="s">
        <v>640</v>
      </c>
      <c r="E289" s="353">
        <f t="shared" si="6"/>
        <v>432.84080000000006</v>
      </c>
      <c r="F289" s="354"/>
      <c r="G289" s="358" t="s">
        <v>2316</v>
      </c>
      <c r="H289" s="359"/>
      <c r="I289" s="356">
        <f>Таблица37[[#This Row],[Цена]]+Таблица37[[#This Row],[Трудозатраты]]</f>
        <v>432.84080000000006</v>
      </c>
      <c r="J289" s="357">
        <v>432.84080000000006</v>
      </c>
      <c r="K289" s="220" t="e">
        <f>VLOOKUP(Таблица37[[#This Row],[Оболочки]],'[3]Расчет себес оболочек'!$A$3:$E$35,5,0)</f>
        <v>#N/A</v>
      </c>
    </row>
    <row r="290" spans="1:11" x14ac:dyDescent="0.25">
      <c r="B290" s="350" t="s">
        <v>1115</v>
      </c>
      <c r="C290" s="351" t="s">
        <v>1116</v>
      </c>
      <c r="D290" s="352" t="s">
        <v>640</v>
      </c>
      <c r="E290" s="353">
        <f t="shared" si="6"/>
        <v>619.32079999999996</v>
      </c>
      <c r="F290" s="354"/>
      <c r="G290" s="358" t="s">
        <v>2317</v>
      </c>
      <c r="H290" s="359"/>
      <c r="I290" s="356">
        <f>Таблица37[[#This Row],[Цена]]+Таблица37[[#This Row],[Трудозатраты]]</f>
        <v>619.32079999999996</v>
      </c>
      <c r="J290" s="357">
        <v>619.32079999999996</v>
      </c>
      <c r="K290" s="220" t="e">
        <f>VLOOKUP(Таблица37[[#This Row],[Оболочки]],'[3]Расчет себес оболочек'!$A$3:$E$35,5,0)</f>
        <v>#N/A</v>
      </c>
    </row>
    <row r="291" spans="1:11" x14ac:dyDescent="0.25">
      <c r="B291" s="350" t="s">
        <v>1117</v>
      </c>
      <c r="C291" s="351" t="s">
        <v>1118</v>
      </c>
      <c r="D291" s="352" t="s">
        <v>640</v>
      </c>
      <c r="E291" s="353">
        <f t="shared" si="6"/>
        <v>640.97319999999991</v>
      </c>
      <c r="F291" s="354"/>
      <c r="G291" s="358" t="s">
        <v>2317</v>
      </c>
      <c r="H291" s="359"/>
      <c r="I291" s="356">
        <f>Таблица37[[#This Row],[Цена]]+Таблица37[[#This Row],[Трудозатраты]]</f>
        <v>640.97319999999991</v>
      </c>
      <c r="J291" s="357">
        <v>640.97319999999991</v>
      </c>
      <c r="K291" s="220" t="e">
        <f>VLOOKUP(Таблица37[[#This Row],[Оболочки]],'[3]Расчет себес оболочек'!$A$3:$E$35,5,0)</f>
        <v>#N/A</v>
      </c>
    </row>
    <row r="292" spans="1:11" x14ac:dyDescent="0.25">
      <c r="B292" s="350" t="s">
        <v>1119</v>
      </c>
      <c r="C292" s="351" t="s">
        <v>1120</v>
      </c>
      <c r="D292" s="352" t="s">
        <v>640</v>
      </c>
      <c r="E292" s="353">
        <f t="shared" si="6"/>
        <v>805.90440000000012</v>
      </c>
      <c r="F292" s="354"/>
      <c r="G292" s="358" t="s">
        <v>2318</v>
      </c>
      <c r="H292" s="359"/>
      <c r="I292" s="356">
        <f>Таблица37[[#This Row],[Цена]]+Таблица37[[#This Row],[Трудозатраты]]</f>
        <v>805.90440000000012</v>
      </c>
      <c r="J292" s="357">
        <v>805.90440000000012</v>
      </c>
      <c r="K292" s="220" t="e">
        <f>VLOOKUP(Таблица37[[#This Row],[Оболочки]],'[3]Расчет себес оболочек'!$A$3:$E$35,5,0)</f>
        <v>#N/A</v>
      </c>
    </row>
    <row r="293" spans="1:11" x14ac:dyDescent="0.25">
      <c r="B293" s="350" t="s">
        <v>1121</v>
      </c>
      <c r="C293" s="351" t="s">
        <v>1122</v>
      </c>
      <c r="D293" s="352" t="s">
        <v>640</v>
      </c>
      <c r="E293" s="353">
        <f t="shared" si="6"/>
        <v>847.13720000000023</v>
      </c>
      <c r="F293" s="354"/>
      <c r="G293" s="358" t="s">
        <v>2318</v>
      </c>
      <c r="H293" s="359"/>
      <c r="I293" s="356">
        <f>Таблица37[[#This Row],[Цена]]+Таблица37[[#This Row],[Трудозатраты]]</f>
        <v>847.13720000000023</v>
      </c>
      <c r="J293" s="357">
        <v>847.13720000000023</v>
      </c>
      <c r="K293" s="220" t="e">
        <f>VLOOKUP(Таблица37[[#This Row],[Оболочки]],'[3]Расчет себес оболочек'!$A$3:$E$35,5,0)</f>
        <v>#N/A</v>
      </c>
    </row>
    <row r="294" spans="1:11" x14ac:dyDescent="0.25">
      <c r="B294" s="350" t="s">
        <v>1123</v>
      </c>
      <c r="C294" s="351" t="s">
        <v>1124</v>
      </c>
      <c r="D294" s="352" t="s">
        <v>640</v>
      </c>
      <c r="E294" s="353">
        <f t="shared" si="6"/>
        <v>444.23679999999996</v>
      </c>
      <c r="F294" s="354"/>
      <c r="G294" s="358" t="s">
        <v>2316</v>
      </c>
      <c r="H294" s="359"/>
      <c r="I294" s="356">
        <f>Таблица37[[#This Row],[Цена]]+Таблица37[[#This Row],[Трудозатраты]]</f>
        <v>444.23679999999996</v>
      </c>
      <c r="J294" s="357">
        <v>444.23679999999996</v>
      </c>
      <c r="K294" s="220" t="e">
        <f>VLOOKUP(Таблица37[[#This Row],[Оболочки]],'[3]Расчет себес оболочек'!$A$3:$E$35,5,0)</f>
        <v>#N/A</v>
      </c>
    </row>
    <row r="295" spans="1:11" x14ac:dyDescent="0.25">
      <c r="B295" s="350" t="s">
        <v>1125</v>
      </c>
      <c r="C295" s="351" t="s">
        <v>1126</v>
      </c>
      <c r="D295" s="352" t="s">
        <v>640</v>
      </c>
      <c r="E295" s="353">
        <f t="shared" si="6"/>
        <v>466.09640000000002</v>
      </c>
      <c r="F295" s="354"/>
      <c r="G295" s="358" t="s">
        <v>2316</v>
      </c>
      <c r="H295" s="359"/>
      <c r="I295" s="356">
        <f>Таблица37[[#This Row],[Цена]]+Таблица37[[#This Row],[Трудозатраты]]</f>
        <v>466.09640000000002</v>
      </c>
      <c r="J295" s="357">
        <v>466.09640000000002</v>
      </c>
      <c r="K295" s="220" t="e">
        <f>VLOOKUP(Таблица37[[#This Row],[Оболочки]],'[3]Расчет себес оболочек'!$A$3:$E$35,5,0)</f>
        <v>#N/A</v>
      </c>
    </row>
    <row r="296" spans="1:11" x14ac:dyDescent="0.25">
      <c r="B296" s="350" t="s">
        <v>1127</v>
      </c>
      <c r="C296" s="351" t="s">
        <v>1128</v>
      </c>
      <c r="D296" s="352" t="s">
        <v>640</v>
      </c>
      <c r="E296" s="353">
        <f t="shared" si="6"/>
        <v>645.11720000000003</v>
      </c>
      <c r="F296" s="354"/>
      <c r="G296" s="358" t="s">
        <v>2317</v>
      </c>
      <c r="H296" s="359"/>
      <c r="I296" s="356">
        <f>Таблица37[[#This Row],[Цена]]+Таблица37[[#This Row],[Трудозатраты]]</f>
        <v>645.11720000000003</v>
      </c>
      <c r="J296" s="357">
        <v>645.11720000000003</v>
      </c>
      <c r="K296" s="220" t="e">
        <f>VLOOKUP(Таблица37[[#This Row],[Оболочки]],'[3]Расчет себес оболочек'!$A$3:$E$35,5,0)</f>
        <v>#N/A</v>
      </c>
    </row>
    <row r="297" spans="1:11" x14ac:dyDescent="0.25">
      <c r="B297" s="350" t="s">
        <v>1129</v>
      </c>
      <c r="C297" s="351" t="s">
        <v>1130</v>
      </c>
      <c r="D297" s="352" t="s">
        <v>640</v>
      </c>
      <c r="E297" s="353" t="e">
        <f t="shared" si="6"/>
        <v>#N/A</v>
      </c>
      <c r="F297" s="354"/>
      <c r="G297" s="358" t="s">
        <v>2317</v>
      </c>
      <c r="H297" s="359"/>
      <c r="I297" s="356" t="e">
        <f>Таблица37[[#This Row],[Цена]]+Таблица37[[#This Row],[Трудозатраты]]</f>
        <v>#N/A</v>
      </c>
      <c r="J297" s="357" t="e">
        <v>#N/A</v>
      </c>
      <c r="K297" s="220" t="e">
        <f>VLOOKUP(Таблица37[[#This Row],[Оболочки]],'[3]Расчет себес оболочек'!$A$3:$E$35,5,0)</f>
        <v>#N/A</v>
      </c>
    </row>
    <row r="298" spans="1:11" x14ac:dyDescent="0.25">
      <c r="B298" s="350" t="s">
        <v>1131</v>
      </c>
      <c r="C298" s="351" t="s">
        <v>1132</v>
      </c>
      <c r="D298" s="352" t="s">
        <v>640</v>
      </c>
      <c r="E298" s="353" t="e">
        <f t="shared" si="6"/>
        <v>#N/A</v>
      </c>
      <c r="F298" s="354"/>
      <c r="G298" s="358" t="s">
        <v>2318</v>
      </c>
      <c r="H298" s="359"/>
      <c r="I298" s="356" t="e">
        <f>Таблица37[[#This Row],[Цена]]+Таблица37[[#This Row],[Трудозатраты]]</f>
        <v>#N/A</v>
      </c>
      <c r="J298" s="357" t="e">
        <v>#N/A</v>
      </c>
      <c r="K298" s="220" t="e">
        <f>VLOOKUP(Таблица37[[#This Row],[Оболочки]],'[3]Расчет себес оболочек'!$A$3:$E$35,5,0)</f>
        <v>#N/A</v>
      </c>
    </row>
    <row r="299" spans="1:11" x14ac:dyDescent="0.25">
      <c r="B299" s="350" t="s">
        <v>1133</v>
      </c>
      <c r="C299" s="351" t="s">
        <v>1134</v>
      </c>
      <c r="D299" s="352" t="s">
        <v>640</v>
      </c>
      <c r="E299" s="353">
        <f t="shared" si="6"/>
        <v>888.47359999999992</v>
      </c>
      <c r="F299" s="354"/>
      <c r="G299" s="358" t="s">
        <v>2318</v>
      </c>
      <c r="H299" s="359"/>
      <c r="I299" s="356">
        <f>Таблица37[[#This Row],[Цена]]+Таблица37[[#This Row],[Трудозатраты]]</f>
        <v>888.47359999999992</v>
      </c>
      <c r="J299" s="357">
        <v>888.47359999999992</v>
      </c>
      <c r="K299" s="220" t="e">
        <f>VLOOKUP(Таблица37[[#This Row],[Оболочки]],'[3]Расчет себес оболочек'!$A$3:$E$35,5,0)</f>
        <v>#N/A</v>
      </c>
    </row>
    <row r="300" spans="1:11" x14ac:dyDescent="0.25">
      <c r="B300" s="350" t="s">
        <v>1135</v>
      </c>
      <c r="C300" s="351" t="s">
        <v>1136</v>
      </c>
      <c r="D300" s="352" t="s">
        <v>640</v>
      </c>
      <c r="E300" s="353">
        <f t="shared" si="6"/>
        <v>1046.136</v>
      </c>
      <c r="F300" s="354"/>
      <c r="G300" s="358" t="s">
        <v>2317</v>
      </c>
      <c r="H300" s="359"/>
      <c r="I300" s="356">
        <f>Таблица37[[#This Row],[Цена]]+Таблица37[[#This Row],[Трудозатраты]]</f>
        <v>1046.136</v>
      </c>
      <c r="J300" s="357">
        <v>1046.136</v>
      </c>
      <c r="K300" s="220" t="e">
        <f>VLOOKUP(Таблица37[[#This Row],[Оболочки]],'[3]Расчет себес оболочек'!$A$3:$E$35,5,0)</f>
        <v>#N/A</v>
      </c>
    </row>
    <row r="301" spans="1:11" x14ac:dyDescent="0.25">
      <c r="B301" s="350" t="s">
        <v>1137</v>
      </c>
      <c r="C301" s="351" t="s">
        <v>1138</v>
      </c>
      <c r="D301" s="352" t="s">
        <v>640</v>
      </c>
      <c r="E301" s="353">
        <f t="shared" si="6"/>
        <v>1440.768</v>
      </c>
      <c r="F301" s="354"/>
      <c r="G301" s="358" t="s">
        <v>2318</v>
      </c>
      <c r="H301" s="359"/>
      <c r="I301" s="356">
        <f>Таблица37[[#This Row],[Цена]]+Таблица37[[#This Row],[Трудозатраты]]</f>
        <v>1440.768</v>
      </c>
      <c r="J301" s="357">
        <v>1440.768</v>
      </c>
      <c r="K301" s="220" t="e">
        <f>VLOOKUP(Таблица37[[#This Row],[Оболочки]],'[3]Расчет себес оболочек'!$A$3:$E$35,5,0)</f>
        <v>#N/A</v>
      </c>
    </row>
    <row r="302" spans="1:11" x14ac:dyDescent="0.25">
      <c r="B302" s="350" t="s">
        <v>1139</v>
      </c>
      <c r="C302" s="351" t="s">
        <v>1140</v>
      </c>
      <c r="D302" s="352" t="s">
        <v>640</v>
      </c>
      <c r="E302" s="353">
        <f t="shared" si="6"/>
        <v>1848</v>
      </c>
      <c r="F302" s="354"/>
      <c r="G302" s="358" t="s">
        <v>2318</v>
      </c>
      <c r="H302" s="359"/>
      <c r="I302" s="356">
        <f>Таблица37[[#This Row],[Цена]]+Таблица37[[#This Row],[Трудозатраты]]</f>
        <v>1848</v>
      </c>
      <c r="J302" s="357">
        <v>1848</v>
      </c>
      <c r="K302" s="220" t="e">
        <f>VLOOKUP(Таблица37[[#This Row],[Оболочки]],'[3]Расчет себес оболочек'!$A$3:$E$35,5,0)</f>
        <v>#N/A</v>
      </c>
    </row>
    <row r="303" spans="1:11" x14ac:dyDescent="0.25">
      <c r="A303" s="221">
        <v>20</v>
      </c>
      <c r="B303" s="350" t="s">
        <v>1141</v>
      </c>
      <c r="C303" s="351" t="s">
        <v>1142</v>
      </c>
      <c r="D303" s="352" t="s">
        <v>640</v>
      </c>
      <c r="E303" s="353">
        <f>VLOOKUP(Таблица37[[#This Row],[Оболочки]],'предоставленные цены'!$B$4:$D$328,2,0)</f>
        <v>655.29976499999998</v>
      </c>
      <c r="F303" s="354"/>
      <c r="G303" s="358" t="s">
        <v>2316</v>
      </c>
      <c r="H303" s="359">
        <f>VLOOKUP(A303,Таблы!$O$265:$S$275,5,0)</f>
        <v>77.759999999999991</v>
      </c>
      <c r="I303" s="356">
        <f>Таблица37[[#This Row],[Цена]]+Таблица37[[#This Row],[Трудозатраты]]</f>
        <v>733.05976499999997</v>
      </c>
      <c r="J303" s="357">
        <v>115.6176</v>
      </c>
      <c r="K303" s="220" t="e">
        <f>VLOOKUP(Таблица37[[#This Row],[Оболочки]],'[3]Расчет себес оболочек'!$A$3:$E$35,5,0)</f>
        <v>#N/A</v>
      </c>
    </row>
    <row r="304" spans="1:11" x14ac:dyDescent="0.25">
      <c r="A304" s="221">
        <v>20</v>
      </c>
      <c r="B304" s="350" t="s">
        <v>1143</v>
      </c>
      <c r="C304" s="351" t="s">
        <v>1144</v>
      </c>
      <c r="D304" s="352" t="s">
        <v>640</v>
      </c>
      <c r="E304" s="353">
        <f>VLOOKUP(Таблица37[[#This Row],[Оболочки]],'предоставленные цены'!$B$4:$D$328,2,0)</f>
        <v>655.29976499999998</v>
      </c>
      <c r="F304" s="354"/>
      <c r="G304" s="358" t="s">
        <v>2316</v>
      </c>
      <c r="H304" s="359">
        <f>VLOOKUP(A304,Таблы!$O$265:$S$275,5,0)</f>
        <v>77.759999999999991</v>
      </c>
      <c r="I304" s="356">
        <f>Таблица37[[#This Row],[Цена]]+Таблица37[[#This Row],[Трудозатраты]]</f>
        <v>733.05976499999997</v>
      </c>
      <c r="J304" s="357">
        <v>114.89239999999999</v>
      </c>
      <c r="K304" s="220" t="e">
        <f>VLOOKUP(Таблица37[[#This Row],[Оболочки]],'[3]Расчет себес оболочек'!$A$3:$E$35,5,0)</f>
        <v>#N/A</v>
      </c>
    </row>
    <row r="305" spans="1:11" x14ac:dyDescent="0.25">
      <c r="A305" s="221">
        <v>20</v>
      </c>
      <c r="B305" s="350" t="s">
        <v>1145</v>
      </c>
      <c r="C305" s="351" t="s">
        <v>1146</v>
      </c>
      <c r="D305" s="352" t="s">
        <v>640</v>
      </c>
      <c r="E305" s="353">
        <f>VLOOKUP(Таблица37[[#This Row],[Оболочки]],'предоставленные цены'!$B$4:$D$328,2,0)</f>
        <v>655.29976499999998</v>
      </c>
      <c r="F305" s="354"/>
      <c r="G305" s="358" t="s">
        <v>2316</v>
      </c>
      <c r="H305" s="359">
        <f>VLOOKUP(A305,Таблы!$O$265:$S$275,5,0)</f>
        <v>77.759999999999991</v>
      </c>
      <c r="I305" s="356">
        <f>Таблица37[[#This Row],[Цена]]+Таблица37[[#This Row],[Трудозатраты]]</f>
        <v>733.05976499999997</v>
      </c>
      <c r="J305" s="357">
        <v>114.89239999999999</v>
      </c>
      <c r="K305" s="220" t="e">
        <f>VLOOKUP(Таблица37[[#This Row],[Оболочки]],'[3]Расчет себес оболочек'!$A$3:$E$35,5,0)</f>
        <v>#N/A</v>
      </c>
    </row>
    <row r="306" spans="1:11" x14ac:dyDescent="0.25">
      <c r="A306" s="221">
        <v>32</v>
      </c>
      <c r="B306" s="350" t="s">
        <v>1147</v>
      </c>
      <c r="C306" s="351" t="s">
        <v>1148</v>
      </c>
      <c r="D306" s="352" t="s">
        <v>640</v>
      </c>
      <c r="E306" s="353">
        <f>VLOOKUP(Таблица37[[#This Row],[Оболочки]],'предоставленные цены'!$B$4:$D$328,2,0)</f>
        <v>1193.9183640000003</v>
      </c>
      <c r="F306" s="354"/>
      <c r="G306" s="358" t="s">
        <v>2318</v>
      </c>
      <c r="H306" s="359">
        <f>VLOOKUP(A306,Таблы!$O$265:$S$275,5,0)</f>
        <v>190.08</v>
      </c>
      <c r="I306" s="356">
        <f>Таблица37[[#This Row],[Цена]]+Таблица37[[#This Row],[Трудозатраты]]</f>
        <v>1383.9983640000003</v>
      </c>
      <c r="J306" s="357">
        <v>236.8296</v>
      </c>
      <c r="K306" s="220" t="e">
        <f>VLOOKUP(Таблица37[[#This Row],[Оболочки]],'[3]Расчет себес оболочек'!$A$3:$E$35,5,0)</f>
        <v>#N/A</v>
      </c>
    </row>
    <row r="307" spans="1:11" x14ac:dyDescent="0.25">
      <c r="A307" s="221">
        <v>32</v>
      </c>
      <c r="B307" s="350" t="s">
        <v>1149</v>
      </c>
      <c r="C307" s="351" t="s">
        <v>1150</v>
      </c>
      <c r="D307" s="352" t="s">
        <v>640</v>
      </c>
      <c r="E307" s="353">
        <f>VLOOKUP(Таблица37[[#This Row],[Оболочки]],'предоставленные цены'!$B$4:$D$328,2,0)</f>
        <v>1195.376964</v>
      </c>
      <c r="F307" s="354"/>
      <c r="G307" s="358" t="s">
        <v>2318</v>
      </c>
      <c r="H307" s="359">
        <f>VLOOKUP(A307,Таблы!$O$265:$S$275,5,0)</f>
        <v>190.08</v>
      </c>
      <c r="I307" s="356">
        <f>Таблица37[[#This Row],[Цена]]+Таблица37[[#This Row],[Трудозатраты]]</f>
        <v>1385.456964</v>
      </c>
      <c r="J307" s="357">
        <v>236.3116</v>
      </c>
      <c r="K307" s="220" t="e">
        <f>VLOOKUP(Таблица37[[#This Row],[Оболочки]],'[3]Расчет себес оболочек'!$A$3:$E$35,5,0)</f>
        <v>#N/A</v>
      </c>
    </row>
    <row r="308" spans="1:11" x14ac:dyDescent="0.25">
      <c r="A308" s="221">
        <v>32</v>
      </c>
      <c r="B308" s="350" t="s">
        <v>1151</v>
      </c>
      <c r="C308" s="351" t="s">
        <v>1152</v>
      </c>
      <c r="D308" s="352" t="s">
        <v>640</v>
      </c>
      <c r="E308" s="353">
        <f>VLOOKUP(Таблица37[[#This Row],[Оболочки]],'предоставленные цены'!$B$4:$D$328,2,0)</f>
        <v>1195.376964</v>
      </c>
      <c r="F308" s="354"/>
      <c r="G308" s="358" t="s">
        <v>2318</v>
      </c>
      <c r="H308" s="359">
        <f>VLOOKUP(A308,Таблы!$O$265:$S$275,5,0)</f>
        <v>190.08</v>
      </c>
      <c r="I308" s="356">
        <f>Таблица37[[#This Row],[Цена]]+Таблица37[[#This Row],[Трудозатраты]]</f>
        <v>1385.456964</v>
      </c>
      <c r="J308" s="357">
        <v>235.48280000000003</v>
      </c>
      <c r="K308" s="220" t="e">
        <f>VLOOKUP(Таблица37[[#This Row],[Оболочки]],'[3]Расчет себес оболочек'!$A$3:$E$35,5,0)</f>
        <v>#N/A</v>
      </c>
    </row>
    <row r="309" spans="1:11" x14ac:dyDescent="0.25">
      <c r="B309" s="350" t="s">
        <v>1153</v>
      </c>
      <c r="C309" s="351" t="s">
        <v>1154</v>
      </c>
      <c r="D309" s="352" t="s">
        <v>640</v>
      </c>
      <c r="E309" s="353">
        <f t="shared" ref="E309:E329" si="7">J309</f>
        <v>119.2436</v>
      </c>
      <c r="F309" s="354"/>
      <c r="G309" s="355"/>
      <c r="H309" s="359"/>
      <c r="I309" s="356">
        <f>Таблица37[[#This Row],[Цена]]+Таблица37[[#This Row],[Трудозатраты]]</f>
        <v>119.2436</v>
      </c>
      <c r="J309" s="357">
        <v>119.2436</v>
      </c>
      <c r="K309" s="220" t="e">
        <f>VLOOKUP(Таблица37[[#This Row],[Оболочки]],'[3]Расчет себес оболочек'!$A$3:$E$35,5,0)</f>
        <v>#N/A</v>
      </c>
    </row>
    <row r="310" spans="1:11" x14ac:dyDescent="0.25">
      <c r="B310" s="350" t="s">
        <v>1155</v>
      </c>
      <c r="C310" s="351" t="s">
        <v>1156</v>
      </c>
      <c r="D310" s="352" t="s">
        <v>640</v>
      </c>
      <c r="E310" s="353">
        <f t="shared" si="7"/>
        <v>118.51840000000003</v>
      </c>
      <c r="F310" s="354"/>
      <c r="G310" s="355"/>
      <c r="H310" s="359"/>
      <c r="I310" s="356">
        <f>Таблица37[[#This Row],[Цена]]+Таблица37[[#This Row],[Трудозатраты]]</f>
        <v>118.51840000000003</v>
      </c>
      <c r="J310" s="357">
        <v>118.51840000000003</v>
      </c>
      <c r="K310" s="220" t="e">
        <f>VLOOKUP(Таблица37[[#This Row],[Оболочки]],'[3]Расчет себес оболочек'!$A$3:$E$35,5,0)</f>
        <v>#N/A</v>
      </c>
    </row>
    <row r="311" spans="1:11" x14ac:dyDescent="0.25">
      <c r="B311" s="350" t="s">
        <v>1157</v>
      </c>
      <c r="C311" s="351" t="s">
        <v>1158</v>
      </c>
      <c r="D311" s="352" t="s">
        <v>640</v>
      </c>
      <c r="E311" s="353">
        <f t="shared" si="7"/>
        <v>118.51840000000003</v>
      </c>
      <c r="F311" s="354"/>
      <c r="G311" s="355"/>
      <c r="H311" s="359"/>
      <c r="I311" s="356">
        <f>Таблица37[[#This Row],[Цена]]+Таблица37[[#This Row],[Трудозатраты]]</f>
        <v>118.51840000000003</v>
      </c>
      <c r="J311" s="357">
        <v>118.51840000000003</v>
      </c>
      <c r="K311" s="220" t="e">
        <f>VLOOKUP(Таблица37[[#This Row],[Оболочки]],'[3]Расчет себес оболочек'!$A$3:$E$35,5,0)</f>
        <v>#N/A</v>
      </c>
    </row>
    <row r="312" spans="1:11" x14ac:dyDescent="0.25">
      <c r="B312" s="350" t="s">
        <v>1159</v>
      </c>
      <c r="C312" s="351" t="s">
        <v>1160</v>
      </c>
      <c r="D312" s="352" t="s">
        <v>640</v>
      </c>
      <c r="E312" s="353">
        <f t="shared" si="7"/>
        <v>252.26600000000002</v>
      </c>
      <c r="F312" s="354"/>
      <c r="G312" s="355"/>
      <c r="H312" s="359"/>
      <c r="I312" s="356">
        <f>Таблица37[[#This Row],[Цена]]+Таблица37[[#This Row],[Трудозатраты]]</f>
        <v>252.26600000000002</v>
      </c>
      <c r="J312" s="357">
        <v>252.26600000000002</v>
      </c>
      <c r="K312" s="220" t="e">
        <f>VLOOKUP(Таблица37[[#This Row],[Оболочки]],'[3]Расчет себес оболочек'!$A$3:$E$35,5,0)</f>
        <v>#N/A</v>
      </c>
    </row>
    <row r="313" spans="1:11" x14ac:dyDescent="0.25">
      <c r="B313" s="350" t="s">
        <v>1161</v>
      </c>
      <c r="C313" s="351" t="s">
        <v>1162</v>
      </c>
      <c r="D313" s="352" t="s">
        <v>640</v>
      </c>
      <c r="E313" s="353">
        <f t="shared" si="7"/>
        <v>251.74799999999993</v>
      </c>
      <c r="F313" s="354"/>
      <c r="G313" s="355"/>
      <c r="H313" s="359"/>
      <c r="I313" s="356">
        <f>Таблица37[[#This Row],[Цена]]+Таблица37[[#This Row],[Трудозатраты]]</f>
        <v>251.74799999999993</v>
      </c>
      <c r="J313" s="357">
        <v>251.74799999999993</v>
      </c>
      <c r="K313" s="220" t="e">
        <f>VLOOKUP(Таблица37[[#This Row],[Оболочки]],'[3]Расчет себес оболочек'!$A$3:$E$35,5,0)</f>
        <v>#N/A</v>
      </c>
    </row>
    <row r="314" spans="1:11" x14ac:dyDescent="0.25">
      <c r="B314" s="350" t="s">
        <v>1163</v>
      </c>
      <c r="C314" s="351" t="s">
        <v>1164</v>
      </c>
      <c r="D314" s="352" t="s">
        <v>640</v>
      </c>
      <c r="E314" s="353">
        <f t="shared" si="7"/>
        <v>250.91919999999996</v>
      </c>
      <c r="F314" s="354"/>
      <c r="G314" s="355"/>
      <c r="H314" s="359"/>
      <c r="I314" s="356">
        <f>Таблица37[[#This Row],[Цена]]+Таблица37[[#This Row],[Трудозатраты]]</f>
        <v>250.91919999999996</v>
      </c>
      <c r="J314" s="357">
        <v>250.91919999999996</v>
      </c>
      <c r="K314" s="220" t="e">
        <f>VLOOKUP(Таблица37[[#This Row],[Оболочки]],'[3]Расчет себес оболочек'!$A$3:$E$35,5,0)</f>
        <v>#N/A</v>
      </c>
    </row>
    <row r="315" spans="1:11" x14ac:dyDescent="0.25">
      <c r="B315" s="350" t="s">
        <v>1165</v>
      </c>
      <c r="C315" s="351" t="s">
        <v>1166</v>
      </c>
      <c r="D315" s="352" t="s">
        <v>640</v>
      </c>
      <c r="E315" s="353">
        <f t="shared" si="7"/>
        <v>120.17599999999999</v>
      </c>
      <c r="F315" s="354"/>
      <c r="G315" s="355"/>
      <c r="H315" s="359"/>
      <c r="I315" s="356">
        <f>Таблица37[[#This Row],[Цена]]+Таблица37[[#This Row],[Трудозатраты]]</f>
        <v>120.17599999999999</v>
      </c>
      <c r="J315" s="357">
        <v>120.17599999999999</v>
      </c>
      <c r="K315" s="220" t="e">
        <f>VLOOKUP(Таблица37[[#This Row],[Оболочки]],'[3]Расчет себес оболочек'!$A$3:$E$35,5,0)</f>
        <v>#N/A</v>
      </c>
    </row>
    <row r="316" spans="1:11" x14ac:dyDescent="0.25">
      <c r="B316" s="350" t="s">
        <v>1167</v>
      </c>
      <c r="C316" s="351" t="s">
        <v>1168</v>
      </c>
      <c r="D316" s="352" t="s">
        <v>640</v>
      </c>
      <c r="E316" s="353">
        <f t="shared" si="7"/>
        <v>119.45079999999999</v>
      </c>
      <c r="F316" s="354"/>
      <c r="G316" s="355"/>
      <c r="H316" s="359"/>
      <c r="I316" s="356">
        <f>Таблица37[[#This Row],[Цена]]+Таблица37[[#This Row],[Трудозатраты]]</f>
        <v>119.45079999999999</v>
      </c>
      <c r="J316" s="357">
        <v>119.45079999999999</v>
      </c>
      <c r="K316" s="220" t="e">
        <f>VLOOKUP(Таблица37[[#This Row],[Оболочки]],'[3]Расчет себес оболочек'!$A$3:$E$35,5,0)</f>
        <v>#N/A</v>
      </c>
    </row>
    <row r="317" spans="1:11" x14ac:dyDescent="0.25">
      <c r="B317" s="350" t="s">
        <v>1169</v>
      </c>
      <c r="C317" s="351" t="s">
        <v>1170</v>
      </c>
      <c r="D317" s="352" t="s">
        <v>640</v>
      </c>
      <c r="E317" s="353">
        <f t="shared" si="7"/>
        <v>119.45079999999999</v>
      </c>
      <c r="F317" s="354"/>
      <c r="G317" s="355"/>
      <c r="H317" s="359"/>
      <c r="I317" s="356">
        <f>Таблица37[[#This Row],[Цена]]+Таблица37[[#This Row],[Трудозатраты]]</f>
        <v>119.45079999999999</v>
      </c>
      <c r="J317" s="357">
        <v>119.45079999999999</v>
      </c>
      <c r="K317" s="220" t="e">
        <f>VLOOKUP(Таблица37[[#This Row],[Оболочки]],'[3]Расчет себес оболочек'!$A$3:$E$35,5,0)</f>
        <v>#N/A</v>
      </c>
    </row>
    <row r="318" spans="1:11" x14ac:dyDescent="0.25">
      <c r="B318" s="350" t="s">
        <v>1171</v>
      </c>
      <c r="C318" s="351" t="s">
        <v>1172</v>
      </c>
      <c r="D318" s="352" t="s">
        <v>640</v>
      </c>
      <c r="E318" s="353">
        <f t="shared" si="7"/>
        <v>246.36080000000001</v>
      </c>
      <c r="F318" s="354"/>
      <c r="G318" s="355"/>
      <c r="H318" s="359"/>
      <c r="I318" s="356">
        <f>Таблица37[[#This Row],[Цена]]+Таблица37[[#This Row],[Трудозатраты]]</f>
        <v>246.36080000000001</v>
      </c>
      <c r="J318" s="357">
        <v>246.36080000000001</v>
      </c>
      <c r="K318" s="220" t="e">
        <f>VLOOKUP(Таблица37[[#This Row],[Оболочки]],'[3]Расчет себес оболочек'!$A$3:$E$35,5,0)</f>
        <v>#N/A</v>
      </c>
    </row>
    <row r="319" spans="1:11" x14ac:dyDescent="0.25">
      <c r="B319" s="350" t="s">
        <v>1173</v>
      </c>
      <c r="C319" s="351" t="s">
        <v>1174</v>
      </c>
      <c r="D319" s="352" t="s">
        <v>640</v>
      </c>
      <c r="E319" s="353">
        <f t="shared" si="7"/>
        <v>245.84280000000004</v>
      </c>
      <c r="F319" s="354"/>
      <c r="G319" s="355"/>
      <c r="H319" s="359"/>
      <c r="I319" s="356">
        <f>Таблица37[[#This Row],[Цена]]+Таблица37[[#This Row],[Трудозатраты]]</f>
        <v>245.84280000000004</v>
      </c>
      <c r="J319" s="357">
        <v>245.84280000000004</v>
      </c>
      <c r="K319" s="220" t="e">
        <f>VLOOKUP(Таблица37[[#This Row],[Оболочки]],'[3]Расчет себес оболочек'!$A$3:$E$35,5,0)</f>
        <v>#N/A</v>
      </c>
    </row>
    <row r="320" spans="1:11" x14ac:dyDescent="0.25">
      <c r="B320" s="350" t="s">
        <v>1175</v>
      </c>
      <c r="C320" s="351" t="s">
        <v>1176</v>
      </c>
      <c r="D320" s="352" t="s">
        <v>640</v>
      </c>
      <c r="E320" s="353">
        <f t="shared" si="7"/>
        <v>245.01400000000001</v>
      </c>
      <c r="F320" s="354"/>
      <c r="G320" s="355"/>
      <c r="H320" s="359"/>
      <c r="I320" s="356">
        <f>Таблица37[[#This Row],[Цена]]+Таблица37[[#This Row],[Трудозатраты]]</f>
        <v>245.01400000000001</v>
      </c>
      <c r="J320" s="357">
        <v>245.01400000000001</v>
      </c>
      <c r="K320" s="220" t="e">
        <f>VLOOKUP(Таблица37[[#This Row],[Оболочки]],'[3]Расчет себес оболочек'!$A$3:$E$35,5,0)</f>
        <v>#N/A</v>
      </c>
    </row>
    <row r="321" spans="1:11" x14ac:dyDescent="0.25">
      <c r="B321" s="350" t="s">
        <v>1177</v>
      </c>
      <c r="C321" s="351" t="s">
        <v>1178</v>
      </c>
      <c r="D321" s="352" t="s">
        <v>640</v>
      </c>
      <c r="E321" s="353">
        <f t="shared" si="7"/>
        <v>192.178</v>
      </c>
      <c r="F321" s="354"/>
      <c r="G321" s="358" t="s">
        <v>2316</v>
      </c>
      <c r="H321" s="359"/>
      <c r="I321" s="356">
        <f>Таблица37[[#This Row],[Цена]]+Таблица37[[#This Row],[Трудозатраты]]</f>
        <v>192.178</v>
      </c>
      <c r="J321" s="357">
        <v>192.178</v>
      </c>
      <c r="K321" s="220" t="e">
        <f>VLOOKUP(Таблица37[[#This Row],[Оболочки]],'[3]Расчет себес оболочек'!$A$3:$E$35,5,0)</f>
        <v>#N/A</v>
      </c>
    </row>
    <row r="322" spans="1:11" x14ac:dyDescent="0.25">
      <c r="B322" s="350" t="s">
        <v>1179</v>
      </c>
      <c r="C322" s="351" t="s">
        <v>1180</v>
      </c>
      <c r="D322" s="352" t="s">
        <v>640</v>
      </c>
      <c r="E322" s="353">
        <f t="shared" si="7"/>
        <v>0</v>
      </c>
      <c r="F322" s="354"/>
      <c r="G322" s="358" t="s">
        <v>2316</v>
      </c>
      <c r="H322" s="359"/>
      <c r="I322" s="356">
        <f>Таблица37[[#This Row],[Цена]]+Таблица37[[#This Row],[Трудозатраты]]</f>
        <v>0</v>
      </c>
      <c r="J322" s="357"/>
      <c r="K322" s="220" t="e">
        <f>VLOOKUP(Таблица37[[#This Row],[Оболочки]],'[3]Расчет себес оболочек'!$A$3:$E$35,5,0)</f>
        <v>#N/A</v>
      </c>
    </row>
    <row r="323" spans="1:11" x14ac:dyDescent="0.25">
      <c r="B323" s="350" t="s">
        <v>1181</v>
      </c>
      <c r="C323" s="351" t="s">
        <v>1182</v>
      </c>
      <c r="D323" s="352" t="s">
        <v>640</v>
      </c>
      <c r="E323" s="353">
        <f t="shared" si="7"/>
        <v>0</v>
      </c>
      <c r="F323" s="354"/>
      <c r="G323" s="358" t="s">
        <v>2316</v>
      </c>
      <c r="H323" s="359"/>
      <c r="I323" s="356">
        <f>Таблица37[[#This Row],[Цена]]+Таблица37[[#This Row],[Трудозатраты]]</f>
        <v>0</v>
      </c>
      <c r="J323" s="357"/>
      <c r="K323" s="220" t="e">
        <f>VLOOKUP(Таблица37[[#This Row],[Оболочки]],'[3]Расчет себес оболочек'!$A$3:$E$35,5,0)</f>
        <v>#N/A</v>
      </c>
    </row>
    <row r="324" spans="1:11" x14ac:dyDescent="0.25">
      <c r="B324" s="350" t="s">
        <v>1183</v>
      </c>
      <c r="C324" s="351" t="s">
        <v>1184</v>
      </c>
      <c r="D324" s="352" t="s">
        <v>640</v>
      </c>
      <c r="E324" s="353">
        <f t="shared" si="7"/>
        <v>372.75279999999998</v>
      </c>
      <c r="F324" s="354"/>
      <c r="G324" s="358" t="s">
        <v>2318</v>
      </c>
      <c r="H324" s="359"/>
      <c r="I324" s="356">
        <f>Таблица37[[#This Row],[Цена]]+Таблица37[[#This Row],[Трудозатраты]]</f>
        <v>372.75279999999998</v>
      </c>
      <c r="J324" s="357">
        <v>372.75279999999998</v>
      </c>
      <c r="K324" s="220" t="e">
        <f>VLOOKUP(Таблица37[[#This Row],[Оболочки]],'[3]Расчет себес оболочек'!$A$3:$E$35,5,0)</f>
        <v>#N/A</v>
      </c>
    </row>
    <row r="325" spans="1:11" x14ac:dyDescent="0.25">
      <c r="B325" s="350" t="s">
        <v>1185</v>
      </c>
      <c r="C325" s="351" t="s">
        <v>1186</v>
      </c>
      <c r="D325" s="352" t="s">
        <v>640</v>
      </c>
      <c r="E325" s="353">
        <f t="shared" si="7"/>
        <v>0</v>
      </c>
      <c r="F325" s="354"/>
      <c r="G325" s="358" t="s">
        <v>2318</v>
      </c>
      <c r="H325" s="359"/>
      <c r="I325" s="356">
        <f>Таблица37[[#This Row],[Цена]]+Таблица37[[#This Row],[Трудозатраты]]</f>
        <v>0</v>
      </c>
      <c r="J325" s="357"/>
      <c r="K325" s="220" t="e">
        <f>VLOOKUP(Таблица37[[#This Row],[Оболочки]],'[3]Расчет себес оболочек'!$A$3:$E$35,5,0)</f>
        <v>#N/A</v>
      </c>
    </row>
    <row r="326" spans="1:11" x14ac:dyDescent="0.25">
      <c r="B326" s="350" t="s">
        <v>1187</v>
      </c>
      <c r="C326" s="351" t="s">
        <v>1188</v>
      </c>
      <c r="D326" s="352" t="s">
        <v>640</v>
      </c>
      <c r="E326" s="353">
        <f t="shared" si="7"/>
        <v>0</v>
      </c>
      <c r="F326" s="354"/>
      <c r="G326" s="358" t="s">
        <v>2318</v>
      </c>
      <c r="H326" s="359"/>
      <c r="I326" s="356">
        <f>Таблица37[[#This Row],[Цена]]+Таблица37[[#This Row],[Трудозатраты]]</f>
        <v>0</v>
      </c>
      <c r="J326" s="357"/>
      <c r="K326" s="220" t="e">
        <f>VLOOKUP(Таблица37[[#This Row],[Оболочки]],'[3]Расчет себес оболочек'!$A$3:$E$35,5,0)</f>
        <v>#N/A</v>
      </c>
    </row>
    <row r="327" spans="1:11" x14ac:dyDescent="0.25">
      <c r="B327" s="350" t="s">
        <v>1189</v>
      </c>
      <c r="C327" s="351" t="s">
        <v>1190</v>
      </c>
      <c r="D327" s="352" t="s">
        <v>640</v>
      </c>
      <c r="E327" s="353">
        <f t="shared" si="7"/>
        <v>370.88799999999998</v>
      </c>
      <c r="F327" s="354"/>
      <c r="G327" s="358" t="s">
        <v>2318</v>
      </c>
      <c r="H327" s="359"/>
      <c r="I327" s="356">
        <f>Таблица37[[#This Row],[Цена]]+Таблица37[[#This Row],[Трудозатраты]]</f>
        <v>370.88799999999998</v>
      </c>
      <c r="J327" s="357">
        <v>370.88799999999998</v>
      </c>
      <c r="K327" s="220" t="e">
        <f>VLOOKUP(Таблица37[[#This Row],[Оболочки]],'[3]Расчет себес оболочек'!$A$3:$E$35,5,0)</f>
        <v>#N/A</v>
      </c>
    </row>
    <row r="328" spans="1:11" x14ac:dyDescent="0.25">
      <c r="B328" s="350" t="s">
        <v>1191</v>
      </c>
      <c r="C328" s="351" t="s">
        <v>1192</v>
      </c>
      <c r="D328" s="352" t="s">
        <v>640</v>
      </c>
      <c r="E328" s="353">
        <f t="shared" si="7"/>
        <v>370.37</v>
      </c>
      <c r="F328" s="354"/>
      <c r="G328" s="358" t="s">
        <v>2318</v>
      </c>
      <c r="H328" s="359"/>
      <c r="I328" s="356">
        <f>Таблица37[[#This Row],[Цена]]+Таблица37[[#This Row],[Трудозатраты]]</f>
        <v>370.37</v>
      </c>
      <c r="J328" s="357">
        <v>370.37</v>
      </c>
      <c r="K328" s="220" t="e">
        <f>VLOOKUP(Таблица37[[#This Row],[Оболочки]],'[3]Расчет себес оболочек'!$A$3:$E$35,5,0)</f>
        <v>#N/A</v>
      </c>
    </row>
    <row r="329" spans="1:11" x14ac:dyDescent="0.25">
      <c r="B329" s="350" t="s">
        <v>1193</v>
      </c>
      <c r="C329" s="351" t="s">
        <v>1194</v>
      </c>
      <c r="D329" s="352" t="s">
        <v>640</v>
      </c>
      <c r="E329" s="353">
        <f t="shared" si="7"/>
        <v>369.5412</v>
      </c>
      <c r="F329" s="354"/>
      <c r="G329" s="358" t="s">
        <v>2318</v>
      </c>
      <c r="H329" s="359"/>
      <c r="I329" s="356">
        <f>Таблица37[[#This Row],[Цена]]+Таблица37[[#This Row],[Трудозатраты]]</f>
        <v>369.5412</v>
      </c>
      <c r="J329" s="357">
        <v>369.5412</v>
      </c>
      <c r="K329" s="220" t="e">
        <f>VLOOKUP(Таблица37[[#This Row],[Оболочки]],'[3]Расчет себес оболочек'!$A$3:$E$35,5,0)</f>
        <v>#N/A</v>
      </c>
    </row>
    <row r="330" spans="1:11" x14ac:dyDescent="0.25">
      <c r="A330" s="221">
        <v>12</v>
      </c>
      <c r="B330" s="350" t="s">
        <v>1195</v>
      </c>
      <c r="C330" s="351" t="s">
        <v>1196</v>
      </c>
      <c r="D330" s="352" t="s">
        <v>640</v>
      </c>
      <c r="E330" s="353">
        <f>VLOOKUP(Таблица37[[#This Row],[Оболочки]],'предоставленные цены'!$B$4:$D$328,2,0)</f>
        <v>562.86104099999989</v>
      </c>
      <c r="F330" s="354"/>
      <c r="G330" s="358" t="s">
        <v>2314</v>
      </c>
      <c r="H330" s="359">
        <f>VLOOKUP(A330,Таблы!$O$265:$S$275,5,0)</f>
        <v>86.399999999999991</v>
      </c>
      <c r="I330" s="356">
        <f>Таблица37[[#This Row],[Цена]]+Таблица37[[#This Row],[Трудозатраты]]</f>
        <v>649.26104099999986</v>
      </c>
      <c r="J330" s="357">
        <v>33.773600000000002</v>
      </c>
      <c r="K330" s="220" t="e">
        <f>VLOOKUP(Таблица37[[#This Row],[Оболочки]],'[3]Расчет себес оболочек'!$A$3:$E$35,5,0)</f>
        <v>#N/A</v>
      </c>
    </row>
    <row r="331" spans="1:11" x14ac:dyDescent="0.25">
      <c r="A331" s="221">
        <v>16</v>
      </c>
      <c r="B331" s="350" t="s">
        <v>1197</v>
      </c>
      <c r="C331" s="351" t="s">
        <v>1198</v>
      </c>
      <c r="D331" s="352" t="s">
        <v>640</v>
      </c>
      <c r="E331" s="353">
        <f>VLOOKUP(Таблица37[[#This Row],[Оболочки]],'предоставленные цены'!$B$4:$D$328,2,0)</f>
        <v>578.31404100000009</v>
      </c>
      <c r="F331" s="354"/>
      <c r="G331" s="358" t="s">
        <v>2315</v>
      </c>
      <c r="H331" s="359">
        <f>VLOOKUP(A331,Таблы!$O$265:$S$275,5,0)</f>
        <v>95.04</v>
      </c>
      <c r="I331" s="356">
        <f>Таблица37[[#This Row],[Цена]]+Таблица37[[#This Row],[Трудозатраты]]</f>
        <v>673.35404100000005</v>
      </c>
      <c r="J331" s="357">
        <v>48.484800000000007</v>
      </c>
      <c r="K331" s="220" t="e">
        <f>VLOOKUP(Таблица37[[#This Row],[Оболочки]],'[3]Расчет себес оболочек'!$A$3:$E$35,5,0)</f>
        <v>#N/A</v>
      </c>
    </row>
    <row r="332" spans="1:11" x14ac:dyDescent="0.25">
      <c r="A332" s="221">
        <v>20</v>
      </c>
      <c r="B332" s="350" t="s">
        <v>1199</v>
      </c>
      <c r="C332" s="351" t="s">
        <v>1200</v>
      </c>
      <c r="D332" s="352" t="s">
        <v>640</v>
      </c>
      <c r="E332" s="353">
        <f>VLOOKUP(Таблица37[[#This Row],[Оболочки]],'предоставленные цены'!$B$4:$D$328,2,0)</f>
        <v>593.46104100000002</v>
      </c>
      <c r="F332" s="354"/>
      <c r="G332" s="358" t="s">
        <v>2316</v>
      </c>
      <c r="H332" s="359">
        <f>VLOOKUP(A332,Таблы!$O$265:$S$275,5,0)</f>
        <v>77.759999999999991</v>
      </c>
      <c r="I332" s="356">
        <f>Таблица37[[#This Row],[Цена]]+Таблица37[[#This Row],[Трудозатраты]]</f>
        <v>671.22104100000001</v>
      </c>
      <c r="J332" s="357">
        <v>62.16</v>
      </c>
      <c r="K332" s="220" t="e">
        <f>VLOOKUP(Таблица37[[#This Row],[Оболочки]],'[3]Расчет себес оболочек'!$A$3:$E$35,5,0)</f>
        <v>#N/A</v>
      </c>
    </row>
    <row r="333" spans="1:11" x14ac:dyDescent="0.25">
      <c r="A333" s="221">
        <v>25</v>
      </c>
      <c r="B333" s="350" t="s">
        <v>1201</v>
      </c>
      <c r="C333" s="351" t="s">
        <v>1202</v>
      </c>
      <c r="D333" s="352" t="s">
        <v>640</v>
      </c>
      <c r="E333" s="353">
        <f>VLOOKUP(Таблица37[[#This Row],[Оболочки]],'предоставленные цены'!$B$4:$D$328,2,0)</f>
        <v>776.57643899999994</v>
      </c>
      <c r="F333" s="354"/>
      <c r="G333" s="358" t="s">
        <v>2317</v>
      </c>
      <c r="H333" s="359">
        <f>VLOOKUP(A333,Таблы!$O$265:$S$275,5,0)</f>
        <v>129.6</v>
      </c>
      <c r="I333" s="356">
        <f>Таблица37[[#This Row],[Цена]]+Таблица37[[#This Row],[Трудозатраты]]</f>
        <v>906.17643899999996</v>
      </c>
      <c r="J333" s="357">
        <v>91.996800000000007</v>
      </c>
      <c r="K333" s="220" t="e">
        <f>VLOOKUP(Таблица37[[#This Row],[Оболочки]],'[3]Расчет себес оболочек'!$A$3:$E$35,5,0)</f>
        <v>#N/A</v>
      </c>
    </row>
    <row r="334" spans="1:11" x14ac:dyDescent="0.25">
      <c r="A334" s="221">
        <v>32</v>
      </c>
      <c r="B334" s="350" t="s">
        <v>1203</v>
      </c>
      <c r="C334" s="351" t="s">
        <v>1204</v>
      </c>
      <c r="D334" s="352" t="s">
        <v>640</v>
      </c>
      <c r="E334" s="353">
        <f>VLOOKUP(Таблица37[[#This Row],[Оболочки]],'предоставленные цены'!$B$4:$D$328,2,0)</f>
        <v>1068.1835760000001</v>
      </c>
      <c r="F334" s="354"/>
      <c r="G334" s="358" t="s">
        <v>2318</v>
      </c>
      <c r="H334" s="359">
        <f>VLOOKUP(A334,Таблы!$O$265:$S$275,5,0)</f>
        <v>190.08</v>
      </c>
      <c r="I334" s="356">
        <f>Таблица37[[#This Row],[Цена]]+Таблица37[[#This Row],[Трудозатраты]]</f>
        <v>1258.2635760000001</v>
      </c>
      <c r="J334" s="357">
        <v>124.94160000000001</v>
      </c>
      <c r="K334" s="220" t="e">
        <f>VLOOKUP(Таблица37[[#This Row],[Оболочки]],'[3]Расчет себес оболочек'!$A$3:$E$35,5,0)</f>
        <v>#N/A</v>
      </c>
    </row>
    <row r="335" spans="1:11" x14ac:dyDescent="0.25">
      <c r="A335" s="221">
        <v>40</v>
      </c>
      <c r="B335" s="350" t="s">
        <v>1205</v>
      </c>
      <c r="C335" s="351" t="s">
        <v>1206</v>
      </c>
      <c r="D335" s="352" t="s">
        <v>640</v>
      </c>
      <c r="E335" s="353">
        <f>VLOOKUP(Таблица37[[#This Row],[Оболочки]],'предоставленные цены'!$B$4:$D$328,2,0)</f>
        <v>1488.2053980000001</v>
      </c>
      <c r="F335" s="354"/>
      <c r="G335" s="358" t="s">
        <v>2319</v>
      </c>
      <c r="H335" s="359">
        <f>VLOOKUP(A335,Таблы!$O$265:$S$275,5,0)</f>
        <v>267.83999999999997</v>
      </c>
      <c r="I335" s="356">
        <f>Таблица37[[#This Row],[Цена]]+Таблица37[[#This Row],[Трудозатраты]]</f>
        <v>1756.045398</v>
      </c>
      <c r="J335" s="357">
        <v>200.36240000000001</v>
      </c>
      <c r="K335" s="220" t="e">
        <f>VLOOKUP(Таблица37[[#This Row],[Оболочки]],'[3]Расчет себес оболочек'!$A$3:$E$35,5,0)</f>
        <v>#N/A</v>
      </c>
    </row>
    <row r="336" spans="1:11" x14ac:dyDescent="0.25">
      <c r="A336" s="221">
        <v>50</v>
      </c>
      <c r="B336" s="350" t="s">
        <v>1207</v>
      </c>
      <c r="C336" s="351" t="s">
        <v>1208</v>
      </c>
      <c r="D336" s="352" t="s">
        <v>640</v>
      </c>
      <c r="E336" s="353">
        <f>VLOOKUP(Таблица37[[#This Row],[Оболочки]],'предоставленные цены'!$B$4:$D$328,2,0)</f>
        <v>1716.5784000000001</v>
      </c>
      <c r="F336" s="354"/>
      <c r="G336" s="358" t="s">
        <v>2320</v>
      </c>
      <c r="H336" s="359">
        <f>VLOOKUP(A336,Таблы!$O$265:$S$275,5,0)</f>
        <v>362.87999999999994</v>
      </c>
      <c r="I336" s="356">
        <f>Таблица37[[#This Row],[Цена]]+Таблица37[[#This Row],[Трудозатраты]]</f>
        <v>2079.4584</v>
      </c>
      <c r="J336" s="357">
        <v>259</v>
      </c>
      <c r="K336" s="220" t="e">
        <f>VLOOKUP(Таблица37[[#This Row],[Оболочки]],'[3]Расчет себес оболочек'!$A$3:$E$35,5,0)</f>
        <v>#N/A</v>
      </c>
    </row>
    <row r="337" spans="1:11" x14ac:dyDescent="0.25">
      <c r="A337" s="221">
        <v>63</v>
      </c>
      <c r="B337" s="350" t="s">
        <v>1209</v>
      </c>
      <c r="C337" s="351" t="s">
        <v>1210</v>
      </c>
      <c r="D337" s="352" t="s">
        <v>640</v>
      </c>
      <c r="E337" s="353">
        <f>VLOOKUP(Таблица37[[#This Row],[Оболочки]],'предоставленные цены'!$B$4:$D$328,2,0)</f>
        <v>2040.5304000000001</v>
      </c>
      <c r="F337" s="354"/>
      <c r="G337" s="358" t="s">
        <v>2321</v>
      </c>
      <c r="H337" s="359">
        <f>VLOOKUP(A337,Таблы!$O$265:$S$275,5,0)</f>
        <v>544.32000000000005</v>
      </c>
      <c r="I337" s="356">
        <f>Таблица37[[#This Row],[Цена]]+Таблица37[[#This Row],[Трудозатраты]]</f>
        <v>2584.8504000000003</v>
      </c>
      <c r="J337" s="357">
        <v>355.55520000000001</v>
      </c>
      <c r="K337" s="220" t="e">
        <f>VLOOKUP(Таблица37[[#This Row],[Оболочки]],'[3]Расчет себес оболочек'!$A$3:$E$35,5,0)</f>
        <v>#N/A</v>
      </c>
    </row>
    <row r="338" spans="1:11" x14ac:dyDescent="0.25">
      <c r="A338" s="221">
        <v>75</v>
      </c>
      <c r="B338" s="350" t="s">
        <v>1211</v>
      </c>
      <c r="C338" s="351" t="s">
        <v>1212</v>
      </c>
      <c r="D338" s="352" t="s">
        <v>640</v>
      </c>
      <c r="E338" s="353">
        <f t="shared" ref="E338:E401" si="8">J338</f>
        <v>700.95760000000007</v>
      </c>
      <c r="F338" s="354"/>
      <c r="G338" s="358" t="s">
        <v>2323</v>
      </c>
      <c r="H338" s="359">
        <f>VLOOKUP(A338,Таблы!$O$265:$S$275,5,0)</f>
        <v>907.19999999999993</v>
      </c>
      <c r="I338" s="356">
        <f>Таблица37[[#This Row],[Цена]]+Таблица37[[#This Row],[Трудозатраты]]</f>
        <v>1608.1576</v>
      </c>
      <c r="J338" s="357">
        <v>700.95760000000007</v>
      </c>
      <c r="K338" s="220" t="e">
        <f>VLOOKUP(Таблица37[[#This Row],[Оболочки]],'[3]Расчет себес оболочек'!$A$3:$E$35,5,0)</f>
        <v>#N/A</v>
      </c>
    </row>
    <row r="339" spans="1:11" x14ac:dyDescent="0.25">
      <c r="A339" s="221">
        <v>90</v>
      </c>
      <c r="B339" s="350" t="s">
        <v>1213</v>
      </c>
      <c r="C339" s="351" t="s">
        <v>1214</v>
      </c>
      <c r="D339" s="352" t="s">
        <v>640</v>
      </c>
      <c r="E339" s="353">
        <f t="shared" si="8"/>
        <v>955.81360000000006</v>
      </c>
      <c r="F339" s="354"/>
      <c r="G339" s="358" t="s">
        <v>2324</v>
      </c>
      <c r="H339" s="359">
        <f>VLOOKUP(A339,Таблы!$O$265:$S$275,5,0)</f>
        <v>1296</v>
      </c>
      <c r="I339" s="356">
        <f>Таблица37[[#This Row],[Цена]]+Таблица37[[#This Row],[Трудозатраты]]</f>
        <v>2251.8136</v>
      </c>
      <c r="J339" s="357">
        <v>955.81360000000006</v>
      </c>
      <c r="K339" s="220" t="e">
        <f>VLOOKUP(Таблица37[[#This Row],[Оболочки]],'[3]Расчет себес оболочек'!$A$3:$E$35,5,0)</f>
        <v>#N/A</v>
      </c>
    </row>
    <row r="340" spans="1:11" x14ac:dyDescent="0.25">
      <c r="B340" s="350" t="s">
        <v>1215</v>
      </c>
      <c r="C340" s="351" t="s">
        <v>1216</v>
      </c>
      <c r="D340" s="352" t="s">
        <v>640</v>
      </c>
      <c r="E340" s="353">
        <f t="shared" si="8"/>
        <v>0</v>
      </c>
      <c r="F340" s="354"/>
      <c r="G340" s="358" t="s">
        <v>2325</v>
      </c>
      <c r="H340" s="359"/>
      <c r="I340" s="356">
        <f>Таблица37[[#This Row],[Цена]]+Таблица37[[#This Row],[Трудозатраты]]</f>
        <v>0</v>
      </c>
      <c r="J340" s="357"/>
      <c r="K340" s="220" t="e">
        <f>VLOOKUP(Таблица37[[#This Row],[Оболочки]],'[3]Расчет себес оболочек'!$A$3:$E$35,5,0)</f>
        <v>#N/A</v>
      </c>
    </row>
    <row r="341" spans="1:11" x14ac:dyDescent="0.25">
      <c r="B341" s="350" t="s">
        <v>1217</v>
      </c>
      <c r="C341" s="351" t="s">
        <v>1218</v>
      </c>
      <c r="D341" s="352" t="s">
        <v>640</v>
      </c>
      <c r="E341" s="353">
        <f t="shared" si="8"/>
        <v>1335.3003999999999</v>
      </c>
      <c r="F341" s="354"/>
      <c r="G341" s="358" t="s">
        <v>2327</v>
      </c>
      <c r="H341" s="359"/>
      <c r="I341" s="356">
        <f>Таблица37[[#This Row],[Цена]]+Таблица37[[#This Row],[Трудозатраты]]</f>
        <v>1335.3003999999999</v>
      </c>
      <c r="J341" s="357">
        <v>1335.3003999999999</v>
      </c>
      <c r="K341" s="220" t="e">
        <f>VLOOKUP(Таблица37[[#This Row],[Оболочки]],'[3]Расчет себес оболочек'!$A$3:$E$35,5,0)</f>
        <v>#N/A</v>
      </c>
    </row>
    <row r="342" spans="1:11" x14ac:dyDescent="0.25">
      <c r="B342" s="350" t="s">
        <v>1219</v>
      </c>
      <c r="C342" s="351" t="s">
        <v>1220</v>
      </c>
      <c r="D342" s="352" t="s">
        <v>640</v>
      </c>
      <c r="E342" s="353">
        <f t="shared" si="8"/>
        <v>0</v>
      </c>
      <c r="F342" s="354"/>
      <c r="G342" s="358" t="s">
        <v>2327</v>
      </c>
      <c r="H342" s="359"/>
      <c r="I342" s="356">
        <f>Таблица37[[#This Row],[Цена]]+Таблица37[[#This Row],[Трудозатраты]]</f>
        <v>0</v>
      </c>
      <c r="J342" s="357"/>
      <c r="K342" s="220" t="e">
        <f>VLOOKUP(Таблица37[[#This Row],[Оболочки]],'[3]Расчет себес оболочек'!$A$3:$E$35,5,0)</f>
        <v>#N/A</v>
      </c>
    </row>
    <row r="343" spans="1:11" x14ac:dyDescent="0.25">
      <c r="B343" s="350" t="s">
        <v>1221</v>
      </c>
      <c r="C343" s="351" t="s">
        <v>1222</v>
      </c>
      <c r="D343" s="352" t="s">
        <v>640</v>
      </c>
      <c r="E343" s="353">
        <f t="shared" si="8"/>
        <v>34.809600000000003</v>
      </c>
      <c r="F343" s="354"/>
      <c r="G343" s="358"/>
      <c r="H343" s="359"/>
      <c r="I343" s="356">
        <f>Таблица37[[#This Row],[Цена]]+Таблица37[[#This Row],[Трудозатраты]]</f>
        <v>34.809600000000003</v>
      </c>
      <c r="J343" s="357">
        <v>34.809600000000003</v>
      </c>
      <c r="K343" s="220" t="e">
        <f>VLOOKUP(Таблица37[[#This Row],[Оболочки]],'[3]Расчет себес оболочек'!$A$3:$E$35,5,0)</f>
        <v>#N/A</v>
      </c>
    </row>
    <row r="344" spans="1:11" x14ac:dyDescent="0.25">
      <c r="B344" s="350" t="s">
        <v>1223</v>
      </c>
      <c r="C344" s="351" t="s">
        <v>1224</v>
      </c>
      <c r="D344" s="352" t="s">
        <v>640</v>
      </c>
      <c r="E344" s="353">
        <f t="shared" si="8"/>
        <v>48.381200000000007</v>
      </c>
      <c r="F344" s="354"/>
      <c r="G344" s="358"/>
      <c r="H344" s="359"/>
      <c r="I344" s="356">
        <f>Таблица37[[#This Row],[Цена]]+Таблица37[[#This Row],[Трудозатраты]]</f>
        <v>48.381200000000007</v>
      </c>
      <c r="J344" s="357">
        <v>48.381200000000007</v>
      </c>
      <c r="K344" s="220" t="e">
        <f>VLOOKUP(Таблица37[[#This Row],[Оболочки]],'[3]Расчет себес оболочек'!$A$3:$E$35,5,0)</f>
        <v>#N/A</v>
      </c>
    </row>
    <row r="345" spans="1:11" x14ac:dyDescent="0.25">
      <c r="B345" s="350" t="s">
        <v>1225</v>
      </c>
      <c r="C345" s="351" t="s">
        <v>1226</v>
      </c>
      <c r="D345" s="352" t="s">
        <v>640</v>
      </c>
      <c r="E345" s="353">
        <f t="shared" si="8"/>
        <v>64.9572</v>
      </c>
      <c r="F345" s="354"/>
      <c r="G345" s="358"/>
      <c r="H345" s="359"/>
      <c r="I345" s="356">
        <f>Таблица37[[#This Row],[Цена]]+Таблица37[[#This Row],[Трудозатраты]]</f>
        <v>64.9572</v>
      </c>
      <c r="J345" s="357">
        <v>64.9572</v>
      </c>
      <c r="K345" s="220" t="e">
        <f>VLOOKUP(Таблица37[[#This Row],[Оболочки]],'[3]Расчет себес оболочек'!$A$3:$E$35,5,0)</f>
        <v>#N/A</v>
      </c>
    </row>
    <row r="346" spans="1:11" x14ac:dyDescent="0.25">
      <c r="B346" s="350" t="s">
        <v>1227</v>
      </c>
      <c r="C346" s="351" t="s">
        <v>1228</v>
      </c>
      <c r="D346" s="352" t="s">
        <v>640</v>
      </c>
      <c r="E346" s="353">
        <f t="shared" si="8"/>
        <v>95.311999999999998</v>
      </c>
      <c r="F346" s="354"/>
      <c r="G346" s="358"/>
      <c r="H346" s="359"/>
      <c r="I346" s="356">
        <f>Таблица37[[#This Row],[Цена]]+Таблица37[[#This Row],[Трудозатраты]]</f>
        <v>95.311999999999998</v>
      </c>
      <c r="J346" s="357">
        <v>95.311999999999998</v>
      </c>
      <c r="K346" s="220" t="e">
        <f>VLOOKUP(Таблица37[[#This Row],[Оболочки]],'[3]Расчет себес оболочек'!$A$3:$E$35,5,0)</f>
        <v>#N/A</v>
      </c>
    </row>
    <row r="347" spans="1:11" x14ac:dyDescent="0.25">
      <c r="B347" s="350" t="s">
        <v>1229</v>
      </c>
      <c r="C347" s="351" t="s">
        <v>1230</v>
      </c>
      <c r="D347" s="352" t="s">
        <v>640</v>
      </c>
      <c r="E347" s="353">
        <f t="shared" si="8"/>
        <v>142.86440000000002</v>
      </c>
      <c r="F347" s="354"/>
      <c r="G347" s="358"/>
      <c r="H347" s="359"/>
      <c r="I347" s="356">
        <f>Таблица37[[#This Row],[Цена]]+Таблица37[[#This Row],[Трудозатраты]]</f>
        <v>142.86440000000002</v>
      </c>
      <c r="J347" s="357">
        <v>142.86440000000002</v>
      </c>
      <c r="K347" s="220" t="e">
        <f>VLOOKUP(Таблица37[[#This Row],[Оболочки]],'[3]Расчет себес оболочек'!$A$3:$E$35,5,0)</f>
        <v>#N/A</v>
      </c>
    </row>
    <row r="348" spans="1:11" x14ac:dyDescent="0.25">
      <c r="B348" s="350" t="s">
        <v>1231</v>
      </c>
      <c r="C348" s="351" t="s">
        <v>1232</v>
      </c>
      <c r="D348" s="352" t="s">
        <v>640</v>
      </c>
      <c r="E348" s="353">
        <f t="shared" si="8"/>
        <v>247.70760000000001</v>
      </c>
      <c r="F348" s="354"/>
      <c r="G348" s="355"/>
      <c r="H348" s="359"/>
      <c r="I348" s="356">
        <f>Таблица37[[#This Row],[Цена]]+Таблица37[[#This Row],[Трудозатраты]]</f>
        <v>247.70760000000001</v>
      </c>
      <c r="J348" s="357">
        <v>247.70760000000001</v>
      </c>
      <c r="K348" s="220" t="e">
        <f>VLOOKUP(Таблица37[[#This Row],[Оболочки]],'[3]Расчет себес оболочек'!$A$3:$E$35,5,0)</f>
        <v>#N/A</v>
      </c>
    </row>
    <row r="349" spans="1:11" x14ac:dyDescent="0.25">
      <c r="B349" s="350" t="s">
        <v>1233</v>
      </c>
      <c r="C349" s="351" t="s">
        <v>1234</v>
      </c>
      <c r="D349" s="352" t="s">
        <v>640</v>
      </c>
      <c r="E349" s="353">
        <f t="shared" si="8"/>
        <v>305.72360000000003</v>
      </c>
      <c r="F349" s="354"/>
      <c r="G349" s="355"/>
      <c r="H349" s="359"/>
      <c r="I349" s="356">
        <f>Таблица37[[#This Row],[Цена]]+Таблица37[[#This Row],[Трудозатраты]]</f>
        <v>305.72360000000003</v>
      </c>
      <c r="J349" s="357">
        <v>305.72360000000003</v>
      </c>
      <c r="K349" s="220" t="e">
        <f>VLOOKUP(Таблица37[[#This Row],[Оболочки]],'[3]Расчет себес оболочек'!$A$3:$E$35,5,0)</f>
        <v>#N/A</v>
      </c>
    </row>
    <row r="350" spans="1:11" x14ac:dyDescent="0.25">
      <c r="B350" s="350" t="s">
        <v>1235</v>
      </c>
      <c r="C350" s="351" t="s">
        <v>1236</v>
      </c>
      <c r="D350" s="352" t="s">
        <v>640</v>
      </c>
      <c r="E350" s="353">
        <f t="shared" si="8"/>
        <v>415.12520000000001</v>
      </c>
      <c r="F350" s="354"/>
      <c r="G350" s="355"/>
      <c r="H350" s="359"/>
      <c r="I350" s="356">
        <f>Таблица37[[#This Row],[Цена]]+Таблица37[[#This Row],[Трудозатраты]]</f>
        <v>415.12520000000001</v>
      </c>
      <c r="J350" s="357">
        <v>415.12520000000001</v>
      </c>
      <c r="K350" s="220" t="e">
        <f>VLOOKUP(Таблица37[[#This Row],[Оболочки]],'[3]Расчет себес оболочек'!$A$3:$E$35,5,0)</f>
        <v>#N/A</v>
      </c>
    </row>
    <row r="351" spans="1:11" x14ac:dyDescent="0.25">
      <c r="B351" s="350" t="s">
        <v>1237</v>
      </c>
      <c r="C351" s="351" t="s">
        <v>1238</v>
      </c>
      <c r="D351" s="352" t="s">
        <v>640</v>
      </c>
      <c r="E351" s="353">
        <f t="shared" si="8"/>
        <v>893.13559999999995</v>
      </c>
      <c r="F351" s="354"/>
      <c r="G351" s="355"/>
      <c r="H351" s="359"/>
      <c r="I351" s="356">
        <f>Таблица37[[#This Row],[Цена]]+Таблица37[[#This Row],[Трудозатраты]]</f>
        <v>893.13559999999995</v>
      </c>
      <c r="J351" s="357">
        <v>893.13559999999995</v>
      </c>
      <c r="K351" s="220" t="e">
        <f>VLOOKUP(Таблица37[[#This Row],[Оболочки]],'[3]Расчет себес оболочек'!$A$3:$E$35,5,0)</f>
        <v>#N/A</v>
      </c>
    </row>
    <row r="352" spans="1:11" x14ac:dyDescent="0.25">
      <c r="B352" s="350" t="s">
        <v>1239</v>
      </c>
      <c r="C352" s="351" t="s">
        <v>1240</v>
      </c>
      <c r="D352" s="352" t="s">
        <v>640</v>
      </c>
      <c r="E352" s="353">
        <f t="shared" si="8"/>
        <v>1166.9503999999999</v>
      </c>
      <c r="F352" s="354"/>
      <c r="G352" s="355"/>
      <c r="H352" s="359"/>
      <c r="I352" s="356">
        <f>Таблица37[[#This Row],[Цена]]+Таблица37[[#This Row],[Трудозатраты]]</f>
        <v>1166.9503999999999</v>
      </c>
      <c r="J352" s="357">
        <v>1166.9503999999999</v>
      </c>
      <c r="K352" s="220" t="e">
        <f>VLOOKUP(Таблица37[[#This Row],[Оболочки]],'[3]Расчет себес оболочек'!$A$3:$E$35,5,0)</f>
        <v>#N/A</v>
      </c>
    </row>
    <row r="353" spans="2:11" x14ac:dyDescent="0.25">
      <c r="B353" s="350" t="s">
        <v>1241</v>
      </c>
      <c r="C353" s="351" t="s">
        <v>1242</v>
      </c>
      <c r="D353" s="352" t="s">
        <v>640</v>
      </c>
      <c r="E353" s="353">
        <f t="shared" si="8"/>
        <v>1584.4584000000002</v>
      </c>
      <c r="F353" s="354"/>
      <c r="G353" s="355"/>
      <c r="H353" s="359"/>
      <c r="I353" s="356">
        <f>Таблица37[[#This Row],[Цена]]+Таблица37[[#This Row],[Трудозатраты]]</f>
        <v>1584.4584000000002</v>
      </c>
      <c r="J353" s="357">
        <v>1584.4584000000002</v>
      </c>
      <c r="K353" s="220" t="e">
        <f>VLOOKUP(Таблица37[[#This Row],[Оболочки]],'[3]Расчет себес оболочек'!$A$3:$E$35,5,0)</f>
        <v>#N/A</v>
      </c>
    </row>
    <row r="354" spans="2:11" x14ac:dyDescent="0.25">
      <c r="B354" s="350" t="s">
        <v>1243</v>
      </c>
      <c r="C354" s="351" t="s">
        <v>1244</v>
      </c>
      <c r="D354" s="352" t="s">
        <v>640</v>
      </c>
      <c r="E354" s="353">
        <f t="shared" si="8"/>
        <v>0</v>
      </c>
      <c r="F354" s="354"/>
      <c r="G354" s="355"/>
      <c r="H354" s="359"/>
      <c r="I354" s="356">
        <f>Таблица37[[#This Row],[Цена]]+Таблица37[[#This Row],[Трудозатраты]]</f>
        <v>0</v>
      </c>
      <c r="J354" s="357"/>
      <c r="K354" s="220" t="e">
        <f>VLOOKUP(Таблица37[[#This Row],[Оболочки]],'[3]Расчет себес оболочек'!$A$3:$E$35,5,0)</f>
        <v>#N/A</v>
      </c>
    </row>
    <row r="355" spans="2:11" x14ac:dyDescent="0.25">
      <c r="B355" s="350" t="s">
        <v>1245</v>
      </c>
      <c r="C355" s="351" t="s">
        <v>1246</v>
      </c>
      <c r="D355" s="352" t="s">
        <v>640</v>
      </c>
      <c r="E355" s="353">
        <f t="shared" si="8"/>
        <v>0</v>
      </c>
      <c r="F355" s="354"/>
      <c r="G355" s="355"/>
      <c r="H355" s="359"/>
      <c r="I355" s="356">
        <f>Таблица37[[#This Row],[Цена]]+Таблица37[[#This Row],[Трудозатраты]]</f>
        <v>0</v>
      </c>
      <c r="J355" s="357"/>
      <c r="K355" s="220" t="e">
        <f>VLOOKUP(Таблица37[[#This Row],[Оболочки]],'[3]Расчет себес оболочек'!$A$3:$E$35,5,0)</f>
        <v>#N/A</v>
      </c>
    </row>
    <row r="356" spans="2:11" x14ac:dyDescent="0.25">
      <c r="B356" s="350" t="s">
        <v>1247</v>
      </c>
      <c r="C356" s="351" t="s">
        <v>1248</v>
      </c>
      <c r="D356" s="352" t="s">
        <v>640</v>
      </c>
      <c r="E356" s="353">
        <f t="shared" si="8"/>
        <v>0</v>
      </c>
      <c r="F356" s="354"/>
      <c r="G356" s="355"/>
      <c r="H356" s="359"/>
      <c r="I356" s="356">
        <f>Таблица37[[#This Row],[Цена]]+Таблица37[[#This Row],[Трудозатраты]]</f>
        <v>0</v>
      </c>
      <c r="J356" s="357"/>
      <c r="K356" s="220" t="e">
        <f>VLOOKUP(Таблица37[[#This Row],[Оболочки]],'[3]Расчет себес оболочек'!$A$3:$E$35,5,0)</f>
        <v>#N/A</v>
      </c>
    </row>
    <row r="357" spans="2:11" x14ac:dyDescent="0.25">
      <c r="B357" s="350" t="s">
        <v>1249</v>
      </c>
      <c r="C357" s="351" t="s">
        <v>1250</v>
      </c>
      <c r="D357" s="352" t="s">
        <v>640</v>
      </c>
      <c r="E357" s="353">
        <f t="shared" si="8"/>
        <v>0</v>
      </c>
      <c r="F357" s="354"/>
      <c r="G357" s="355"/>
      <c r="H357" s="359"/>
      <c r="I357" s="356">
        <f>Таблица37[[#This Row],[Цена]]+Таблица37[[#This Row],[Трудозатраты]]</f>
        <v>0</v>
      </c>
      <c r="J357" s="357"/>
      <c r="K357" s="220" t="e">
        <f>VLOOKUP(Таблица37[[#This Row],[Оболочки]],'[3]Расчет себес оболочек'!$A$3:$E$35,5,0)</f>
        <v>#N/A</v>
      </c>
    </row>
    <row r="358" spans="2:11" x14ac:dyDescent="0.25">
      <c r="B358" s="350" t="s">
        <v>1251</v>
      </c>
      <c r="C358" s="351" t="s">
        <v>1252</v>
      </c>
      <c r="D358" s="352" t="s">
        <v>640</v>
      </c>
      <c r="E358" s="353">
        <f t="shared" si="8"/>
        <v>0</v>
      </c>
      <c r="F358" s="354"/>
      <c r="G358" s="355"/>
      <c r="H358" s="359"/>
      <c r="I358" s="356">
        <f>Таблица37[[#This Row],[Цена]]+Таблица37[[#This Row],[Трудозатраты]]</f>
        <v>0</v>
      </c>
      <c r="J358" s="357"/>
      <c r="K358" s="220" t="e">
        <f>VLOOKUP(Таблица37[[#This Row],[Оболочки]],'[3]Расчет себес оболочек'!$A$3:$E$35,5,0)</f>
        <v>#N/A</v>
      </c>
    </row>
    <row r="359" spans="2:11" x14ac:dyDescent="0.25">
      <c r="B359" s="350" t="s">
        <v>1253</v>
      </c>
      <c r="C359" s="351" t="s">
        <v>1254</v>
      </c>
      <c r="D359" s="352" t="s">
        <v>640</v>
      </c>
      <c r="E359" s="353">
        <f t="shared" si="8"/>
        <v>0</v>
      </c>
      <c r="F359" s="354"/>
      <c r="G359" s="355"/>
      <c r="H359" s="359"/>
      <c r="I359" s="356">
        <f>Таблица37[[#This Row],[Цена]]+Таблица37[[#This Row],[Трудозатраты]]</f>
        <v>0</v>
      </c>
      <c r="J359" s="357"/>
      <c r="K359" s="220" t="e">
        <f>VLOOKUP(Таблица37[[#This Row],[Оболочки]],'[3]Расчет себес оболочек'!$A$3:$E$35,5,0)</f>
        <v>#N/A</v>
      </c>
    </row>
    <row r="360" spans="2:11" x14ac:dyDescent="0.25">
      <c r="B360" s="350" t="s">
        <v>1255</v>
      </c>
      <c r="C360" s="351" t="s">
        <v>1256</v>
      </c>
      <c r="D360" s="352" t="s">
        <v>640</v>
      </c>
      <c r="E360" s="353">
        <f t="shared" si="8"/>
        <v>0</v>
      </c>
      <c r="F360" s="354"/>
      <c r="G360" s="355"/>
      <c r="H360" s="359"/>
      <c r="I360" s="356">
        <f>Таблица37[[#This Row],[Цена]]+Таблица37[[#This Row],[Трудозатраты]]</f>
        <v>0</v>
      </c>
      <c r="J360" s="357"/>
      <c r="K360" s="220" t="e">
        <f>VLOOKUP(Таблица37[[#This Row],[Оболочки]],'[3]Расчет себес оболочек'!$A$3:$E$35,5,0)</f>
        <v>#N/A</v>
      </c>
    </row>
    <row r="361" spans="2:11" x14ac:dyDescent="0.25">
      <c r="B361" s="350" t="s">
        <v>1257</v>
      </c>
      <c r="C361" s="351" t="s">
        <v>1258</v>
      </c>
      <c r="D361" s="352" t="s">
        <v>640</v>
      </c>
      <c r="E361" s="353">
        <f t="shared" si="8"/>
        <v>0</v>
      </c>
      <c r="F361" s="354"/>
      <c r="G361" s="355"/>
      <c r="H361" s="359"/>
      <c r="I361" s="356">
        <f>Таблица37[[#This Row],[Цена]]+Таблица37[[#This Row],[Трудозатраты]]</f>
        <v>0</v>
      </c>
      <c r="J361" s="357"/>
      <c r="K361" s="220" t="e">
        <f>VLOOKUP(Таблица37[[#This Row],[Оболочки]],'[3]Расчет себес оболочек'!$A$3:$E$35,5,0)</f>
        <v>#N/A</v>
      </c>
    </row>
    <row r="362" spans="2:11" x14ac:dyDescent="0.25">
      <c r="B362" s="350" t="s">
        <v>1259</v>
      </c>
      <c r="C362" s="351" t="s">
        <v>1260</v>
      </c>
      <c r="D362" s="352" t="s">
        <v>640</v>
      </c>
      <c r="E362" s="353">
        <f t="shared" si="8"/>
        <v>0</v>
      </c>
      <c r="F362" s="354"/>
      <c r="G362" s="355"/>
      <c r="H362" s="359"/>
      <c r="I362" s="356">
        <f>Таблица37[[#This Row],[Цена]]+Таблица37[[#This Row],[Трудозатраты]]</f>
        <v>0</v>
      </c>
      <c r="J362" s="357"/>
      <c r="K362" s="220" t="e">
        <f>VLOOKUP(Таблица37[[#This Row],[Оболочки]],'[3]Расчет себес оболочек'!$A$3:$E$35,5,0)</f>
        <v>#N/A</v>
      </c>
    </row>
    <row r="363" spans="2:11" x14ac:dyDescent="0.25">
      <c r="B363" s="350" t="s">
        <v>1261</v>
      </c>
      <c r="C363" s="351" t="s">
        <v>1262</v>
      </c>
      <c r="D363" s="352" t="s">
        <v>640</v>
      </c>
      <c r="E363" s="353">
        <f t="shared" si="8"/>
        <v>0</v>
      </c>
      <c r="F363" s="354"/>
      <c r="G363" s="355"/>
      <c r="H363" s="359"/>
      <c r="I363" s="356">
        <f>Таблица37[[#This Row],[Цена]]+Таблица37[[#This Row],[Трудозатраты]]</f>
        <v>0</v>
      </c>
      <c r="J363" s="357"/>
      <c r="K363" s="220" t="e">
        <f>VLOOKUP(Таблица37[[#This Row],[Оболочки]],'[3]Расчет себес оболочек'!$A$3:$E$35,5,0)</f>
        <v>#N/A</v>
      </c>
    </row>
    <row r="364" spans="2:11" x14ac:dyDescent="0.25">
      <c r="B364" s="350" t="s">
        <v>1263</v>
      </c>
      <c r="C364" s="351" t="s">
        <v>1264</v>
      </c>
      <c r="D364" s="352" t="s">
        <v>640</v>
      </c>
      <c r="E364" s="353">
        <f t="shared" si="8"/>
        <v>0</v>
      </c>
      <c r="F364" s="354"/>
      <c r="G364" s="355"/>
      <c r="H364" s="359"/>
      <c r="I364" s="356">
        <f>Таблица37[[#This Row],[Цена]]+Таблица37[[#This Row],[Трудозатраты]]</f>
        <v>0</v>
      </c>
      <c r="J364" s="357"/>
      <c r="K364" s="220" t="e">
        <f>VLOOKUP(Таблица37[[#This Row],[Оболочки]],'[3]Расчет себес оболочек'!$A$3:$E$35,5,0)</f>
        <v>#N/A</v>
      </c>
    </row>
    <row r="365" spans="2:11" x14ac:dyDescent="0.25">
      <c r="B365" s="350" t="s">
        <v>1265</v>
      </c>
      <c r="C365" s="351" t="s">
        <v>1266</v>
      </c>
      <c r="D365" s="352" t="s">
        <v>640</v>
      </c>
      <c r="E365" s="353">
        <f t="shared" si="8"/>
        <v>2.6936</v>
      </c>
      <c r="F365" s="354"/>
      <c r="G365" s="355"/>
      <c r="H365" s="359"/>
      <c r="I365" s="356">
        <f>Таблица37[[#This Row],[Цена]]+Таблица37[[#This Row],[Трудозатраты]]</f>
        <v>2.6936</v>
      </c>
      <c r="J365" s="357">
        <v>2.6936</v>
      </c>
      <c r="K365" s="220" t="e">
        <f>VLOOKUP(Таблица37[[#This Row],[Оболочки]],'[3]Расчет себес оболочек'!$A$3:$E$35,5,0)</f>
        <v>#N/A</v>
      </c>
    </row>
    <row r="366" spans="2:11" x14ac:dyDescent="0.25">
      <c r="B366" s="350" t="s">
        <v>1267</v>
      </c>
      <c r="C366" s="351" t="s">
        <v>1268</v>
      </c>
      <c r="D366" s="352" t="s">
        <v>640</v>
      </c>
      <c r="E366" s="353">
        <f t="shared" si="8"/>
        <v>6.1124000000000009</v>
      </c>
      <c r="F366" s="354"/>
      <c r="G366" s="355"/>
      <c r="H366" s="359"/>
      <c r="I366" s="356">
        <f>Таблица37[[#This Row],[Цена]]+Таблица37[[#This Row],[Трудозатраты]]</f>
        <v>6.1124000000000009</v>
      </c>
      <c r="J366" s="357">
        <v>6.1124000000000009</v>
      </c>
      <c r="K366" s="220" t="e">
        <f>VLOOKUP(Таблица37[[#This Row],[Оболочки]],'[3]Расчет себес оболочек'!$A$3:$E$35,5,0)</f>
        <v>#N/A</v>
      </c>
    </row>
    <row r="367" spans="2:11" x14ac:dyDescent="0.25">
      <c r="B367" s="350" t="s">
        <v>1269</v>
      </c>
      <c r="C367" s="351" t="s">
        <v>1270</v>
      </c>
      <c r="D367" s="352" t="s">
        <v>640</v>
      </c>
      <c r="E367" s="353">
        <f t="shared" si="8"/>
        <v>20.823600000000003</v>
      </c>
      <c r="F367" s="354"/>
      <c r="G367" s="355"/>
      <c r="H367" s="359"/>
      <c r="I367" s="356">
        <f>Таблица37[[#This Row],[Цена]]+Таблица37[[#This Row],[Трудозатраты]]</f>
        <v>20.823600000000003</v>
      </c>
      <c r="J367" s="357">
        <v>20.823600000000003</v>
      </c>
      <c r="K367" s="220" t="e">
        <f>VLOOKUP(Таблица37[[#This Row],[Оболочки]],'[3]Расчет себес оболочек'!$A$3:$E$35,5,0)</f>
        <v>#N/A</v>
      </c>
    </row>
    <row r="368" spans="2:11" x14ac:dyDescent="0.25">
      <c r="B368" s="350" t="s">
        <v>1271</v>
      </c>
      <c r="C368" s="351" t="s">
        <v>1272</v>
      </c>
      <c r="D368" s="352" t="s">
        <v>640</v>
      </c>
      <c r="E368" s="353">
        <f t="shared" si="8"/>
        <v>35.638399999999997</v>
      </c>
      <c r="F368" s="354"/>
      <c r="G368" s="355"/>
      <c r="H368" s="359"/>
      <c r="I368" s="356">
        <f>Таблица37[[#This Row],[Цена]]+Таблица37[[#This Row],[Трудозатраты]]</f>
        <v>35.638399999999997</v>
      </c>
      <c r="J368" s="357">
        <v>35.638399999999997</v>
      </c>
      <c r="K368" s="220" t="e">
        <f>VLOOKUP(Таблица37[[#This Row],[Оболочки]],'[3]Расчет себес оболочек'!$A$3:$E$35,5,0)</f>
        <v>#N/A</v>
      </c>
    </row>
    <row r="369" spans="2:11" x14ac:dyDescent="0.25">
      <c r="B369" s="350" t="s">
        <v>1273</v>
      </c>
      <c r="C369" s="351" t="s">
        <v>1274</v>
      </c>
      <c r="D369" s="352" t="s">
        <v>640</v>
      </c>
      <c r="E369" s="353">
        <f t="shared" si="8"/>
        <v>70.655200000000008</v>
      </c>
      <c r="F369" s="354"/>
      <c r="G369" s="355"/>
      <c r="H369" s="359"/>
      <c r="I369" s="356">
        <f>Таблица37[[#This Row],[Цена]]+Таблица37[[#This Row],[Трудозатраты]]</f>
        <v>70.655200000000008</v>
      </c>
      <c r="J369" s="357">
        <v>70.655200000000008</v>
      </c>
      <c r="K369" s="220" t="e">
        <f>VLOOKUP(Таблица37[[#This Row],[Оболочки]],'[3]Расчет себес оболочек'!$A$3:$E$35,5,0)</f>
        <v>#N/A</v>
      </c>
    </row>
    <row r="370" spans="2:11" x14ac:dyDescent="0.25">
      <c r="B370" s="350" t="s">
        <v>1275</v>
      </c>
      <c r="C370" s="351" t="s">
        <v>1276</v>
      </c>
      <c r="D370" s="352" t="s">
        <v>640</v>
      </c>
      <c r="E370" s="353">
        <f t="shared" si="8"/>
        <v>117.58600000000001</v>
      </c>
      <c r="F370" s="354"/>
      <c r="G370" s="355"/>
      <c r="H370" s="359"/>
      <c r="I370" s="356">
        <f>Таблица37[[#This Row],[Цена]]+Таблица37[[#This Row],[Трудозатраты]]</f>
        <v>117.58600000000001</v>
      </c>
      <c r="J370" s="357">
        <v>117.58600000000001</v>
      </c>
      <c r="K370" s="220" t="e">
        <f>VLOOKUP(Таблица37[[#This Row],[Оболочки]],'[3]Расчет себес оболочек'!$A$3:$E$35,5,0)</f>
        <v>#N/A</v>
      </c>
    </row>
    <row r="371" spans="2:11" x14ac:dyDescent="0.25">
      <c r="B371" s="350" t="s">
        <v>1277</v>
      </c>
      <c r="C371" s="351" t="s">
        <v>1278</v>
      </c>
      <c r="D371" s="352" t="s">
        <v>640</v>
      </c>
      <c r="E371" s="353">
        <f t="shared" si="8"/>
        <v>188.55199999999999</v>
      </c>
      <c r="F371" s="354"/>
      <c r="G371" s="355"/>
      <c r="H371" s="359"/>
      <c r="I371" s="356">
        <f>Таблица37[[#This Row],[Цена]]+Таблица37[[#This Row],[Трудозатраты]]</f>
        <v>188.55199999999999</v>
      </c>
      <c r="J371" s="357">
        <v>188.55199999999999</v>
      </c>
      <c r="K371" s="220" t="e">
        <f>VLOOKUP(Таблица37[[#This Row],[Оболочки]],'[3]Расчет себес оболочек'!$A$3:$E$35,5,0)</f>
        <v>#N/A</v>
      </c>
    </row>
    <row r="372" spans="2:11" x14ac:dyDescent="0.25">
      <c r="B372" s="350" t="s">
        <v>1279</v>
      </c>
      <c r="C372" s="351" t="s">
        <v>1280</v>
      </c>
      <c r="D372" s="352" t="s">
        <v>640</v>
      </c>
      <c r="E372" s="353">
        <f t="shared" si="8"/>
        <v>293.49880000000007</v>
      </c>
      <c r="F372" s="354"/>
      <c r="G372" s="355"/>
      <c r="H372" s="359"/>
      <c r="I372" s="356">
        <f>Таблица37[[#This Row],[Цена]]+Таблица37[[#This Row],[Трудозатраты]]</f>
        <v>293.49880000000007</v>
      </c>
      <c r="J372" s="357">
        <v>293.49880000000007</v>
      </c>
      <c r="K372" s="220" t="e">
        <f>VLOOKUP(Таблица37[[#This Row],[Оболочки]],'[3]Расчет себес оболочек'!$A$3:$E$35,5,0)</f>
        <v>#N/A</v>
      </c>
    </row>
    <row r="373" spans="2:11" x14ac:dyDescent="0.25">
      <c r="B373" s="350" t="s">
        <v>1281</v>
      </c>
      <c r="C373" s="351" t="s">
        <v>1282</v>
      </c>
      <c r="D373" s="352" t="s">
        <v>640</v>
      </c>
      <c r="E373" s="353">
        <f t="shared" si="8"/>
        <v>404.24720000000002</v>
      </c>
      <c r="F373" s="354"/>
      <c r="G373" s="355"/>
      <c r="H373" s="359"/>
      <c r="I373" s="356">
        <f>Таблица37[[#This Row],[Цена]]+Таблица37[[#This Row],[Трудозатраты]]</f>
        <v>404.24720000000002</v>
      </c>
      <c r="J373" s="357">
        <v>404.24720000000002</v>
      </c>
      <c r="K373" s="220" t="e">
        <f>VLOOKUP(Таблица37[[#This Row],[Оболочки]],'[3]Расчет себес оболочек'!$A$3:$E$35,5,0)</f>
        <v>#N/A</v>
      </c>
    </row>
    <row r="374" spans="2:11" x14ac:dyDescent="0.25">
      <c r="B374" s="350" t="s">
        <v>1283</v>
      </c>
      <c r="C374" s="351" t="s">
        <v>1284</v>
      </c>
      <c r="D374" s="352" t="s">
        <v>640</v>
      </c>
      <c r="E374" s="353">
        <f t="shared" si="8"/>
        <v>532.71120000000008</v>
      </c>
      <c r="F374" s="354"/>
      <c r="G374" s="355"/>
      <c r="H374" s="359"/>
      <c r="I374" s="356">
        <f>Таблица37[[#This Row],[Цена]]+Таблица37[[#This Row],[Трудозатраты]]</f>
        <v>532.71120000000008</v>
      </c>
      <c r="J374" s="357">
        <v>532.71120000000008</v>
      </c>
      <c r="K374" s="220" t="e">
        <f>VLOOKUP(Таблица37[[#This Row],[Оболочки]],'[3]Расчет себес оболочек'!$A$3:$E$35,5,0)</f>
        <v>#N/A</v>
      </c>
    </row>
    <row r="375" spans="2:11" x14ac:dyDescent="0.25">
      <c r="B375" s="350" t="s">
        <v>1285</v>
      </c>
      <c r="C375" s="351" t="s">
        <v>1286</v>
      </c>
      <c r="D375" s="352" t="s">
        <v>640</v>
      </c>
      <c r="E375" s="353">
        <f t="shared" si="8"/>
        <v>678.8907999999999</v>
      </c>
      <c r="F375" s="354"/>
      <c r="G375" s="355"/>
      <c r="H375" s="359"/>
      <c r="I375" s="356">
        <f>Таблица37[[#This Row],[Цена]]+Таблица37[[#This Row],[Трудозатраты]]</f>
        <v>678.8907999999999</v>
      </c>
      <c r="J375" s="357">
        <v>678.8907999999999</v>
      </c>
      <c r="K375" s="220" t="e">
        <f>VLOOKUP(Таблица37[[#This Row],[Оболочки]],'[3]Расчет себес оболочек'!$A$3:$E$35,5,0)</f>
        <v>#N/A</v>
      </c>
    </row>
    <row r="376" spans="2:11" x14ac:dyDescent="0.25">
      <c r="B376" s="350" t="s">
        <v>1287</v>
      </c>
      <c r="C376" s="351" t="s">
        <v>1288</v>
      </c>
      <c r="D376" s="352" t="s">
        <v>640</v>
      </c>
      <c r="E376" s="353">
        <f t="shared" si="8"/>
        <v>842.78600000000006</v>
      </c>
      <c r="F376" s="354"/>
      <c r="G376" s="355"/>
      <c r="H376" s="359"/>
      <c r="I376" s="356">
        <f>Таблица37[[#This Row],[Цена]]+Таблица37[[#This Row],[Трудозатраты]]</f>
        <v>842.78600000000006</v>
      </c>
      <c r="J376" s="357">
        <v>842.78600000000006</v>
      </c>
      <c r="K376" s="220" t="e">
        <f>VLOOKUP(Таблица37[[#This Row],[Оболочки]],'[3]Расчет себес оболочек'!$A$3:$E$35,5,0)</f>
        <v>#N/A</v>
      </c>
    </row>
    <row r="377" spans="2:11" x14ac:dyDescent="0.25">
      <c r="B377" s="350" t="s">
        <v>1289</v>
      </c>
      <c r="C377" s="351" t="s">
        <v>1290</v>
      </c>
      <c r="D377" s="352" t="s">
        <v>640</v>
      </c>
      <c r="E377" s="353">
        <f t="shared" si="8"/>
        <v>1024.3968</v>
      </c>
      <c r="F377" s="354"/>
      <c r="G377" s="355"/>
      <c r="H377" s="359"/>
      <c r="I377" s="356">
        <f>Таблица37[[#This Row],[Цена]]+Таблица37[[#This Row],[Трудозатраты]]</f>
        <v>1024.3968</v>
      </c>
      <c r="J377" s="357">
        <v>1024.3968</v>
      </c>
      <c r="K377" s="220" t="e">
        <f>VLOOKUP(Таблица37[[#This Row],[Оболочки]],'[3]Расчет себес оболочек'!$A$3:$E$35,5,0)</f>
        <v>#N/A</v>
      </c>
    </row>
    <row r="378" spans="2:11" x14ac:dyDescent="0.25">
      <c r="B378" s="350" t="s">
        <v>1291</v>
      </c>
      <c r="C378" s="351" t="s">
        <v>1292</v>
      </c>
      <c r="D378" s="352" t="s">
        <v>640</v>
      </c>
      <c r="E378" s="353">
        <f t="shared" si="8"/>
        <v>1024.3968</v>
      </c>
      <c r="F378" s="354"/>
      <c r="G378" s="355"/>
      <c r="H378" s="359"/>
      <c r="I378" s="356">
        <f>Таблица37[[#This Row],[Цена]]+Таблица37[[#This Row],[Трудозатраты]]</f>
        <v>1024.3968</v>
      </c>
      <c r="J378" s="357">
        <v>1024.3968</v>
      </c>
      <c r="K378" s="220" t="e">
        <f>VLOOKUP(Таблица37[[#This Row],[Оболочки]],'[3]Расчет себес оболочек'!$A$3:$E$35,5,0)</f>
        <v>#N/A</v>
      </c>
    </row>
    <row r="379" spans="2:11" x14ac:dyDescent="0.25">
      <c r="B379" s="350" t="s">
        <v>1293</v>
      </c>
      <c r="C379" s="351" t="s">
        <v>1294</v>
      </c>
      <c r="D379" s="352" t="s">
        <v>640</v>
      </c>
      <c r="E379" s="353">
        <f t="shared" si="8"/>
        <v>0.72520000000000007</v>
      </c>
      <c r="F379" s="354"/>
      <c r="G379" s="355"/>
      <c r="H379" s="359"/>
      <c r="I379" s="356">
        <f>Таблица37[[#This Row],[Цена]]+Таблица37[[#This Row],[Трудозатраты]]</f>
        <v>0.72520000000000007</v>
      </c>
      <c r="J379" s="357">
        <v>0.72520000000000007</v>
      </c>
      <c r="K379" s="220" t="e">
        <f>VLOOKUP(Таблица37[[#This Row],[Оболочки]],'[3]Расчет себес оболочек'!$A$3:$E$35,5,0)</f>
        <v>#N/A</v>
      </c>
    </row>
    <row r="380" spans="2:11" x14ac:dyDescent="0.25">
      <c r="B380" s="350" t="s">
        <v>1295</v>
      </c>
      <c r="C380" s="351" t="s">
        <v>1296</v>
      </c>
      <c r="D380" s="352" t="s">
        <v>640</v>
      </c>
      <c r="E380" s="353">
        <f t="shared" si="8"/>
        <v>1.2431999999999999</v>
      </c>
      <c r="F380" s="354"/>
      <c r="G380" s="355"/>
      <c r="H380" s="359"/>
      <c r="I380" s="356">
        <f>Таблица37[[#This Row],[Цена]]+Таблица37[[#This Row],[Трудозатраты]]</f>
        <v>1.2431999999999999</v>
      </c>
      <c r="J380" s="357">
        <v>1.2431999999999999</v>
      </c>
      <c r="K380" s="220" t="e">
        <f>VLOOKUP(Таблица37[[#This Row],[Оболочки]],'[3]Расчет себес оболочек'!$A$3:$E$35,5,0)</f>
        <v>#N/A</v>
      </c>
    </row>
    <row r="381" spans="2:11" x14ac:dyDescent="0.25">
      <c r="B381" s="350" t="s">
        <v>1297</v>
      </c>
      <c r="C381" s="351" t="s">
        <v>1298</v>
      </c>
      <c r="D381" s="352" t="s">
        <v>640</v>
      </c>
      <c r="E381" s="353">
        <f t="shared" si="8"/>
        <v>1.8647999999999998</v>
      </c>
      <c r="F381" s="354"/>
      <c r="G381" s="355"/>
      <c r="H381" s="359"/>
      <c r="I381" s="356">
        <f>Таблица37[[#This Row],[Цена]]+Таблица37[[#This Row],[Трудозатраты]]</f>
        <v>1.8647999999999998</v>
      </c>
      <c r="J381" s="357">
        <v>1.8647999999999998</v>
      </c>
      <c r="K381" s="220" t="e">
        <f>VLOOKUP(Таблица37[[#This Row],[Оболочки]],'[3]Расчет себес оболочек'!$A$3:$E$35,5,0)</f>
        <v>#N/A</v>
      </c>
    </row>
    <row r="382" spans="2:11" x14ac:dyDescent="0.25">
      <c r="B382" s="350" t="s">
        <v>1299</v>
      </c>
      <c r="C382" s="351" t="s">
        <v>1300</v>
      </c>
      <c r="D382" s="352" t="s">
        <v>640</v>
      </c>
      <c r="E382" s="353">
        <f t="shared" si="8"/>
        <v>2.5900000000000003</v>
      </c>
      <c r="F382" s="354"/>
      <c r="G382" s="355"/>
      <c r="H382" s="359"/>
      <c r="I382" s="356">
        <f>Таблица37[[#This Row],[Цена]]+Таблица37[[#This Row],[Трудозатраты]]</f>
        <v>2.5900000000000003</v>
      </c>
      <c r="J382" s="357">
        <v>2.5900000000000003</v>
      </c>
      <c r="K382" s="220" t="e">
        <f>VLOOKUP(Таблица37[[#This Row],[Оболочки]],'[3]Расчет себес оболочек'!$A$3:$E$35,5,0)</f>
        <v>#N/A</v>
      </c>
    </row>
    <row r="383" spans="2:11" x14ac:dyDescent="0.25">
      <c r="B383" s="350" t="s">
        <v>1301</v>
      </c>
      <c r="C383" s="351" t="s">
        <v>1302</v>
      </c>
      <c r="D383" s="352" t="s">
        <v>640</v>
      </c>
      <c r="E383" s="353">
        <f t="shared" si="8"/>
        <v>4.1440000000000001</v>
      </c>
      <c r="F383" s="354"/>
      <c r="G383" s="355"/>
      <c r="H383" s="359"/>
      <c r="I383" s="356">
        <f>Таблица37[[#This Row],[Цена]]+Таблица37[[#This Row],[Трудозатраты]]</f>
        <v>4.1440000000000001</v>
      </c>
      <c r="J383" s="357">
        <v>4.1440000000000001</v>
      </c>
      <c r="K383" s="220" t="e">
        <f>VLOOKUP(Таблица37[[#This Row],[Оболочки]],'[3]Расчет себес оболочек'!$A$3:$E$35,5,0)</f>
        <v>#N/A</v>
      </c>
    </row>
    <row r="384" spans="2:11" x14ac:dyDescent="0.25">
      <c r="B384" s="350" t="s">
        <v>1303</v>
      </c>
      <c r="C384" s="351" t="s">
        <v>1304</v>
      </c>
      <c r="D384" s="352" t="s">
        <v>640</v>
      </c>
      <c r="E384" s="353">
        <f t="shared" si="8"/>
        <v>6.5267999999999997</v>
      </c>
      <c r="F384" s="354"/>
      <c r="G384" s="355"/>
      <c r="H384" s="359"/>
      <c r="I384" s="356">
        <f>Таблица37[[#This Row],[Цена]]+Таблица37[[#This Row],[Трудозатраты]]</f>
        <v>6.5267999999999997</v>
      </c>
      <c r="J384" s="357">
        <v>6.5267999999999997</v>
      </c>
      <c r="K384" s="220" t="e">
        <f>VLOOKUP(Таблица37[[#This Row],[Оболочки]],'[3]Расчет себес оболочек'!$A$3:$E$35,5,0)</f>
        <v>#N/A</v>
      </c>
    </row>
    <row r="385" spans="1:11" x14ac:dyDescent="0.25">
      <c r="B385" s="350" t="s">
        <v>1305</v>
      </c>
      <c r="C385" s="351" t="s">
        <v>1306</v>
      </c>
      <c r="D385" s="352" t="s">
        <v>640</v>
      </c>
      <c r="E385" s="353">
        <f t="shared" si="8"/>
        <v>8.7024000000000008</v>
      </c>
      <c r="F385" s="354"/>
      <c r="G385" s="355"/>
      <c r="H385" s="359"/>
      <c r="I385" s="356">
        <f>Таблица37[[#This Row],[Цена]]+Таблица37[[#This Row],[Трудозатраты]]</f>
        <v>8.7024000000000008</v>
      </c>
      <c r="J385" s="357">
        <v>8.7024000000000008</v>
      </c>
      <c r="K385" s="220" t="e">
        <f>VLOOKUP(Таблица37[[#This Row],[Оболочки]],'[3]Расчет себес оболочек'!$A$3:$E$35,5,0)</f>
        <v>#N/A</v>
      </c>
    </row>
    <row r="386" spans="1:11" x14ac:dyDescent="0.25">
      <c r="B386" s="350" t="s">
        <v>1307</v>
      </c>
      <c r="C386" s="351" t="s">
        <v>1308</v>
      </c>
      <c r="D386" s="352" t="s">
        <v>640</v>
      </c>
      <c r="E386" s="353">
        <f t="shared" si="8"/>
        <v>24.967600000000001</v>
      </c>
      <c r="F386" s="354"/>
      <c r="G386" s="355"/>
      <c r="H386" s="359"/>
      <c r="I386" s="356">
        <f>Таблица37[[#This Row],[Цена]]+Таблица37[[#This Row],[Трудозатраты]]</f>
        <v>24.967600000000001</v>
      </c>
      <c r="J386" s="357">
        <v>24.967600000000001</v>
      </c>
      <c r="K386" s="220" t="e">
        <f>VLOOKUP(Таблица37[[#This Row],[Оболочки]],'[3]Расчет себес оболочек'!$A$3:$E$35,5,0)</f>
        <v>#N/A</v>
      </c>
    </row>
    <row r="387" spans="1:11" x14ac:dyDescent="0.25">
      <c r="B387" s="350" t="s">
        <v>1309</v>
      </c>
      <c r="C387" s="351" t="s">
        <v>1310</v>
      </c>
      <c r="D387" s="352" t="s">
        <v>640</v>
      </c>
      <c r="E387" s="353">
        <f t="shared" si="8"/>
        <v>35.638399999999997</v>
      </c>
      <c r="F387" s="354"/>
      <c r="G387" s="355"/>
      <c r="H387" s="359"/>
      <c r="I387" s="356">
        <f>Таблица37[[#This Row],[Цена]]+Таблица37[[#This Row],[Трудозатраты]]</f>
        <v>35.638399999999997</v>
      </c>
      <c r="J387" s="357">
        <v>35.638399999999997</v>
      </c>
      <c r="K387" s="220" t="e">
        <f>VLOOKUP(Таблица37[[#This Row],[Оболочки]],'[3]Расчет себес оболочек'!$A$3:$E$35,5,0)</f>
        <v>#N/A</v>
      </c>
    </row>
    <row r="388" spans="1:11" x14ac:dyDescent="0.25">
      <c r="B388" s="350" t="s">
        <v>1311</v>
      </c>
      <c r="C388" s="351" t="s">
        <v>1312</v>
      </c>
      <c r="D388" s="352" t="s">
        <v>640</v>
      </c>
      <c r="E388" s="353">
        <f t="shared" si="8"/>
        <v>37.6068</v>
      </c>
      <c r="F388" s="354"/>
      <c r="G388" s="355"/>
      <c r="H388" s="359"/>
      <c r="I388" s="356">
        <f>Таблица37[[#This Row],[Цена]]+Таблица37[[#This Row],[Трудозатраты]]</f>
        <v>37.6068</v>
      </c>
      <c r="J388" s="357">
        <v>37.6068</v>
      </c>
      <c r="K388" s="220" t="e">
        <f>VLOOKUP(Таблица37[[#This Row],[Оболочки]],'[3]Расчет себес оболочек'!$A$3:$E$35,5,0)</f>
        <v>#N/A</v>
      </c>
    </row>
    <row r="389" spans="1:11" x14ac:dyDescent="0.25">
      <c r="B389" s="350" t="s">
        <v>1313</v>
      </c>
      <c r="C389" s="351" t="s">
        <v>1314</v>
      </c>
      <c r="D389" s="352" t="s">
        <v>640</v>
      </c>
      <c r="E389" s="353">
        <f t="shared" si="8"/>
        <v>51.903600000000004</v>
      </c>
      <c r="F389" s="354"/>
      <c r="G389" s="355"/>
      <c r="H389" s="359"/>
      <c r="I389" s="356">
        <f>Таблица37[[#This Row],[Цена]]+Таблица37[[#This Row],[Трудозатраты]]</f>
        <v>51.903600000000004</v>
      </c>
      <c r="J389" s="357">
        <v>51.903600000000004</v>
      </c>
      <c r="K389" s="220" t="e">
        <f>VLOOKUP(Таблица37[[#This Row],[Оболочки]],'[3]Расчет себес оболочек'!$A$3:$E$35,5,0)</f>
        <v>#N/A</v>
      </c>
    </row>
    <row r="390" spans="1:11" x14ac:dyDescent="0.25">
      <c r="B390" s="350" t="s">
        <v>1315</v>
      </c>
      <c r="C390" s="351" t="s">
        <v>1316</v>
      </c>
      <c r="D390" s="352" t="s">
        <v>640</v>
      </c>
      <c r="E390" s="353">
        <f t="shared" si="8"/>
        <v>61.745599999999996</v>
      </c>
      <c r="F390" s="354"/>
      <c r="G390" s="355"/>
      <c r="H390" s="359"/>
      <c r="I390" s="356">
        <f>Таблица37[[#This Row],[Цена]]+Таблица37[[#This Row],[Трудозатраты]]</f>
        <v>61.745599999999996</v>
      </c>
      <c r="J390" s="357">
        <v>61.745599999999996</v>
      </c>
      <c r="K390" s="220" t="e">
        <f>VLOOKUP(Таблица37[[#This Row],[Оболочки]],'[3]Расчет себес оболочек'!$A$3:$E$35,5,0)</f>
        <v>#N/A</v>
      </c>
    </row>
    <row r="391" spans="1:11" x14ac:dyDescent="0.25">
      <c r="B391" s="350" t="s">
        <v>1317</v>
      </c>
      <c r="C391" s="351" t="s">
        <v>1318</v>
      </c>
      <c r="D391" s="352" t="s">
        <v>640</v>
      </c>
      <c r="E391" s="353">
        <f t="shared" si="8"/>
        <v>90.65</v>
      </c>
      <c r="F391" s="354"/>
      <c r="G391" s="355"/>
      <c r="H391" s="359"/>
      <c r="I391" s="356">
        <f>Таблица37[[#This Row],[Цена]]+Таблица37[[#This Row],[Трудозатраты]]</f>
        <v>90.65</v>
      </c>
      <c r="J391" s="357">
        <v>90.65</v>
      </c>
      <c r="K391" s="220" t="e">
        <f>VLOOKUP(Таблица37[[#This Row],[Оболочки]],'[3]Расчет себес оболочек'!$A$3:$E$35,5,0)</f>
        <v>#N/A</v>
      </c>
    </row>
    <row r="392" spans="1:11" x14ac:dyDescent="0.25">
      <c r="B392" s="350" t="s">
        <v>1319</v>
      </c>
      <c r="C392" s="351" t="s">
        <v>1320</v>
      </c>
      <c r="D392" s="352" t="s">
        <v>640</v>
      </c>
      <c r="E392" s="353">
        <f t="shared" si="8"/>
        <v>99.455999999999989</v>
      </c>
      <c r="F392" s="354"/>
      <c r="G392" s="355"/>
      <c r="H392" s="359"/>
      <c r="I392" s="356">
        <f>Таблица37[[#This Row],[Цена]]+Таблица37[[#This Row],[Трудозатраты]]</f>
        <v>99.455999999999989</v>
      </c>
      <c r="J392" s="357">
        <v>99.455999999999989</v>
      </c>
      <c r="K392" s="220" t="e">
        <f>VLOOKUP(Таблица37[[#This Row],[Оболочки]],'[3]Расчет себес оболочек'!$A$3:$E$35,5,0)</f>
        <v>#N/A</v>
      </c>
    </row>
    <row r="393" spans="1:11" x14ac:dyDescent="0.25">
      <c r="A393" s="221">
        <v>12</v>
      </c>
      <c r="B393" s="350" t="s">
        <v>1321</v>
      </c>
      <c r="C393" s="351" t="s">
        <v>1322</v>
      </c>
      <c r="D393" s="352" t="s">
        <v>640</v>
      </c>
      <c r="E393" s="353">
        <f t="shared" si="8"/>
        <v>188.14</v>
      </c>
      <c r="F393" s="354"/>
      <c r="G393" s="358" t="s">
        <v>2318</v>
      </c>
      <c r="H393" s="359">
        <f>VLOOKUP(A393,Таблы!$O$265:$S$275,5,0)</f>
        <v>86.399999999999991</v>
      </c>
      <c r="I393" s="356">
        <f>Таблица37[[#This Row],[Цена]]+Таблица37[[#This Row],[Трудозатраты]]</f>
        <v>274.53999999999996</v>
      </c>
      <c r="J393" s="357">
        <v>188.14</v>
      </c>
      <c r="K393" s="220" t="e">
        <f>VLOOKUP(Таблица37[[#This Row],[Оболочки]],'[3]Расчет себес оболочек'!$A$3:$E$35,5,0)</f>
        <v>#N/A</v>
      </c>
    </row>
    <row r="394" spans="1:11" x14ac:dyDescent="0.25">
      <c r="A394" s="221">
        <v>12</v>
      </c>
      <c r="B394" s="350" t="s">
        <v>1323</v>
      </c>
      <c r="C394" s="351" t="s">
        <v>1324</v>
      </c>
      <c r="D394" s="352" t="s">
        <v>640</v>
      </c>
      <c r="E394" s="353">
        <f t="shared" si="8"/>
        <v>188.14</v>
      </c>
      <c r="F394" s="354"/>
      <c r="G394" s="358" t="s">
        <v>2318</v>
      </c>
      <c r="H394" s="359">
        <f>VLOOKUP(A394,Таблы!$O$265:$S$275,5,0)</f>
        <v>86.399999999999991</v>
      </c>
      <c r="I394" s="356">
        <f>Таблица37[[#This Row],[Цена]]+Таблица37[[#This Row],[Трудозатраты]]</f>
        <v>274.53999999999996</v>
      </c>
      <c r="J394" s="357">
        <v>188.14</v>
      </c>
      <c r="K394" s="220" t="e">
        <f>VLOOKUP(Таблица37[[#This Row],[Оболочки]],'[3]Расчет себес оболочек'!$A$3:$E$35,5,0)</f>
        <v>#N/A</v>
      </c>
    </row>
    <row r="395" spans="1:11" x14ac:dyDescent="0.25">
      <c r="B395" s="350" t="s">
        <v>1325</v>
      </c>
      <c r="C395" s="351" t="s">
        <v>1326</v>
      </c>
      <c r="D395" s="352" t="s">
        <v>640</v>
      </c>
      <c r="E395" s="353">
        <f t="shared" si="8"/>
        <v>188.14</v>
      </c>
      <c r="F395" s="354"/>
      <c r="G395" s="358" t="s">
        <v>2318</v>
      </c>
      <c r="H395" s="359"/>
      <c r="I395" s="356">
        <f>Таблица37[[#This Row],[Цена]]+Таблица37[[#This Row],[Трудозатраты]]</f>
        <v>188.14</v>
      </c>
      <c r="J395" s="357">
        <v>188.14</v>
      </c>
      <c r="K395" s="220" t="e">
        <f>VLOOKUP(Таблица37[[#This Row],[Оболочки]],'[3]Расчет себес оболочек'!$A$3:$E$35,5,0)</f>
        <v>#N/A</v>
      </c>
    </row>
    <row r="396" spans="1:11" x14ac:dyDescent="0.25">
      <c r="B396" s="350" t="s">
        <v>1327</v>
      </c>
      <c r="C396" s="351" t="s">
        <v>1328</v>
      </c>
      <c r="D396" s="352" t="s">
        <v>640</v>
      </c>
      <c r="E396" s="353">
        <f t="shared" si="8"/>
        <v>188.14</v>
      </c>
      <c r="F396" s="354"/>
      <c r="G396" s="358" t="s">
        <v>2318</v>
      </c>
      <c r="H396" s="359"/>
      <c r="I396" s="356">
        <f>Таблица37[[#This Row],[Цена]]+Таблица37[[#This Row],[Трудозатраты]]</f>
        <v>188.14</v>
      </c>
      <c r="J396" s="357">
        <v>188.14</v>
      </c>
      <c r="K396" s="220" t="e">
        <f>VLOOKUP(Таблица37[[#This Row],[Оболочки]],'[3]Расчет себес оболочек'!$A$3:$E$35,5,0)</f>
        <v>#N/A</v>
      </c>
    </row>
    <row r="397" spans="1:11" x14ac:dyDescent="0.25">
      <c r="B397" s="350" t="s">
        <v>1329</v>
      </c>
      <c r="C397" s="351" t="s">
        <v>1330</v>
      </c>
      <c r="D397" s="352" t="s">
        <v>640</v>
      </c>
      <c r="E397" s="353">
        <f t="shared" si="8"/>
        <v>188.14</v>
      </c>
      <c r="F397" s="354"/>
      <c r="G397" s="358" t="s">
        <v>2318</v>
      </c>
      <c r="H397" s="359"/>
      <c r="I397" s="356">
        <f>Таблица37[[#This Row],[Цена]]+Таблица37[[#This Row],[Трудозатраты]]</f>
        <v>188.14</v>
      </c>
      <c r="J397" s="357">
        <v>188.14</v>
      </c>
      <c r="K397" s="220" t="e">
        <f>VLOOKUP(Таблица37[[#This Row],[Оболочки]],'[3]Расчет себес оболочек'!$A$3:$E$35,5,0)</f>
        <v>#N/A</v>
      </c>
    </row>
    <row r="398" spans="1:11" x14ac:dyDescent="0.25">
      <c r="B398" s="350" t="s">
        <v>1331</v>
      </c>
      <c r="C398" s="351" t="s">
        <v>1332</v>
      </c>
      <c r="D398" s="352" t="s">
        <v>640</v>
      </c>
      <c r="E398" s="353">
        <f t="shared" si="8"/>
        <v>188.14</v>
      </c>
      <c r="F398" s="354"/>
      <c r="G398" s="358" t="s">
        <v>2318</v>
      </c>
      <c r="H398" s="359"/>
      <c r="I398" s="356">
        <f>Таблица37[[#This Row],[Цена]]+Таблица37[[#This Row],[Трудозатраты]]</f>
        <v>188.14</v>
      </c>
      <c r="J398" s="357">
        <v>188.14</v>
      </c>
      <c r="K398" s="220" t="e">
        <f>VLOOKUP(Таблица37[[#This Row],[Оболочки]],'[3]Расчет себес оболочек'!$A$3:$E$35,5,0)</f>
        <v>#N/A</v>
      </c>
    </row>
    <row r="399" spans="1:11" x14ac:dyDescent="0.25">
      <c r="B399" s="350" t="s">
        <v>1333</v>
      </c>
      <c r="C399" s="351" t="s">
        <v>1334</v>
      </c>
      <c r="D399" s="352" t="s">
        <v>640</v>
      </c>
      <c r="E399" s="353">
        <f t="shared" si="8"/>
        <v>188.14</v>
      </c>
      <c r="F399" s="354"/>
      <c r="G399" s="358" t="s">
        <v>2318</v>
      </c>
      <c r="H399" s="359"/>
      <c r="I399" s="356">
        <f>Таблица37[[#This Row],[Цена]]+Таблица37[[#This Row],[Трудозатраты]]</f>
        <v>188.14</v>
      </c>
      <c r="J399" s="357">
        <v>188.14</v>
      </c>
      <c r="K399" s="220" t="e">
        <f>VLOOKUP(Таблица37[[#This Row],[Оболочки]],'[3]Расчет себес оболочек'!$A$3:$E$35,5,0)</f>
        <v>#N/A</v>
      </c>
    </row>
    <row r="400" spans="1:11" x14ac:dyDescent="0.25">
      <c r="B400" s="350" t="s">
        <v>1335</v>
      </c>
      <c r="C400" s="351" t="s">
        <v>1336</v>
      </c>
      <c r="D400" s="352" t="s">
        <v>640</v>
      </c>
      <c r="E400" s="353">
        <f t="shared" si="8"/>
        <v>188.14</v>
      </c>
      <c r="F400" s="354"/>
      <c r="G400" s="358" t="s">
        <v>2318</v>
      </c>
      <c r="H400" s="359"/>
      <c r="I400" s="356">
        <f>Таблица37[[#This Row],[Цена]]+Таблица37[[#This Row],[Трудозатраты]]</f>
        <v>188.14</v>
      </c>
      <c r="J400" s="357">
        <v>188.14</v>
      </c>
      <c r="K400" s="220" t="e">
        <f>VLOOKUP(Таблица37[[#This Row],[Оболочки]],'[3]Расчет себес оболочек'!$A$3:$E$35,5,0)</f>
        <v>#N/A</v>
      </c>
    </row>
    <row r="401" spans="1:11" x14ac:dyDescent="0.25">
      <c r="A401" s="221">
        <v>16</v>
      </c>
      <c r="B401" s="350" t="s">
        <v>1337</v>
      </c>
      <c r="C401" s="351" t="s">
        <v>1338</v>
      </c>
      <c r="D401" s="352" t="s">
        <v>640</v>
      </c>
      <c r="E401" s="353">
        <f t="shared" si="8"/>
        <v>188.14</v>
      </c>
      <c r="F401" s="354"/>
      <c r="G401" s="358" t="s">
        <v>2318</v>
      </c>
      <c r="H401" s="359">
        <f>VLOOKUP(A401,Таблы!$O$265:$S$275,5,0)</f>
        <v>95.04</v>
      </c>
      <c r="I401" s="356">
        <f>Таблица37[[#This Row],[Цена]]+Таблица37[[#This Row],[Трудозатраты]]</f>
        <v>283.18</v>
      </c>
      <c r="J401" s="357">
        <v>188.14</v>
      </c>
      <c r="K401" s="220" t="e">
        <f>VLOOKUP(Таблица37[[#This Row],[Оболочки]],'[3]Расчет себес оболочек'!$A$3:$E$35,5,0)</f>
        <v>#N/A</v>
      </c>
    </row>
    <row r="402" spans="1:11" x14ac:dyDescent="0.25">
      <c r="A402" s="221">
        <v>16</v>
      </c>
      <c r="B402" s="350" t="s">
        <v>1339</v>
      </c>
      <c r="C402" s="351" t="s">
        <v>1340</v>
      </c>
      <c r="D402" s="352" t="s">
        <v>640</v>
      </c>
      <c r="E402" s="353">
        <f t="shared" ref="E402:E465" si="9">J402</f>
        <v>188.14</v>
      </c>
      <c r="F402" s="354"/>
      <c r="G402" s="358" t="s">
        <v>2318</v>
      </c>
      <c r="H402" s="359">
        <f>VLOOKUP(A402,Таблы!$O$265:$S$275,5,0)</f>
        <v>95.04</v>
      </c>
      <c r="I402" s="356">
        <f>Таблица37[[#This Row],[Цена]]+Таблица37[[#This Row],[Трудозатраты]]</f>
        <v>283.18</v>
      </c>
      <c r="J402" s="357">
        <v>188.14</v>
      </c>
      <c r="K402" s="220" t="e">
        <f>VLOOKUP(Таблица37[[#This Row],[Оболочки]],'[3]Расчет себес оболочек'!$A$3:$E$35,5,0)</f>
        <v>#N/A</v>
      </c>
    </row>
    <row r="403" spans="1:11" x14ac:dyDescent="0.25">
      <c r="A403" s="221">
        <v>16</v>
      </c>
      <c r="B403" s="350" t="s">
        <v>1341</v>
      </c>
      <c r="C403" s="351" t="s">
        <v>1342</v>
      </c>
      <c r="D403" s="352" t="s">
        <v>640</v>
      </c>
      <c r="E403" s="353">
        <f t="shared" si="9"/>
        <v>188.14</v>
      </c>
      <c r="F403" s="354"/>
      <c r="G403" s="358" t="s">
        <v>2318</v>
      </c>
      <c r="H403" s="359">
        <f>VLOOKUP(A403,Таблы!$O$265:$S$275,5,0)</f>
        <v>95.04</v>
      </c>
      <c r="I403" s="356">
        <f>Таблица37[[#This Row],[Цена]]+Таблица37[[#This Row],[Трудозатраты]]</f>
        <v>283.18</v>
      </c>
      <c r="J403" s="357">
        <v>188.14</v>
      </c>
      <c r="K403" s="220" t="e">
        <f>VLOOKUP(Таблица37[[#This Row],[Оболочки]],'[3]Расчет себес оболочек'!$A$3:$E$35,5,0)</f>
        <v>#N/A</v>
      </c>
    </row>
    <row r="404" spans="1:11" x14ac:dyDescent="0.25">
      <c r="B404" s="350" t="s">
        <v>1343</v>
      </c>
      <c r="C404" s="351" t="s">
        <v>1344</v>
      </c>
      <c r="D404" s="352" t="s">
        <v>640</v>
      </c>
      <c r="E404" s="353">
        <f t="shared" si="9"/>
        <v>188.14</v>
      </c>
      <c r="F404" s="354"/>
      <c r="G404" s="358" t="s">
        <v>2318</v>
      </c>
      <c r="H404" s="359"/>
      <c r="I404" s="356">
        <f>Таблица37[[#This Row],[Цена]]+Таблица37[[#This Row],[Трудозатраты]]</f>
        <v>188.14</v>
      </c>
      <c r="J404" s="357">
        <v>188.14</v>
      </c>
      <c r="K404" s="220" t="e">
        <f>VLOOKUP(Таблица37[[#This Row],[Оболочки]],'[3]Расчет себес оболочек'!$A$3:$E$35,5,0)</f>
        <v>#N/A</v>
      </c>
    </row>
    <row r="405" spans="1:11" x14ac:dyDescent="0.25">
      <c r="B405" s="350" t="s">
        <v>1345</v>
      </c>
      <c r="C405" s="351" t="s">
        <v>1346</v>
      </c>
      <c r="D405" s="352" t="s">
        <v>640</v>
      </c>
      <c r="E405" s="353">
        <f t="shared" si="9"/>
        <v>188.14</v>
      </c>
      <c r="F405" s="354"/>
      <c r="G405" s="358" t="s">
        <v>2318</v>
      </c>
      <c r="H405" s="359"/>
      <c r="I405" s="356">
        <f>Таблица37[[#This Row],[Цена]]+Таблица37[[#This Row],[Трудозатраты]]</f>
        <v>188.14</v>
      </c>
      <c r="J405" s="357">
        <v>188.14</v>
      </c>
      <c r="K405" s="220" t="e">
        <f>VLOOKUP(Таблица37[[#This Row],[Оболочки]],'[3]Расчет себес оболочек'!$A$3:$E$35,5,0)</f>
        <v>#N/A</v>
      </c>
    </row>
    <row r="406" spans="1:11" x14ac:dyDescent="0.25">
      <c r="B406" s="350" t="s">
        <v>1347</v>
      </c>
      <c r="C406" s="351" t="s">
        <v>1348</v>
      </c>
      <c r="D406" s="352" t="s">
        <v>640</v>
      </c>
      <c r="E406" s="353">
        <f t="shared" si="9"/>
        <v>188.14</v>
      </c>
      <c r="F406" s="354"/>
      <c r="G406" s="358" t="s">
        <v>2318</v>
      </c>
      <c r="H406" s="359"/>
      <c r="I406" s="356">
        <f>Таблица37[[#This Row],[Цена]]+Таблица37[[#This Row],[Трудозатраты]]</f>
        <v>188.14</v>
      </c>
      <c r="J406" s="357">
        <v>188.14</v>
      </c>
      <c r="K406" s="220" t="e">
        <f>VLOOKUP(Таблица37[[#This Row],[Оболочки]],'[3]Расчет себес оболочек'!$A$3:$E$35,5,0)</f>
        <v>#N/A</v>
      </c>
    </row>
    <row r="407" spans="1:11" x14ac:dyDescent="0.25">
      <c r="B407" s="350" t="s">
        <v>1349</v>
      </c>
      <c r="C407" s="351" t="s">
        <v>1350</v>
      </c>
      <c r="D407" s="352" t="s">
        <v>640</v>
      </c>
      <c r="E407" s="353">
        <f t="shared" si="9"/>
        <v>188.14</v>
      </c>
      <c r="F407" s="354"/>
      <c r="G407" s="358" t="s">
        <v>2318</v>
      </c>
      <c r="H407" s="359"/>
      <c r="I407" s="356">
        <f>Таблица37[[#This Row],[Цена]]+Таблица37[[#This Row],[Трудозатраты]]</f>
        <v>188.14</v>
      </c>
      <c r="J407" s="357">
        <v>188.14</v>
      </c>
      <c r="K407" s="220" t="e">
        <f>VLOOKUP(Таблица37[[#This Row],[Оболочки]],'[3]Расчет себес оболочек'!$A$3:$E$35,5,0)</f>
        <v>#N/A</v>
      </c>
    </row>
    <row r="408" spans="1:11" x14ac:dyDescent="0.25">
      <c r="B408" s="350" t="s">
        <v>1351</v>
      </c>
      <c r="C408" s="351" t="s">
        <v>1352</v>
      </c>
      <c r="D408" s="352" t="s">
        <v>640</v>
      </c>
      <c r="E408" s="353">
        <f t="shared" si="9"/>
        <v>188.14</v>
      </c>
      <c r="F408" s="354"/>
      <c r="G408" s="358" t="s">
        <v>2318</v>
      </c>
      <c r="H408" s="359"/>
      <c r="I408" s="356">
        <f>Таблица37[[#This Row],[Цена]]+Таблица37[[#This Row],[Трудозатраты]]</f>
        <v>188.14</v>
      </c>
      <c r="J408" s="357">
        <v>188.14</v>
      </c>
      <c r="K408" s="220" t="e">
        <f>VLOOKUP(Таблица37[[#This Row],[Оболочки]],'[3]Расчет себес оболочек'!$A$3:$E$35,5,0)</f>
        <v>#N/A</v>
      </c>
    </row>
    <row r="409" spans="1:11" x14ac:dyDescent="0.25">
      <c r="B409" s="350" t="s">
        <v>1353</v>
      </c>
      <c r="C409" s="351" t="s">
        <v>1354</v>
      </c>
      <c r="D409" s="352" t="s">
        <v>640</v>
      </c>
      <c r="E409" s="353">
        <f t="shared" si="9"/>
        <v>188.14</v>
      </c>
      <c r="F409" s="354"/>
      <c r="G409" s="358" t="s">
        <v>2318</v>
      </c>
      <c r="H409" s="359"/>
      <c r="I409" s="356">
        <f>Таблица37[[#This Row],[Цена]]+Таблица37[[#This Row],[Трудозатраты]]</f>
        <v>188.14</v>
      </c>
      <c r="J409" s="357">
        <v>188.14</v>
      </c>
      <c r="K409" s="220" t="e">
        <f>VLOOKUP(Таблица37[[#This Row],[Оболочки]],'[3]Расчет себес оболочек'!$A$3:$E$35,5,0)</f>
        <v>#N/A</v>
      </c>
    </row>
    <row r="410" spans="1:11" x14ac:dyDescent="0.25">
      <c r="B410" s="350" t="s">
        <v>1355</v>
      </c>
      <c r="C410" s="351" t="s">
        <v>1356</v>
      </c>
      <c r="D410" s="352" t="s">
        <v>640</v>
      </c>
      <c r="E410" s="353">
        <f t="shared" si="9"/>
        <v>188.14</v>
      </c>
      <c r="F410" s="354"/>
      <c r="G410" s="358" t="s">
        <v>2318</v>
      </c>
      <c r="H410" s="359"/>
      <c r="I410" s="356">
        <f>Таблица37[[#This Row],[Цена]]+Таблица37[[#This Row],[Трудозатраты]]</f>
        <v>188.14</v>
      </c>
      <c r="J410" s="357">
        <v>188.14</v>
      </c>
      <c r="K410" s="220" t="e">
        <f>VLOOKUP(Таблица37[[#This Row],[Оболочки]],'[3]Расчет себес оболочек'!$A$3:$E$35,5,0)</f>
        <v>#N/A</v>
      </c>
    </row>
    <row r="411" spans="1:11" x14ac:dyDescent="0.25">
      <c r="B411" s="350" t="s">
        <v>1357</v>
      </c>
      <c r="C411" s="351" t="s">
        <v>1358</v>
      </c>
      <c r="D411" s="352" t="s">
        <v>640</v>
      </c>
      <c r="E411" s="353">
        <f t="shared" si="9"/>
        <v>188.14</v>
      </c>
      <c r="F411" s="354"/>
      <c r="G411" s="358" t="s">
        <v>2318</v>
      </c>
      <c r="H411" s="359"/>
      <c r="I411" s="356">
        <f>Таблица37[[#This Row],[Цена]]+Таблица37[[#This Row],[Трудозатраты]]</f>
        <v>188.14</v>
      </c>
      <c r="J411" s="357">
        <v>188.14</v>
      </c>
      <c r="K411" s="220" t="e">
        <f>VLOOKUP(Таблица37[[#This Row],[Оболочки]],'[3]Расчет себес оболочек'!$A$3:$E$35,5,0)</f>
        <v>#N/A</v>
      </c>
    </row>
    <row r="412" spans="1:11" x14ac:dyDescent="0.25">
      <c r="B412" s="350" t="s">
        <v>1359</v>
      </c>
      <c r="C412" s="351" t="s">
        <v>1360</v>
      </c>
      <c r="D412" s="352" t="s">
        <v>640</v>
      </c>
      <c r="E412" s="353">
        <f t="shared" si="9"/>
        <v>188.14</v>
      </c>
      <c r="F412" s="354"/>
      <c r="G412" s="358" t="s">
        <v>2318</v>
      </c>
      <c r="H412" s="359"/>
      <c r="I412" s="356">
        <f>Таблица37[[#This Row],[Цена]]+Таблица37[[#This Row],[Трудозатраты]]</f>
        <v>188.14</v>
      </c>
      <c r="J412" s="357">
        <v>188.14</v>
      </c>
      <c r="K412" s="220" t="e">
        <f>VLOOKUP(Таблица37[[#This Row],[Оболочки]],'[3]Расчет себес оболочек'!$A$3:$E$35,5,0)</f>
        <v>#N/A</v>
      </c>
    </row>
    <row r="413" spans="1:11" x14ac:dyDescent="0.25">
      <c r="B413" s="350" t="s">
        <v>1361</v>
      </c>
      <c r="C413" s="351" t="s">
        <v>1362</v>
      </c>
      <c r="D413" s="352" t="s">
        <v>640</v>
      </c>
      <c r="E413" s="353">
        <f t="shared" si="9"/>
        <v>188.14</v>
      </c>
      <c r="F413" s="354"/>
      <c r="G413" s="358" t="s">
        <v>2318</v>
      </c>
      <c r="H413" s="359"/>
      <c r="I413" s="356">
        <f>Таблица37[[#This Row],[Цена]]+Таблица37[[#This Row],[Трудозатраты]]</f>
        <v>188.14</v>
      </c>
      <c r="J413" s="357">
        <v>188.14</v>
      </c>
      <c r="K413" s="220" t="e">
        <f>VLOOKUP(Таблица37[[#This Row],[Оболочки]],'[3]Расчет себес оболочек'!$A$3:$E$35,5,0)</f>
        <v>#N/A</v>
      </c>
    </row>
    <row r="414" spans="1:11" x14ac:dyDescent="0.25">
      <c r="B414" s="350" t="s">
        <v>1363</v>
      </c>
      <c r="C414" s="351" t="s">
        <v>1364</v>
      </c>
      <c r="D414" s="352" t="s">
        <v>640</v>
      </c>
      <c r="E414" s="353">
        <f t="shared" si="9"/>
        <v>188.14</v>
      </c>
      <c r="F414" s="354"/>
      <c r="G414" s="358" t="s">
        <v>2318</v>
      </c>
      <c r="H414" s="359"/>
      <c r="I414" s="356">
        <f>Таблица37[[#This Row],[Цена]]+Таблица37[[#This Row],[Трудозатраты]]</f>
        <v>188.14</v>
      </c>
      <c r="J414" s="357">
        <v>188.14</v>
      </c>
      <c r="K414" s="220" t="e">
        <f>VLOOKUP(Таблица37[[#This Row],[Оболочки]],'[3]Расчет себес оболочек'!$A$3:$E$35,5,0)</f>
        <v>#N/A</v>
      </c>
    </row>
    <row r="415" spans="1:11" x14ac:dyDescent="0.25">
      <c r="B415" s="350" t="s">
        <v>1365</v>
      </c>
      <c r="C415" s="351" t="s">
        <v>1366</v>
      </c>
      <c r="D415" s="352" t="s">
        <v>640</v>
      </c>
      <c r="E415" s="353">
        <f t="shared" si="9"/>
        <v>188.14</v>
      </c>
      <c r="F415" s="354"/>
      <c r="G415" s="358" t="s">
        <v>2318</v>
      </c>
      <c r="H415" s="359"/>
      <c r="I415" s="356">
        <f>Таблица37[[#This Row],[Цена]]+Таблица37[[#This Row],[Трудозатраты]]</f>
        <v>188.14</v>
      </c>
      <c r="J415" s="357">
        <v>188.14</v>
      </c>
      <c r="K415" s="220" t="e">
        <f>VLOOKUP(Таблица37[[#This Row],[Оболочки]],'[3]Расчет себес оболочек'!$A$3:$E$35,5,0)</f>
        <v>#N/A</v>
      </c>
    </row>
    <row r="416" spans="1:11" x14ac:dyDescent="0.25">
      <c r="B416" s="350" t="s">
        <v>1367</v>
      </c>
      <c r="C416" s="351" t="s">
        <v>1368</v>
      </c>
      <c r="D416" s="352" t="s">
        <v>640</v>
      </c>
      <c r="E416" s="353">
        <f t="shared" si="9"/>
        <v>188.14</v>
      </c>
      <c r="F416" s="354"/>
      <c r="G416" s="358" t="s">
        <v>2318</v>
      </c>
      <c r="H416" s="359"/>
      <c r="I416" s="356">
        <f>Таблица37[[#This Row],[Цена]]+Таблица37[[#This Row],[Трудозатраты]]</f>
        <v>188.14</v>
      </c>
      <c r="J416" s="357">
        <v>188.14</v>
      </c>
      <c r="K416" s="220" t="e">
        <f>VLOOKUP(Таблица37[[#This Row],[Оболочки]],'[3]Расчет себес оболочек'!$A$3:$E$35,5,0)</f>
        <v>#N/A</v>
      </c>
    </row>
    <row r="417" spans="2:11" x14ac:dyDescent="0.25">
      <c r="B417" s="350" t="s">
        <v>1369</v>
      </c>
      <c r="C417" s="351" t="s">
        <v>1370</v>
      </c>
      <c r="D417" s="352" t="s">
        <v>640</v>
      </c>
      <c r="E417" s="353">
        <f t="shared" si="9"/>
        <v>188.14</v>
      </c>
      <c r="F417" s="354"/>
      <c r="G417" s="358" t="s">
        <v>2318</v>
      </c>
      <c r="H417" s="359"/>
      <c r="I417" s="356">
        <f>Таблица37[[#This Row],[Цена]]+Таблица37[[#This Row],[Трудозатраты]]</f>
        <v>188.14</v>
      </c>
      <c r="J417" s="357">
        <v>188.14</v>
      </c>
      <c r="K417" s="220" t="e">
        <f>VLOOKUP(Таблица37[[#This Row],[Оболочки]],'[3]Расчет себес оболочек'!$A$3:$E$35,5,0)</f>
        <v>#N/A</v>
      </c>
    </row>
    <row r="418" spans="2:11" x14ac:dyDescent="0.25">
      <c r="B418" s="350" t="s">
        <v>1371</v>
      </c>
      <c r="C418" s="351" t="s">
        <v>1372</v>
      </c>
      <c r="D418" s="352" t="s">
        <v>640</v>
      </c>
      <c r="E418" s="353">
        <f t="shared" si="9"/>
        <v>188.14</v>
      </c>
      <c r="F418" s="354"/>
      <c r="G418" s="358" t="s">
        <v>2318</v>
      </c>
      <c r="H418" s="359"/>
      <c r="I418" s="356">
        <f>Таблица37[[#This Row],[Цена]]+Таблица37[[#This Row],[Трудозатраты]]</f>
        <v>188.14</v>
      </c>
      <c r="J418" s="357">
        <v>188.14</v>
      </c>
      <c r="K418" s="220" t="e">
        <f>VLOOKUP(Таблица37[[#This Row],[Оболочки]],'[3]Расчет себес оболочек'!$A$3:$E$35,5,0)</f>
        <v>#N/A</v>
      </c>
    </row>
    <row r="419" spans="2:11" x14ac:dyDescent="0.25">
      <c r="B419" s="350" t="s">
        <v>1373</v>
      </c>
      <c r="C419" s="351" t="s">
        <v>1374</v>
      </c>
      <c r="D419" s="352" t="s">
        <v>640</v>
      </c>
      <c r="E419" s="353">
        <f t="shared" si="9"/>
        <v>188.14</v>
      </c>
      <c r="F419" s="354"/>
      <c r="G419" s="358" t="s">
        <v>2318</v>
      </c>
      <c r="H419" s="359"/>
      <c r="I419" s="356">
        <f>Таблица37[[#This Row],[Цена]]+Таблица37[[#This Row],[Трудозатраты]]</f>
        <v>188.14</v>
      </c>
      <c r="J419" s="357">
        <v>188.14</v>
      </c>
      <c r="K419" s="220" t="e">
        <f>VLOOKUP(Таблица37[[#This Row],[Оболочки]],'[3]Расчет себес оболочек'!$A$3:$E$35,5,0)</f>
        <v>#N/A</v>
      </c>
    </row>
    <row r="420" spans="2:11" x14ac:dyDescent="0.25">
      <c r="B420" s="350" t="s">
        <v>2549</v>
      </c>
      <c r="C420" s="351" t="s">
        <v>1375</v>
      </c>
      <c r="D420" s="352" t="s">
        <v>640</v>
      </c>
      <c r="E420" s="353">
        <f t="shared" si="9"/>
        <v>188.14</v>
      </c>
      <c r="F420" s="354"/>
      <c r="G420" s="358" t="s">
        <v>2318</v>
      </c>
      <c r="H420" s="359"/>
      <c r="I420" s="356">
        <f>Таблица37[[#This Row],[Цена]]+Таблица37[[#This Row],[Трудозатраты]]</f>
        <v>188.14</v>
      </c>
      <c r="J420" s="357">
        <v>188.14</v>
      </c>
      <c r="K420" s="220" t="e">
        <f>VLOOKUP(Таблица37[[#This Row],[Оболочки]],'[3]Расчет себес оболочек'!$A$3:$E$35,5,0)</f>
        <v>#N/A</v>
      </c>
    </row>
    <row r="421" spans="2:11" x14ac:dyDescent="0.25">
      <c r="B421" s="350" t="s">
        <v>1376</v>
      </c>
      <c r="C421" s="351" t="s">
        <v>1377</v>
      </c>
      <c r="D421" s="352" t="s">
        <v>640</v>
      </c>
      <c r="E421" s="353">
        <f t="shared" si="9"/>
        <v>188.14</v>
      </c>
      <c r="F421" s="354"/>
      <c r="G421" s="358" t="s">
        <v>2318</v>
      </c>
      <c r="H421" s="359"/>
      <c r="I421" s="356">
        <f>Таблица37[[#This Row],[Цена]]+Таблица37[[#This Row],[Трудозатраты]]</f>
        <v>188.14</v>
      </c>
      <c r="J421" s="357">
        <v>188.14</v>
      </c>
      <c r="K421" s="220" t="e">
        <f>VLOOKUP(Таблица37[[#This Row],[Оболочки]],'[3]Расчет себес оболочек'!$A$3:$E$35,5,0)</f>
        <v>#N/A</v>
      </c>
    </row>
    <row r="422" spans="2:11" x14ac:dyDescent="0.25">
      <c r="B422" s="350" t="s">
        <v>1378</v>
      </c>
      <c r="C422" s="351" t="s">
        <v>1379</v>
      </c>
      <c r="D422" s="352" t="s">
        <v>640</v>
      </c>
      <c r="E422" s="353">
        <f t="shared" si="9"/>
        <v>188.14</v>
      </c>
      <c r="F422" s="354"/>
      <c r="G422" s="358" t="s">
        <v>2318</v>
      </c>
      <c r="H422" s="359"/>
      <c r="I422" s="356">
        <f>Таблица37[[#This Row],[Цена]]+Таблица37[[#This Row],[Трудозатраты]]</f>
        <v>188.14</v>
      </c>
      <c r="J422" s="357">
        <v>188.14</v>
      </c>
      <c r="K422" s="220" t="e">
        <f>VLOOKUP(Таблица37[[#This Row],[Оболочки]],'[3]Расчет себес оболочек'!$A$3:$E$35,5,0)</f>
        <v>#N/A</v>
      </c>
    </row>
    <row r="423" spans="2:11" x14ac:dyDescent="0.25">
      <c r="B423" s="350" t="s">
        <v>1380</v>
      </c>
      <c r="C423" s="351" t="s">
        <v>1381</v>
      </c>
      <c r="D423" s="352" t="s">
        <v>640</v>
      </c>
      <c r="E423" s="353">
        <f t="shared" si="9"/>
        <v>188.14</v>
      </c>
      <c r="F423" s="354"/>
      <c r="G423" s="358" t="s">
        <v>2318</v>
      </c>
      <c r="H423" s="359"/>
      <c r="I423" s="356">
        <f>Таблица37[[#This Row],[Цена]]+Таблица37[[#This Row],[Трудозатраты]]</f>
        <v>188.14</v>
      </c>
      <c r="J423" s="357">
        <v>188.14</v>
      </c>
      <c r="K423" s="220" t="e">
        <f>VLOOKUP(Таблица37[[#This Row],[Оболочки]],'[3]Расчет себес оболочек'!$A$3:$E$35,5,0)</f>
        <v>#N/A</v>
      </c>
    </row>
    <row r="424" spans="2:11" x14ac:dyDescent="0.25">
      <c r="B424" s="350" t="s">
        <v>1382</v>
      </c>
      <c r="C424" s="351" t="s">
        <v>1383</v>
      </c>
      <c r="D424" s="352" t="s">
        <v>640</v>
      </c>
      <c r="E424" s="353">
        <f t="shared" si="9"/>
        <v>188.14</v>
      </c>
      <c r="F424" s="354"/>
      <c r="G424" s="358" t="s">
        <v>2318</v>
      </c>
      <c r="H424" s="359"/>
      <c r="I424" s="356">
        <f>Таблица37[[#This Row],[Цена]]+Таблица37[[#This Row],[Трудозатраты]]</f>
        <v>188.14</v>
      </c>
      <c r="J424" s="357">
        <v>188.14</v>
      </c>
      <c r="K424" s="220" t="e">
        <f>VLOOKUP(Таблица37[[#This Row],[Оболочки]],'[3]Расчет себес оболочек'!$A$3:$E$35,5,0)</f>
        <v>#N/A</v>
      </c>
    </row>
    <row r="425" spans="2:11" x14ac:dyDescent="0.25">
      <c r="B425" s="350" t="s">
        <v>1384</v>
      </c>
      <c r="C425" s="351" t="s">
        <v>1385</v>
      </c>
      <c r="D425" s="352" t="s">
        <v>640</v>
      </c>
      <c r="E425" s="353">
        <f t="shared" si="9"/>
        <v>188.14</v>
      </c>
      <c r="F425" s="354"/>
      <c r="G425" s="358" t="s">
        <v>2318</v>
      </c>
      <c r="H425" s="359"/>
      <c r="I425" s="356">
        <f>Таблица37[[#This Row],[Цена]]+Таблица37[[#This Row],[Трудозатраты]]</f>
        <v>188.14</v>
      </c>
      <c r="J425" s="357">
        <v>188.14</v>
      </c>
      <c r="K425" s="220" t="e">
        <f>VLOOKUP(Таблица37[[#This Row],[Оболочки]],'[3]Расчет себес оболочек'!$A$3:$E$35,5,0)</f>
        <v>#N/A</v>
      </c>
    </row>
    <row r="426" spans="2:11" x14ac:dyDescent="0.25">
      <c r="B426" s="350" t="s">
        <v>1386</v>
      </c>
      <c r="C426" s="351" t="s">
        <v>1387</v>
      </c>
      <c r="D426" s="352" t="s">
        <v>640</v>
      </c>
      <c r="E426" s="353">
        <f t="shared" si="9"/>
        <v>188.14</v>
      </c>
      <c r="F426" s="354"/>
      <c r="G426" s="358" t="s">
        <v>2318</v>
      </c>
      <c r="H426" s="359"/>
      <c r="I426" s="356">
        <f>Таблица37[[#This Row],[Цена]]+Таблица37[[#This Row],[Трудозатраты]]</f>
        <v>188.14</v>
      </c>
      <c r="J426" s="357">
        <v>188.14</v>
      </c>
      <c r="K426" s="220" t="e">
        <f>VLOOKUP(Таблица37[[#This Row],[Оболочки]],'[3]Расчет себес оболочек'!$A$3:$E$35,5,0)</f>
        <v>#N/A</v>
      </c>
    </row>
    <row r="427" spans="2:11" x14ac:dyDescent="0.25">
      <c r="B427" s="350" t="s">
        <v>1388</v>
      </c>
      <c r="C427" s="351" t="s">
        <v>1389</v>
      </c>
      <c r="D427" s="352" t="s">
        <v>640</v>
      </c>
      <c r="E427" s="353">
        <f t="shared" si="9"/>
        <v>188.14</v>
      </c>
      <c r="F427" s="354"/>
      <c r="G427" s="358" t="s">
        <v>2318</v>
      </c>
      <c r="H427" s="359"/>
      <c r="I427" s="356">
        <f>Таблица37[[#This Row],[Цена]]+Таблица37[[#This Row],[Трудозатраты]]</f>
        <v>188.14</v>
      </c>
      <c r="J427" s="357">
        <v>188.14</v>
      </c>
      <c r="K427" s="220" t="e">
        <f>VLOOKUP(Таблица37[[#This Row],[Оболочки]],'[3]Расчет себес оболочек'!$A$3:$E$35,5,0)</f>
        <v>#N/A</v>
      </c>
    </row>
    <row r="428" spans="2:11" x14ac:dyDescent="0.25">
      <c r="B428" s="350" t="s">
        <v>1390</v>
      </c>
      <c r="C428" s="351" t="s">
        <v>1391</v>
      </c>
      <c r="D428" s="352" t="s">
        <v>640</v>
      </c>
      <c r="E428" s="353">
        <f t="shared" si="9"/>
        <v>188.14</v>
      </c>
      <c r="F428" s="354"/>
      <c r="G428" s="358" t="s">
        <v>2318</v>
      </c>
      <c r="H428" s="359"/>
      <c r="I428" s="356">
        <f>Таблица37[[#This Row],[Цена]]+Таблица37[[#This Row],[Трудозатраты]]</f>
        <v>188.14</v>
      </c>
      <c r="J428" s="357">
        <v>188.14</v>
      </c>
      <c r="K428" s="220" t="e">
        <f>VLOOKUP(Таблица37[[#This Row],[Оболочки]],'[3]Расчет себес оболочек'!$A$3:$E$35,5,0)</f>
        <v>#N/A</v>
      </c>
    </row>
    <row r="429" spans="2:11" x14ac:dyDescent="0.25">
      <c r="B429" s="350" t="s">
        <v>1392</v>
      </c>
      <c r="C429" s="351" t="s">
        <v>1393</v>
      </c>
      <c r="D429" s="352" t="s">
        <v>640</v>
      </c>
      <c r="E429" s="353">
        <f t="shared" si="9"/>
        <v>188.14</v>
      </c>
      <c r="F429" s="354"/>
      <c r="G429" s="358" t="s">
        <v>2318</v>
      </c>
      <c r="H429" s="359"/>
      <c r="I429" s="356">
        <f>Таблица37[[#This Row],[Цена]]+Таблица37[[#This Row],[Трудозатраты]]</f>
        <v>188.14</v>
      </c>
      <c r="J429" s="357">
        <v>188.14</v>
      </c>
      <c r="K429" s="220" t="e">
        <f>VLOOKUP(Таблица37[[#This Row],[Оболочки]],'[3]Расчет себес оболочек'!$A$3:$E$35,5,0)</f>
        <v>#N/A</v>
      </c>
    </row>
    <row r="430" spans="2:11" x14ac:dyDescent="0.25">
      <c r="B430" s="350" t="s">
        <v>1394</v>
      </c>
      <c r="C430" s="351" t="s">
        <v>1395</v>
      </c>
      <c r="D430" s="352" t="s">
        <v>640</v>
      </c>
      <c r="E430" s="353">
        <f t="shared" si="9"/>
        <v>188.14</v>
      </c>
      <c r="F430" s="354"/>
      <c r="G430" s="358" t="s">
        <v>2318</v>
      </c>
      <c r="H430" s="359"/>
      <c r="I430" s="356">
        <f>Таблица37[[#This Row],[Цена]]+Таблица37[[#This Row],[Трудозатраты]]</f>
        <v>188.14</v>
      </c>
      <c r="J430" s="357">
        <v>188.14</v>
      </c>
      <c r="K430" s="220" t="e">
        <f>VLOOKUP(Таблица37[[#This Row],[Оболочки]],'[3]Расчет себес оболочек'!$A$3:$E$35,5,0)</f>
        <v>#N/A</v>
      </c>
    </row>
    <row r="431" spans="2:11" x14ac:dyDescent="0.25">
      <c r="B431" s="350" t="s">
        <v>1396</v>
      </c>
      <c r="C431" s="351" t="s">
        <v>1397</v>
      </c>
      <c r="D431" s="352" t="s">
        <v>640</v>
      </c>
      <c r="E431" s="353">
        <f t="shared" si="9"/>
        <v>188.14</v>
      </c>
      <c r="F431" s="354"/>
      <c r="G431" s="358" t="s">
        <v>2318</v>
      </c>
      <c r="H431" s="359"/>
      <c r="I431" s="356">
        <f>Таблица37[[#This Row],[Цена]]+Таблица37[[#This Row],[Трудозатраты]]</f>
        <v>188.14</v>
      </c>
      <c r="J431" s="357">
        <v>188.14</v>
      </c>
      <c r="K431" s="220" t="e">
        <f>VLOOKUP(Таблица37[[#This Row],[Оболочки]],'[3]Расчет себес оболочек'!$A$3:$E$35,5,0)</f>
        <v>#N/A</v>
      </c>
    </row>
    <row r="432" spans="2:11" x14ac:dyDescent="0.25">
      <c r="B432" s="350" t="s">
        <v>1398</v>
      </c>
      <c r="C432" s="351" t="s">
        <v>1399</v>
      </c>
      <c r="D432" s="352" t="s">
        <v>640</v>
      </c>
      <c r="E432" s="353">
        <f t="shared" si="9"/>
        <v>188.14</v>
      </c>
      <c r="F432" s="354"/>
      <c r="G432" s="358" t="s">
        <v>2318</v>
      </c>
      <c r="H432" s="359"/>
      <c r="I432" s="356">
        <f>Таблица37[[#This Row],[Цена]]+Таблица37[[#This Row],[Трудозатраты]]</f>
        <v>188.14</v>
      </c>
      <c r="J432" s="357">
        <v>188.14</v>
      </c>
      <c r="K432" s="220" t="e">
        <f>VLOOKUP(Таблица37[[#This Row],[Оболочки]],'[3]Расчет себес оболочек'!$A$3:$E$35,5,0)</f>
        <v>#N/A</v>
      </c>
    </row>
    <row r="433" spans="2:11" x14ac:dyDescent="0.25">
      <c r="B433" s="350" t="s">
        <v>2550</v>
      </c>
      <c r="C433" s="351" t="s">
        <v>1400</v>
      </c>
      <c r="D433" s="352" t="s">
        <v>640</v>
      </c>
      <c r="E433" s="353">
        <f t="shared" si="9"/>
        <v>188.14</v>
      </c>
      <c r="F433" s="354"/>
      <c r="G433" s="358" t="s">
        <v>2318</v>
      </c>
      <c r="H433" s="359"/>
      <c r="I433" s="356">
        <f>Таблица37[[#This Row],[Цена]]+Таблица37[[#This Row],[Трудозатраты]]</f>
        <v>188.14</v>
      </c>
      <c r="J433" s="357">
        <v>188.14</v>
      </c>
      <c r="K433" s="220" t="e">
        <f>VLOOKUP(Таблица37[[#This Row],[Оболочки]],'[3]Расчет себес оболочек'!$A$3:$E$35,5,0)</f>
        <v>#N/A</v>
      </c>
    </row>
    <row r="434" spans="2:11" x14ac:dyDescent="0.25">
      <c r="B434" s="350" t="s">
        <v>2551</v>
      </c>
      <c r="C434" s="351" t="s">
        <v>1401</v>
      </c>
      <c r="D434" s="352" t="s">
        <v>640</v>
      </c>
      <c r="E434" s="353">
        <f t="shared" si="9"/>
        <v>188.14</v>
      </c>
      <c r="F434" s="354"/>
      <c r="G434" s="358" t="s">
        <v>2318</v>
      </c>
      <c r="H434" s="359"/>
      <c r="I434" s="356">
        <f>Таблица37[[#This Row],[Цена]]+Таблица37[[#This Row],[Трудозатраты]]</f>
        <v>188.14</v>
      </c>
      <c r="J434" s="357">
        <v>188.14</v>
      </c>
      <c r="K434" s="220" t="e">
        <f>VLOOKUP(Таблица37[[#This Row],[Оболочки]],'[3]Расчет себес оболочек'!$A$3:$E$35,5,0)</f>
        <v>#N/A</v>
      </c>
    </row>
    <row r="435" spans="2:11" x14ac:dyDescent="0.25">
      <c r="B435" s="350" t="s">
        <v>1402</v>
      </c>
      <c r="C435" s="351" t="s">
        <v>1403</v>
      </c>
      <c r="D435" s="352" t="s">
        <v>640</v>
      </c>
      <c r="E435" s="353">
        <f t="shared" si="9"/>
        <v>188.14</v>
      </c>
      <c r="F435" s="354"/>
      <c r="G435" s="358" t="s">
        <v>2318</v>
      </c>
      <c r="H435" s="359"/>
      <c r="I435" s="356">
        <f>Таблица37[[#This Row],[Цена]]+Таблица37[[#This Row],[Трудозатраты]]</f>
        <v>188.14</v>
      </c>
      <c r="J435" s="357">
        <v>188.14</v>
      </c>
      <c r="K435" s="220" t="e">
        <f>VLOOKUP(Таблица37[[#This Row],[Оболочки]],'[3]Расчет себес оболочек'!$A$3:$E$35,5,0)</f>
        <v>#N/A</v>
      </c>
    </row>
    <row r="436" spans="2:11" x14ac:dyDescent="0.25">
      <c r="B436" s="350" t="s">
        <v>1404</v>
      </c>
      <c r="C436" s="351" t="s">
        <v>1405</v>
      </c>
      <c r="D436" s="352" t="s">
        <v>640</v>
      </c>
      <c r="E436" s="353">
        <f t="shared" si="9"/>
        <v>188.14</v>
      </c>
      <c r="F436" s="354"/>
      <c r="G436" s="358" t="s">
        <v>2318</v>
      </c>
      <c r="H436" s="359"/>
      <c r="I436" s="356">
        <f>Таблица37[[#This Row],[Цена]]+Таблица37[[#This Row],[Трудозатраты]]</f>
        <v>188.14</v>
      </c>
      <c r="J436" s="357">
        <v>188.14</v>
      </c>
      <c r="K436" s="220" t="e">
        <f>VLOOKUP(Таблица37[[#This Row],[Оболочки]],'[3]Расчет себес оболочек'!$A$3:$E$35,5,0)</f>
        <v>#N/A</v>
      </c>
    </row>
    <row r="437" spans="2:11" x14ac:dyDescent="0.25">
      <c r="B437" s="350" t="s">
        <v>1406</v>
      </c>
      <c r="C437" s="351" t="s">
        <v>1407</v>
      </c>
      <c r="D437" s="352" t="s">
        <v>640</v>
      </c>
      <c r="E437" s="353">
        <f t="shared" si="9"/>
        <v>188.14</v>
      </c>
      <c r="F437" s="354"/>
      <c r="G437" s="358" t="s">
        <v>2318</v>
      </c>
      <c r="H437" s="359"/>
      <c r="I437" s="356">
        <f>Таблица37[[#This Row],[Цена]]+Таблица37[[#This Row],[Трудозатраты]]</f>
        <v>188.14</v>
      </c>
      <c r="J437" s="357">
        <v>188.14</v>
      </c>
      <c r="K437" s="220" t="e">
        <f>VLOOKUP(Таблица37[[#This Row],[Оболочки]],'[3]Расчет себес оболочек'!$A$3:$E$35,5,0)</f>
        <v>#N/A</v>
      </c>
    </row>
    <row r="438" spans="2:11" x14ac:dyDescent="0.25">
      <c r="B438" s="350" t="s">
        <v>1408</v>
      </c>
      <c r="C438" s="351" t="s">
        <v>1409</v>
      </c>
      <c r="D438" s="352" t="s">
        <v>640</v>
      </c>
      <c r="E438" s="353">
        <f t="shared" si="9"/>
        <v>188.14</v>
      </c>
      <c r="F438" s="354"/>
      <c r="G438" s="358" t="s">
        <v>2318</v>
      </c>
      <c r="H438" s="359"/>
      <c r="I438" s="356">
        <f>Таблица37[[#This Row],[Цена]]+Таблица37[[#This Row],[Трудозатраты]]</f>
        <v>188.14</v>
      </c>
      <c r="J438" s="357">
        <v>188.14</v>
      </c>
      <c r="K438" s="220" t="e">
        <f>VLOOKUP(Таблица37[[#This Row],[Оболочки]],'[3]Расчет себес оболочек'!$A$3:$E$35,5,0)</f>
        <v>#N/A</v>
      </c>
    </row>
    <row r="439" spans="2:11" x14ac:dyDescent="0.25">
      <c r="B439" s="350" t="s">
        <v>1410</v>
      </c>
      <c r="C439" s="351" t="s">
        <v>1411</v>
      </c>
      <c r="D439" s="352" t="s">
        <v>640</v>
      </c>
      <c r="E439" s="353">
        <f t="shared" si="9"/>
        <v>188.14</v>
      </c>
      <c r="F439" s="354"/>
      <c r="G439" s="358" t="s">
        <v>2318</v>
      </c>
      <c r="H439" s="359"/>
      <c r="I439" s="356">
        <f>Таблица37[[#This Row],[Цена]]+Таблица37[[#This Row],[Трудозатраты]]</f>
        <v>188.14</v>
      </c>
      <c r="J439" s="357">
        <v>188.14</v>
      </c>
      <c r="K439" s="220" t="e">
        <f>VLOOKUP(Таблица37[[#This Row],[Оболочки]],'[3]Расчет себес оболочек'!$A$3:$E$35,5,0)</f>
        <v>#N/A</v>
      </c>
    </row>
    <row r="440" spans="2:11" x14ac:dyDescent="0.25">
      <c r="B440" s="350" t="s">
        <v>1412</v>
      </c>
      <c r="C440" s="351" t="s">
        <v>1413</v>
      </c>
      <c r="D440" s="352" t="s">
        <v>640</v>
      </c>
      <c r="E440" s="353">
        <f t="shared" si="9"/>
        <v>188.14</v>
      </c>
      <c r="F440" s="354"/>
      <c r="G440" s="358" t="s">
        <v>2318</v>
      </c>
      <c r="H440" s="359"/>
      <c r="I440" s="356">
        <f>Таблица37[[#This Row],[Цена]]+Таблица37[[#This Row],[Трудозатраты]]</f>
        <v>188.14</v>
      </c>
      <c r="J440" s="357">
        <v>188.14</v>
      </c>
      <c r="K440" s="220" t="e">
        <f>VLOOKUP(Таблица37[[#This Row],[Оболочки]],'[3]Расчет себес оболочек'!$A$3:$E$35,5,0)</f>
        <v>#N/A</v>
      </c>
    </row>
    <row r="441" spans="2:11" x14ac:dyDescent="0.25">
      <c r="B441" s="350" t="s">
        <v>1414</v>
      </c>
      <c r="C441" s="351" t="s">
        <v>1415</v>
      </c>
      <c r="D441" s="352" t="s">
        <v>640</v>
      </c>
      <c r="E441" s="353">
        <f t="shared" si="9"/>
        <v>188.14</v>
      </c>
      <c r="F441" s="354"/>
      <c r="G441" s="358" t="s">
        <v>2318</v>
      </c>
      <c r="H441" s="359"/>
      <c r="I441" s="356">
        <f>Таблица37[[#This Row],[Цена]]+Таблица37[[#This Row],[Трудозатраты]]</f>
        <v>188.14</v>
      </c>
      <c r="J441" s="357">
        <v>188.14</v>
      </c>
      <c r="K441" s="220" t="e">
        <f>VLOOKUP(Таблица37[[#This Row],[Оболочки]],'[3]Расчет себес оболочек'!$A$3:$E$35,5,0)</f>
        <v>#N/A</v>
      </c>
    </row>
    <row r="442" spans="2:11" x14ac:dyDescent="0.25">
      <c r="B442" s="350" t="s">
        <v>1416</v>
      </c>
      <c r="C442" s="351" t="s">
        <v>1417</v>
      </c>
      <c r="D442" s="352" t="s">
        <v>640</v>
      </c>
      <c r="E442" s="353">
        <f t="shared" si="9"/>
        <v>188.14</v>
      </c>
      <c r="F442" s="354"/>
      <c r="G442" s="358" t="s">
        <v>2318</v>
      </c>
      <c r="H442" s="359"/>
      <c r="I442" s="356">
        <f>Таблица37[[#This Row],[Цена]]+Таблица37[[#This Row],[Трудозатраты]]</f>
        <v>188.14</v>
      </c>
      <c r="J442" s="357">
        <v>188.14</v>
      </c>
      <c r="K442" s="220" t="e">
        <f>VLOOKUP(Таблица37[[#This Row],[Оболочки]],'[3]Расчет себес оболочек'!$A$3:$E$35,5,0)</f>
        <v>#N/A</v>
      </c>
    </row>
    <row r="443" spans="2:11" x14ac:dyDescent="0.25">
      <c r="B443" s="350" t="s">
        <v>1418</v>
      </c>
      <c r="C443" s="351" t="s">
        <v>1419</v>
      </c>
      <c r="D443" s="352" t="s">
        <v>640</v>
      </c>
      <c r="E443" s="353">
        <f t="shared" si="9"/>
        <v>188.14</v>
      </c>
      <c r="F443" s="354"/>
      <c r="G443" s="358" t="s">
        <v>2318</v>
      </c>
      <c r="H443" s="359"/>
      <c r="I443" s="356">
        <f>Таблица37[[#This Row],[Цена]]+Таблица37[[#This Row],[Трудозатраты]]</f>
        <v>188.14</v>
      </c>
      <c r="J443" s="357">
        <v>188.14</v>
      </c>
      <c r="K443" s="220" t="e">
        <f>VLOOKUP(Таблица37[[#This Row],[Оболочки]],'[3]Расчет себес оболочек'!$A$3:$E$35,5,0)</f>
        <v>#N/A</v>
      </c>
    </row>
    <row r="444" spans="2:11" x14ac:dyDescent="0.25">
      <c r="B444" s="350" t="s">
        <v>1420</v>
      </c>
      <c r="C444" s="351" t="s">
        <v>1421</v>
      </c>
      <c r="D444" s="352" t="s">
        <v>640</v>
      </c>
      <c r="E444" s="353">
        <f t="shared" si="9"/>
        <v>188.14</v>
      </c>
      <c r="F444" s="354"/>
      <c r="G444" s="358" t="s">
        <v>2318</v>
      </c>
      <c r="H444" s="359"/>
      <c r="I444" s="356">
        <f>Таблица37[[#This Row],[Цена]]+Таблица37[[#This Row],[Трудозатраты]]</f>
        <v>188.14</v>
      </c>
      <c r="J444" s="357">
        <v>188.14</v>
      </c>
      <c r="K444" s="220" t="e">
        <f>VLOOKUP(Таблица37[[#This Row],[Оболочки]],'[3]Расчет себес оболочек'!$A$3:$E$35,5,0)</f>
        <v>#N/A</v>
      </c>
    </row>
    <row r="445" spans="2:11" x14ac:dyDescent="0.25">
      <c r="B445" s="350" t="s">
        <v>1422</v>
      </c>
      <c r="C445" s="351" t="s">
        <v>1423</v>
      </c>
      <c r="D445" s="352" t="s">
        <v>640</v>
      </c>
      <c r="E445" s="353">
        <f t="shared" si="9"/>
        <v>188.14</v>
      </c>
      <c r="F445" s="354"/>
      <c r="G445" s="358" t="s">
        <v>2318</v>
      </c>
      <c r="H445" s="359"/>
      <c r="I445" s="356">
        <f>Таблица37[[#This Row],[Цена]]+Таблица37[[#This Row],[Трудозатраты]]</f>
        <v>188.14</v>
      </c>
      <c r="J445" s="357">
        <v>188.14</v>
      </c>
      <c r="K445" s="220" t="e">
        <f>VLOOKUP(Таблица37[[#This Row],[Оболочки]],'[3]Расчет себес оболочек'!$A$3:$E$35,5,0)</f>
        <v>#N/A</v>
      </c>
    </row>
    <row r="446" spans="2:11" x14ac:dyDescent="0.25">
      <c r="B446" s="350" t="s">
        <v>2552</v>
      </c>
      <c r="C446" s="351" t="s">
        <v>1424</v>
      </c>
      <c r="D446" s="352" t="s">
        <v>640</v>
      </c>
      <c r="E446" s="353">
        <f t="shared" si="9"/>
        <v>188.14</v>
      </c>
      <c r="F446" s="354"/>
      <c r="G446" s="358" t="s">
        <v>2318</v>
      </c>
      <c r="H446" s="359"/>
      <c r="I446" s="356">
        <f>Таблица37[[#This Row],[Цена]]+Таблица37[[#This Row],[Трудозатраты]]</f>
        <v>188.14</v>
      </c>
      <c r="J446" s="357">
        <v>188.14</v>
      </c>
      <c r="K446" s="220" t="e">
        <f>VLOOKUP(Таблица37[[#This Row],[Оболочки]],'[3]Расчет себес оболочек'!$A$3:$E$35,5,0)</f>
        <v>#N/A</v>
      </c>
    </row>
    <row r="447" spans="2:11" x14ac:dyDescent="0.25">
      <c r="B447" s="350" t="s">
        <v>2553</v>
      </c>
      <c r="C447" s="351" t="s">
        <v>1425</v>
      </c>
      <c r="D447" s="352" t="s">
        <v>640</v>
      </c>
      <c r="E447" s="353">
        <f t="shared" si="9"/>
        <v>188.14</v>
      </c>
      <c r="F447" s="354"/>
      <c r="G447" s="358" t="s">
        <v>2318</v>
      </c>
      <c r="H447" s="359"/>
      <c r="I447" s="356">
        <f>Таблица37[[#This Row],[Цена]]+Таблица37[[#This Row],[Трудозатраты]]</f>
        <v>188.14</v>
      </c>
      <c r="J447" s="357">
        <v>188.14</v>
      </c>
      <c r="K447" s="220" t="e">
        <f>VLOOKUP(Таблица37[[#This Row],[Оболочки]],'[3]Расчет себес оболочек'!$A$3:$E$35,5,0)</f>
        <v>#N/A</v>
      </c>
    </row>
    <row r="448" spans="2:11" x14ac:dyDescent="0.25">
      <c r="B448" s="350" t="s">
        <v>2554</v>
      </c>
      <c r="C448" s="351" t="s">
        <v>1426</v>
      </c>
      <c r="D448" s="352" t="s">
        <v>640</v>
      </c>
      <c r="E448" s="353">
        <f t="shared" si="9"/>
        <v>188.14</v>
      </c>
      <c r="F448" s="354"/>
      <c r="G448" s="358" t="s">
        <v>2318</v>
      </c>
      <c r="H448" s="359"/>
      <c r="I448" s="356">
        <f>Таблица37[[#This Row],[Цена]]+Таблица37[[#This Row],[Трудозатраты]]</f>
        <v>188.14</v>
      </c>
      <c r="J448" s="357">
        <v>188.14</v>
      </c>
      <c r="K448" s="220" t="e">
        <f>VLOOKUP(Таблица37[[#This Row],[Оболочки]],'[3]Расчет себес оболочек'!$A$3:$E$35,5,0)</f>
        <v>#N/A</v>
      </c>
    </row>
    <row r="449" spans="2:11" x14ac:dyDescent="0.25">
      <c r="B449" s="350" t="s">
        <v>1427</v>
      </c>
      <c r="C449" s="351" t="s">
        <v>1428</v>
      </c>
      <c r="D449" s="352" t="s">
        <v>640</v>
      </c>
      <c r="E449" s="353">
        <f t="shared" si="9"/>
        <v>188.14</v>
      </c>
      <c r="F449" s="354"/>
      <c r="G449" s="358" t="s">
        <v>2318</v>
      </c>
      <c r="H449" s="359"/>
      <c r="I449" s="356">
        <f>Таблица37[[#This Row],[Цена]]+Таблица37[[#This Row],[Трудозатраты]]</f>
        <v>188.14</v>
      </c>
      <c r="J449" s="357">
        <v>188.14</v>
      </c>
      <c r="K449" s="220" t="e">
        <f>VLOOKUP(Таблица37[[#This Row],[Оболочки]],'[3]Расчет себес оболочек'!$A$3:$E$35,5,0)</f>
        <v>#N/A</v>
      </c>
    </row>
    <row r="450" spans="2:11" x14ac:dyDescent="0.25">
      <c r="B450" s="350" t="s">
        <v>1429</v>
      </c>
      <c r="C450" s="351" t="s">
        <v>1430</v>
      </c>
      <c r="D450" s="352" t="s">
        <v>640</v>
      </c>
      <c r="E450" s="353">
        <f t="shared" si="9"/>
        <v>188.14</v>
      </c>
      <c r="F450" s="354"/>
      <c r="G450" s="358" t="s">
        <v>2318</v>
      </c>
      <c r="H450" s="359"/>
      <c r="I450" s="356">
        <f>Таблица37[[#This Row],[Цена]]+Таблица37[[#This Row],[Трудозатраты]]</f>
        <v>188.14</v>
      </c>
      <c r="J450" s="357">
        <v>188.14</v>
      </c>
      <c r="K450" s="220" t="e">
        <f>VLOOKUP(Таблица37[[#This Row],[Оболочки]],'[3]Расчет себес оболочек'!$A$3:$E$35,5,0)</f>
        <v>#N/A</v>
      </c>
    </row>
    <row r="451" spans="2:11" x14ac:dyDescent="0.25">
      <c r="B451" s="350" t="s">
        <v>1431</v>
      </c>
      <c r="C451" s="351" t="s">
        <v>1432</v>
      </c>
      <c r="D451" s="352" t="s">
        <v>640</v>
      </c>
      <c r="E451" s="353">
        <f t="shared" si="9"/>
        <v>188.14</v>
      </c>
      <c r="F451" s="354"/>
      <c r="G451" s="358" t="s">
        <v>2318</v>
      </c>
      <c r="H451" s="359"/>
      <c r="I451" s="356">
        <f>Таблица37[[#This Row],[Цена]]+Таблица37[[#This Row],[Трудозатраты]]</f>
        <v>188.14</v>
      </c>
      <c r="J451" s="357">
        <v>188.14</v>
      </c>
      <c r="K451" s="220" t="e">
        <f>VLOOKUP(Таблица37[[#This Row],[Оболочки]],'[3]Расчет себес оболочек'!$A$3:$E$35,5,0)</f>
        <v>#N/A</v>
      </c>
    </row>
    <row r="452" spans="2:11" x14ac:dyDescent="0.25">
      <c r="B452" s="350" t="s">
        <v>1433</v>
      </c>
      <c r="C452" s="351" t="s">
        <v>1434</v>
      </c>
      <c r="D452" s="352" t="s">
        <v>640</v>
      </c>
      <c r="E452" s="353">
        <f t="shared" si="9"/>
        <v>188.14</v>
      </c>
      <c r="F452" s="354"/>
      <c r="G452" s="358" t="s">
        <v>2318</v>
      </c>
      <c r="H452" s="359"/>
      <c r="I452" s="356">
        <f>Таблица37[[#This Row],[Цена]]+Таблица37[[#This Row],[Трудозатраты]]</f>
        <v>188.14</v>
      </c>
      <c r="J452" s="357">
        <v>188.14</v>
      </c>
      <c r="K452" s="220" t="e">
        <f>VLOOKUP(Таблица37[[#This Row],[Оболочки]],'[3]Расчет себес оболочек'!$A$3:$E$35,5,0)</f>
        <v>#N/A</v>
      </c>
    </row>
    <row r="453" spans="2:11" x14ac:dyDescent="0.25">
      <c r="B453" s="350" t="s">
        <v>1435</v>
      </c>
      <c r="C453" s="351" t="s">
        <v>1436</v>
      </c>
      <c r="D453" s="352" t="s">
        <v>640</v>
      </c>
      <c r="E453" s="353">
        <f t="shared" si="9"/>
        <v>188.14</v>
      </c>
      <c r="F453" s="354"/>
      <c r="G453" s="358" t="s">
        <v>2318</v>
      </c>
      <c r="H453" s="359"/>
      <c r="I453" s="356">
        <f>Таблица37[[#This Row],[Цена]]+Таблица37[[#This Row],[Трудозатраты]]</f>
        <v>188.14</v>
      </c>
      <c r="J453" s="357">
        <v>188.14</v>
      </c>
      <c r="K453" s="220" t="e">
        <f>VLOOKUP(Таблица37[[#This Row],[Оболочки]],'[3]Расчет себес оболочек'!$A$3:$E$35,5,0)</f>
        <v>#N/A</v>
      </c>
    </row>
    <row r="454" spans="2:11" x14ac:dyDescent="0.25">
      <c r="B454" s="350" t="s">
        <v>1437</v>
      </c>
      <c r="C454" s="351" t="s">
        <v>1438</v>
      </c>
      <c r="D454" s="352" t="s">
        <v>640</v>
      </c>
      <c r="E454" s="353">
        <f t="shared" si="9"/>
        <v>188.14</v>
      </c>
      <c r="F454" s="354"/>
      <c r="G454" s="358" t="s">
        <v>2318</v>
      </c>
      <c r="H454" s="359"/>
      <c r="I454" s="356">
        <f>Таблица37[[#This Row],[Цена]]+Таблица37[[#This Row],[Трудозатраты]]</f>
        <v>188.14</v>
      </c>
      <c r="J454" s="357">
        <v>188.14</v>
      </c>
      <c r="K454" s="220" t="e">
        <f>VLOOKUP(Таблица37[[#This Row],[Оболочки]],'[3]Расчет себес оболочек'!$A$3:$E$35,5,0)</f>
        <v>#N/A</v>
      </c>
    </row>
    <row r="455" spans="2:11" x14ac:dyDescent="0.25">
      <c r="B455" s="350" t="s">
        <v>1439</v>
      </c>
      <c r="C455" s="351" t="s">
        <v>1440</v>
      </c>
      <c r="D455" s="352" t="s">
        <v>640</v>
      </c>
      <c r="E455" s="353">
        <f t="shared" si="9"/>
        <v>188.14</v>
      </c>
      <c r="F455" s="354"/>
      <c r="G455" s="358" t="s">
        <v>2318</v>
      </c>
      <c r="H455" s="359"/>
      <c r="I455" s="356">
        <f>Таблица37[[#This Row],[Цена]]+Таблица37[[#This Row],[Трудозатраты]]</f>
        <v>188.14</v>
      </c>
      <c r="J455" s="357">
        <v>188.14</v>
      </c>
      <c r="K455" s="220" t="e">
        <f>VLOOKUP(Таблица37[[#This Row],[Оболочки]],'[3]Расчет себес оболочек'!$A$3:$E$35,5,0)</f>
        <v>#N/A</v>
      </c>
    </row>
    <row r="456" spans="2:11" x14ac:dyDescent="0.25">
      <c r="B456" s="350" t="s">
        <v>1441</v>
      </c>
      <c r="C456" s="351" t="s">
        <v>1442</v>
      </c>
      <c r="D456" s="352" t="s">
        <v>640</v>
      </c>
      <c r="E456" s="353">
        <f t="shared" si="9"/>
        <v>188.14</v>
      </c>
      <c r="F456" s="354"/>
      <c r="G456" s="358" t="s">
        <v>2318</v>
      </c>
      <c r="H456" s="359"/>
      <c r="I456" s="356">
        <f>Таблица37[[#This Row],[Цена]]+Таблица37[[#This Row],[Трудозатраты]]</f>
        <v>188.14</v>
      </c>
      <c r="J456" s="357">
        <v>188.14</v>
      </c>
      <c r="K456" s="220" t="e">
        <f>VLOOKUP(Таблица37[[#This Row],[Оболочки]],'[3]Расчет себес оболочек'!$A$3:$E$35,5,0)</f>
        <v>#N/A</v>
      </c>
    </row>
    <row r="457" spans="2:11" x14ac:dyDescent="0.25">
      <c r="B457" s="350" t="s">
        <v>1443</v>
      </c>
      <c r="C457" s="351" t="s">
        <v>1444</v>
      </c>
      <c r="D457" s="352" t="s">
        <v>640</v>
      </c>
      <c r="E457" s="353">
        <f t="shared" si="9"/>
        <v>188.14</v>
      </c>
      <c r="F457" s="354"/>
      <c r="G457" s="358" t="s">
        <v>2318</v>
      </c>
      <c r="H457" s="359"/>
      <c r="I457" s="356">
        <f>Таблица37[[#This Row],[Цена]]+Таблица37[[#This Row],[Трудозатраты]]</f>
        <v>188.14</v>
      </c>
      <c r="J457" s="357">
        <v>188.14</v>
      </c>
      <c r="K457" s="220" t="e">
        <f>VLOOKUP(Таблица37[[#This Row],[Оболочки]],'[3]Расчет себес оболочек'!$A$3:$E$35,5,0)</f>
        <v>#N/A</v>
      </c>
    </row>
    <row r="458" spans="2:11" x14ac:dyDescent="0.25">
      <c r="B458" s="350" t="s">
        <v>1445</v>
      </c>
      <c r="C458" s="351" t="s">
        <v>1446</v>
      </c>
      <c r="D458" s="352" t="s">
        <v>640</v>
      </c>
      <c r="E458" s="353">
        <f t="shared" si="9"/>
        <v>188.14</v>
      </c>
      <c r="F458" s="354"/>
      <c r="G458" s="358" t="s">
        <v>2318</v>
      </c>
      <c r="H458" s="359"/>
      <c r="I458" s="356">
        <f>Таблица37[[#This Row],[Цена]]+Таблица37[[#This Row],[Трудозатраты]]</f>
        <v>188.14</v>
      </c>
      <c r="J458" s="357">
        <v>188.14</v>
      </c>
      <c r="K458" s="220" t="e">
        <f>VLOOKUP(Таблица37[[#This Row],[Оболочки]],'[3]Расчет себес оболочек'!$A$3:$E$35,5,0)</f>
        <v>#N/A</v>
      </c>
    </row>
    <row r="459" spans="2:11" x14ac:dyDescent="0.25">
      <c r="B459" s="350" t="s">
        <v>2548</v>
      </c>
      <c r="C459" s="351" t="s">
        <v>1447</v>
      </c>
      <c r="D459" s="352" t="s">
        <v>640</v>
      </c>
      <c r="E459" s="353">
        <f t="shared" si="9"/>
        <v>188.14</v>
      </c>
      <c r="F459" s="354"/>
      <c r="G459" s="358" t="s">
        <v>2318</v>
      </c>
      <c r="H459" s="359"/>
      <c r="I459" s="356">
        <f>Таблица37[[#This Row],[Цена]]+Таблица37[[#This Row],[Трудозатраты]]</f>
        <v>188.14</v>
      </c>
      <c r="J459" s="357">
        <v>188.14</v>
      </c>
      <c r="K459" s="220" t="e">
        <f>VLOOKUP(Таблица37[[#This Row],[Оболочки]],'[3]Расчет себес оболочек'!$A$3:$E$35,5,0)</f>
        <v>#N/A</v>
      </c>
    </row>
    <row r="460" spans="2:11" x14ac:dyDescent="0.25">
      <c r="B460" s="350" t="s">
        <v>2555</v>
      </c>
      <c r="C460" s="351" t="s">
        <v>1448</v>
      </c>
      <c r="D460" s="352" t="s">
        <v>640</v>
      </c>
      <c r="E460" s="353">
        <f t="shared" si="9"/>
        <v>188.14</v>
      </c>
      <c r="F460" s="354"/>
      <c r="G460" s="358" t="s">
        <v>2318</v>
      </c>
      <c r="H460" s="359"/>
      <c r="I460" s="356">
        <f>Таблица37[[#This Row],[Цена]]+Таблица37[[#This Row],[Трудозатраты]]</f>
        <v>188.14</v>
      </c>
      <c r="J460" s="357">
        <v>188.14</v>
      </c>
      <c r="K460" s="220" t="e">
        <f>VLOOKUP(Таблица37[[#This Row],[Оболочки]],'[3]Расчет себес оболочек'!$A$3:$E$35,5,0)</f>
        <v>#N/A</v>
      </c>
    </row>
    <row r="461" spans="2:11" x14ac:dyDescent="0.25">
      <c r="B461" s="350" t="s">
        <v>2556</v>
      </c>
      <c r="C461" s="351" t="s">
        <v>1449</v>
      </c>
      <c r="D461" s="352" t="s">
        <v>640</v>
      </c>
      <c r="E461" s="353">
        <f t="shared" si="9"/>
        <v>188.14</v>
      </c>
      <c r="F461" s="354"/>
      <c r="G461" s="358" t="s">
        <v>2318</v>
      </c>
      <c r="H461" s="359"/>
      <c r="I461" s="356">
        <f>Таблица37[[#This Row],[Цена]]+Таблица37[[#This Row],[Трудозатраты]]</f>
        <v>188.14</v>
      </c>
      <c r="J461" s="357">
        <v>188.14</v>
      </c>
      <c r="K461" s="220" t="e">
        <f>VLOOKUP(Таблица37[[#This Row],[Оболочки]],'[3]Расчет себес оболочек'!$A$3:$E$35,5,0)</f>
        <v>#N/A</v>
      </c>
    </row>
    <row r="462" spans="2:11" x14ac:dyDescent="0.25">
      <c r="B462" s="350" t="s">
        <v>2557</v>
      </c>
      <c r="C462" s="351" t="s">
        <v>1450</v>
      </c>
      <c r="D462" s="352" t="s">
        <v>640</v>
      </c>
      <c r="E462" s="353">
        <f t="shared" si="9"/>
        <v>188.14</v>
      </c>
      <c r="F462" s="354"/>
      <c r="G462" s="358" t="s">
        <v>2318</v>
      </c>
      <c r="H462" s="359"/>
      <c r="I462" s="356">
        <f>Таблица37[[#This Row],[Цена]]+Таблица37[[#This Row],[Трудозатраты]]</f>
        <v>188.14</v>
      </c>
      <c r="J462" s="357">
        <v>188.14</v>
      </c>
      <c r="K462" s="220" t="e">
        <f>VLOOKUP(Таблица37[[#This Row],[Оболочки]],'[3]Расчет себес оболочек'!$A$3:$E$35,5,0)</f>
        <v>#N/A</v>
      </c>
    </row>
    <row r="463" spans="2:11" x14ac:dyDescent="0.25">
      <c r="B463" s="350" t="s">
        <v>1451</v>
      </c>
      <c r="C463" s="351" t="s">
        <v>1452</v>
      </c>
      <c r="D463" s="352" t="s">
        <v>640</v>
      </c>
      <c r="E463" s="353">
        <f t="shared" si="9"/>
        <v>188.14</v>
      </c>
      <c r="F463" s="354"/>
      <c r="G463" s="358" t="s">
        <v>2318</v>
      </c>
      <c r="H463" s="359"/>
      <c r="I463" s="356">
        <f>Таблица37[[#This Row],[Цена]]+Таблица37[[#This Row],[Трудозатраты]]</f>
        <v>188.14</v>
      </c>
      <c r="J463" s="357">
        <v>188.14</v>
      </c>
      <c r="K463" s="220" t="e">
        <f>VLOOKUP(Таблица37[[#This Row],[Оболочки]],'[3]Расчет себес оболочек'!$A$3:$E$35,5,0)</f>
        <v>#N/A</v>
      </c>
    </row>
    <row r="464" spans="2:11" x14ac:dyDescent="0.25">
      <c r="B464" s="350" t="s">
        <v>1453</v>
      </c>
      <c r="C464" s="351" t="s">
        <v>1454</v>
      </c>
      <c r="D464" s="352" t="s">
        <v>640</v>
      </c>
      <c r="E464" s="353">
        <f t="shared" si="9"/>
        <v>188.14</v>
      </c>
      <c r="F464" s="354"/>
      <c r="G464" s="358" t="s">
        <v>2318</v>
      </c>
      <c r="H464" s="359"/>
      <c r="I464" s="356">
        <f>Таблица37[[#This Row],[Цена]]+Таблица37[[#This Row],[Трудозатраты]]</f>
        <v>188.14</v>
      </c>
      <c r="J464" s="357">
        <v>188.14</v>
      </c>
      <c r="K464" s="220" t="e">
        <f>VLOOKUP(Таблица37[[#This Row],[Оболочки]],'[3]Расчет себес оболочек'!$A$3:$E$35,5,0)</f>
        <v>#N/A</v>
      </c>
    </row>
    <row r="465" spans="2:11" x14ac:dyDescent="0.25">
      <c r="B465" s="350" t="s">
        <v>1455</v>
      </c>
      <c r="C465" s="351" t="s">
        <v>1456</v>
      </c>
      <c r="D465" s="352" t="s">
        <v>640</v>
      </c>
      <c r="E465" s="353">
        <f t="shared" si="9"/>
        <v>188.14</v>
      </c>
      <c r="F465" s="354"/>
      <c r="G465" s="358" t="s">
        <v>2318</v>
      </c>
      <c r="H465" s="359"/>
      <c r="I465" s="356">
        <f>Таблица37[[#This Row],[Цена]]+Таблица37[[#This Row],[Трудозатраты]]</f>
        <v>188.14</v>
      </c>
      <c r="J465" s="357">
        <v>188.14</v>
      </c>
      <c r="K465" s="220" t="e">
        <f>VLOOKUP(Таблица37[[#This Row],[Оболочки]],'[3]Расчет себес оболочек'!$A$3:$E$35,5,0)</f>
        <v>#N/A</v>
      </c>
    </row>
    <row r="466" spans="2:11" x14ac:dyDescent="0.25">
      <c r="B466" s="350" t="s">
        <v>1457</v>
      </c>
      <c r="C466" s="351" t="s">
        <v>1458</v>
      </c>
      <c r="D466" s="352" t="s">
        <v>640</v>
      </c>
      <c r="E466" s="353">
        <f t="shared" ref="E466:E529" si="10">J466</f>
        <v>188.14</v>
      </c>
      <c r="F466" s="354"/>
      <c r="G466" s="358" t="s">
        <v>2318</v>
      </c>
      <c r="H466" s="359"/>
      <c r="I466" s="356">
        <f>Таблица37[[#This Row],[Цена]]+Таблица37[[#This Row],[Трудозатраты]]</f>
        <v>188.14</v>
      </c>
      <c r="J466" s="357">
        <v>188.14</v>
      </c>
      <c r="K466" s="220" t="e">
        <f>VLOOKUP(Таблица37[[#This Row],[Оболочки]],'[3]Расчет себес оболочек'!$A$3:$E$35,5,0)</f>
        <v>#N/A</v>
      </c>
    </row>
    <row r="467" spans="2:11" x14ac:dyDescent="0.25">
      <c r="B467" s="350" t="s">
        <v>1459</v>
      </c>
      <c r="C467" s="351" t="s">
        <v>1460</v>
      </c>
      <c r="D467" s="352" t="s">
        <v>640</v>
      </c>
      <c r="E467" s="353">
        <f t="shared" si="10"/>
        <v>188.14</v>
      </c>
      <c r="F467" s="354"/>
      <c r="G467" s="358" t="s">
        <v>2318</v>
      </c>
      <c r="H467" s="359"/>
      <c r="I467" s="356">
        <f>Таблица37[[#This Row],[Цена]]+Таблица37[[#This Row],[Трудозатраты]]</f>
        <v>188.14</v>
      </c>
      <c r="J467" s="357">
        <v>188.14</v>
      </c>
      <c r="K467" s="220" t="e">
        <f>VLOOKUP(Таблица37[[#This Row],[Оболочки]],'[3]Расчет себес оболочек'!$A$3:$E$35,5,0)</f>
        <v>#N/A</v>
      </c>
    </row>
    <row r="468" spans="2:11" x14ac:dyDescent="0.25">
      <c r="B468" s="350" t="s">
        <v>1461</v>
      </c>
      <c r="C468" s="351" t="s">
        <v>1462</v>
      </c>
      <c r="D468" s="352" t="s">
        <v>640</v>
      </c>
      <c r="E468" s="353">
        <f t="shared" si="10"/>
        <v>188.14</v>
      </c>
      <c r="F468" s="354"/>
      <c r="G468" s="358" t="s">
        <v>2318</v>
      </c>
      <c r="H468" s="359"/>
      <c r="I468" s="356">
        <f>Таблица37[[#This Row],[Цена]]+Таблица37[[#This Row],[Трудозатраты]]</f>
        <v>188.14</v>
      </c>
      <c r="J468" s="357">
        <v>188.14</v>
      </c>
      <c r="K468" s="220" t="e">
        <f>VLOOKUP(Таблица37[[#This Row],[Оболочки]],'[3]Расчет себес оболочек'!$A$3:$E$35,5,0)</f>
        <v>#N/A</v>
      </c>
    </row>
    <row r="469" spans="2:11" x14ac:dyDescent="0.25">
      <c r="B469" s="350" t="s">
        <v>1463</v>
      </c>
      <c r="C469" s="351" t="s">
        <v>1464</v>
      </c>
      <c r="D469" s="352" t="s">
        <v>640</v>
      </c>
      <c r="E469" s="353">
        <f t="shared" si="10"/>
        <v>188.14</v>
      </c>
      <c r="F469" s="354"/>
      <c r="G469" s="358" t="s">
        <v>2318</v>
      </c>
      <c r="H469" s="359"/>
      <c r="I469" s="356">
        <f>Таблица37[[#This Row],[Цена]]+Таблица37[[#This Row],[Трудозатраты]]</f>
        <v>188.14</v>
      </c>
      <c r="J469" s="357">
        <v>188.14</v>
      </c>
      <c r="K469" s="220" t="e">
        <f>VLOOKUP(Таблица37[[#This Row],[Оболочки]],'[3]Расчет себес оболочек'!$A$3:$E$35,5,0)</f>
        <v>#N/A</v>
      </c>
    </row>
    <row r="470" spans="2:11" x14ac:dyDescent="0.25">
      <c r="B470" s="350" t="s">
        <v>1465</v>
      </c>
      <c r="C470" s="351" t="s">
        <v>1466</v>
      </c>
      <c r="D470" s="352" t="s">
        <v>640</v>
      </c>
      <c r="E470" s="353">
        <f t="shared" si="10"/>
        <v>188.14</v>
      </c>
      <c r="F470" s="354"/>
      <c r="G470" s="358" t="s">
        <v>2318</v>
      </c>
      <c r="H470" s="359"/>
      <c r="I470" s="356">
        <f>Таблица37[[#This Row],[Цена]]+Таблица37[[#This Row],[Трудозатраты]]</f>
        <v>188.14</v>
      </c>
      <c r="J470" s="357">
        <v>188.14</v>
      </c>
      <c r="K470" s="220" t="e">
        <f>VLOOKUP(Таблица37[[#This Row],[Оболочки]],'[3]Расчет себес оболочек'!$A$3:$E$35,5,0)</f>
        <v>#N/A</v>
      </c>
    </row>
    <row r="471" spans="2:11" x14ac:dyDescent="0.25">
      <c r="B471" s="350" t="s">
        <v>2558</v>
      </c>
      <c r="C471" s="351" t="s">
        <v>1467</v>
      </c>
      <c r="D471" s="352" t="s">
        <v>640</v>
      </c>
      <c r="E471" s="353">
        <f t="shared" si="10"/>
        <v>188.14</v>
      </c>
      <c r="F471" s="354"/>
      <c r="G471" s="358" t="s">
        <v>2318</v>
      </c>
      <c r="H471" s="359"/>
      <c r="I471" s="356">
        <f>Таблица37[[#This Row],[Цена]]+Таблица37[[#This Row],[Трудозатраты]]</f>
        <v>188.14</v>
      </c>
      <c r="J471" s="357">
        <v>188.14</v>
      </c>
      <c r="K471" s="220" t="e">
        <f>VLOOKUP(Таблица37[[#This Row],[Оболочки]],'[3]Расчет себес оболочек'!$A$3:$E$35,5,0)</f>
        <v>#N/A</v>
      </c>
    </row>
    <row r="472" spans="2:11" x14ac:dyDescent="0.25">
      <c r="B472" s="350" t="s">
        <v>2559</v>
      </c>
      <c r="C472" s="351" t="s">
        <v>1468</v>
      </c>
      <c r="D472" s="352" t="s">
        <v>640</v>
      </c>
      <c r="E472" s="353">
        <f t="shared" si="10"/>
        <v>188.14</v>
      </c>
      <c r="F472" s="354"/>
      <c r="G472" s="358" t="s">
        <v>2318</v>
      </c>
      <c r="H472" s="359"/>
      <c r="I472" s="356">
        <f>Таблица37[[#This Row],[Цена]]+Таблица37[[#This Row],[Трудозатраты]]</f>
        <v>188.14</v>
      </c>
      <c r="J472" s="357">
        <v>188.14</v>
      </c>
      <c r="K472" s="220" t="e">
        <f>VLOOKUP(Таблица37[[#This Row],[Оболочки]],'[3]Расчет себес оболочек'!$A$3:$E$35,5,0)</f>
        <v>#N/A</v>
      </c>
    </row>
    <row r="473" spans="2:11" x14ac:dyDescent="0.25">
      <c r="B473" s="350" t="s">
        <v>2560</v>
      </c>
      <c r="C473" s="351" t="s">
        <v>1469</v>
      </c>
      <c r="D473" s="352" t="s">
        <v>640</v>
      </c>
      <c r="E473" s="353">
        <f t="shared" si="10"/>
        <v>188.14</v>
      </c>
      <c r="F473" s="354"/>
      <c r="G473" s="358" t="s">
        <v>2318</v>
      </c>
      <c r="H473" s="359"/>
      <c r="I473" s="356">
        <f>Таблица37[[#This Row],[Цена]]+Таблица37[[#This Row],[Трудозатраты]]</f>
        <v>188.14</v>
      </c>
      <c r="J473" s="357">
        <v>188.14</v>
      </c>
      <c r="K473" s="220" t="e">
        <f>VLOOKUP(Таблица37[[#This Row],[Оболочки]],'[3]Расчет себес оболочек'!$A$3:$E$35,5,0)</f>
        <v>#N/A</v>
      </c>
    </row>
    <row r="474" spans="2:11" x14ac:dyDescent="0.25">
      <c r="B474" s="350" t="s">
        <v>2561</v>
      </c>
      <c r="C474" s="351" t="s">
        <v>1470</v>
      </c>
      <c r="D474" s="352" t="s">
        <v>640</v>
      </c>
      <c r="E474" s="353">
        <f t="shared" si="10"/>
        <v>188.14</v>
      </c>
      <c r="F474" s="354"/>
      <c r="G474" s="358" t="s">
        <v>2318</v>
      </c>
      <c r="H474" s="359"/>
      <c r="I474" s="356">
        <f>Таблица37[[#This Row],[Цена]]+Таблица37[[#This Row],[Трудозатраты]]</f>
        <v>188.14</v>
      </c>
      <c r="J474" s="357">
        <v>188.14</v>
      </c>
      <c r="K474" s="220" t="e">
        <f>VLOOKUP(Таблица37[[#This Row],[Оболочки]],'[3]Расчет себес оболочек'!$A$3:$E$35,5,0)</f>
        <v>#N/A</v>
      </c>
    </row>
    <row r="475" spans="2:11" x14ac:dyDescent="0.25">
      <c r="B475" s="350" t="s">
        <v>1471</v>
      </c>
      <c r="C475" s="351" t="s">
        <v>1472</v>
      </c>
      <c r="D475" s="352" t="s">
        <v>640</v>
      </c>
      <c r="E475" s="353">
        <f t="shared" si="10"/>
        <v>188.14</v>
      </c>
      <c r="F475" s="354"/>
      <c r="G475" s="358" t="s">
        <v>2318</v>
      </c>
      <c r="H475" s="359"/>
      <c r="I475" s="356">
        <f>Таблица37[[#This Row],[Цена]]+Таблица37[[#This Row],[Трудозатраты]]</f>
        <v>188.14</v>
      </c>
      <c r="J475" s="357">
        <v>188.14</v>
      </c>
      <c r="K475" s="220" t="e">
        <f>VLOOKUP(Таблица37[[#This Row],[Оболочки]],'[3]Расчет себес оболочек'!$A$3:$E$35,5,0)</f>
        <v>#N/A</v>
      </c>
    </row>
    <row r="476" spans="2:11" x14ac:dyDescent="0.25">
      <c r="B476" s="350" t="s">
        <v>1473</v>
      </c>
      <c r="C476" s="351" t="s">
        <v>1474</v>
      </c>
      <c r="D476" s="352" t="s">
        <v>640</v>
      </c>
      <c r="E476" s="353">
        <f t="shared" si="10"/>
        <v>188.14</v>
      </c>
      <c r="F476" s="354"/>
      <c r="G476" s="358" t="s">
        <v>2318</v>
      </c>
      <c r="H476" s="359"/>
      <c r="I476" s="356">
        <f>Таблица37[[#This Row],[Цена]]+Таблица37[[#This Row],[Трудозатраты]]</f>
        <v>188.14</v>
      </c>
      <c r="J476" s="357">
        <v>188.14</v>
      </c>
      <c r="K476" s="220" t="e">
        <f>VLOOKUP(Таблица37[[#This Row],[Оболочки]],'[3]Расчет себес оболочек'!$A$3:$E$35,5,0)</f>
        <v>#N/A</v>
      </c>
    </row>
    <row r="477" spans="2:11" x14ac:dyDescent="0.25">
      <c r="B477" s="350" t="s">
        <v>1475</v>
      </c>
      <c r="C477" s="351" t="s">
        <v>1476</v>
      </c>
      <c r="D477" s="352" t="s">
        <v>640</v>
      </c>
      <c r="E477" s="353">
        <f t="shared" si="10"/>
        <v>188.14</v>
      </c>
      <c r="F477" s="354"/>
      <c r="G477" s="358" t="s">
        <v>2318</v>
      </c>
      <c r="H477" s="359"/>
      <c r="I477" s="356">
        <f>Таблица37[[#This Row],[Цена]]+Таблица37[[#This Row],[Трудозатраты]]</f>
        <v>188.14</v>
      </c>
      <c r="J477" s="357">
        <v>188.14</v>
      </c>
      <c r="K477" s="220" t="e">
        <f>VLOOKUP(Таблица37[[#This Row],[Оболочки]],'[3]Расчет себес оболочек'!$A$3:$E$35,5,0)</f>
        <v>#N/A</v>
      </c>
    </row>
    <row r="478" spans="2:11" x14ac:dyDescent="0.25">
      <c r="B478" s="350" t="s">
        <v>1477</v>
      </c>
      <c r="C478" s="351" t="s">
        <v>1478</v>
      </c>
      <c r="D478" s="352" t="s">
        <v>640</v>
      </c>
      <c r="E478" s="353">
        <f t="shared" si="10"/>
        <v>188.14</v>
      </c>
      <c r="F478" s="354"/>
      <c r="G478" s="358" t="s">
        <v>2318</v>
      </c>
      <c r="H478" s="359"/>
      <c r="I478" s="356">
        <f>Таблица37[[#This Row],[Цена]]+Таблица37[[#This Row],[Трудозатраты]]</f>
        <v>188.14</v>
      </c>
      <c r="J478" s="357">
        <v>188.14</v>
      </c>
      <c r="K478" s="220" t="e">
        <f>VLOOKUP(Таблица37[[#This Row],[Оболочки]],'[3]Расчет себес оболочек'!$A$3:$E$35,5,0)</f>
        <v>#N/A</v>
      </c>
    </row>
    <row r="479" spans="2:11" x14ac:dyDescent="0.25">
      <c r="B479" s="350" t="s">
        <v>1479</v>
      </c>
      <c r="C479" s="351" t="s">
        <v>1480</v>
      </c>
      <c r="D479" s="352" t="s">
        <v>640</v>
      </c>
      <c r="E479" s="353">
        <f t="shared" si="10"/>
        <v>188.14</v>
      </c>
      <c r="F479" s="354"/>
      <c r="G479" s="358" t="s">
        <v>2318</v>
      </c>
      <c r="H479" s="359"/>
      <c r="I479" s="356">
        <f>Таблица37[[#This Row],[Цена]]+Таблица37[[#This Row],[Трудозатраты]]</f>
        <v>188.14</v>
      </c>
      <c r="J479" s="357">
        <v>188.14</v>
      </c>
      <c r="K479" s="220" t="e">
        <f>VLOOKUP(Таблица37[[#This Row],[Оболочки]],'[3]Расчет себес оболочек'!$A$3:$E$35,5,0)</f>
        <v>#N/A</v>
      </c>
    </row>
    <row r="480" spans="2:11" x14ac:dyDescent="0.25">
      <c r="B480" s="350" t="s">
        <v>1481</v>
      </c>
      <c r="C480" s="351" t="s">
        <v>1482</v>
      </c>
      <c r="D480" s="352" t="s">
        <v>640</v>
      </c>
      <c r="E480" s="353">
        <f t="shared" si="10"/>
        <v>188.14</v>
      </c>
      <c r="F480" s="354"/>
      <c r="G480" s="358" t="s">
        <v>2318</v>
      </c>
      <c r="H480" s="359"/>
      <c r="I480" s="356">
        <f>Таблица37[[#This Row],[Цена]]+Таблица37[[#This Row],[Трудозатраты]]</f>
        <v>188.14</v>
      </c>
      <c r="J480" s="357">
        <v>188.14</v>
      </c>
      <c r="K480" s="220" t="e">
        <f>VLOOKUP(Таблица37[[#This Row],[Оболочки]],'[3]Расчет себес оболочек'!$A$3:$E$35,5,0)</f>
        <v>#N/A</v>
      </c>
    </row>
    <row r="481" spans="2:11" x14ac:dyDescent="0.25">
      <c r="B481" s="350" t="s">
        <v>1483</v>
      </c>
      <c r="C481" s="351" t="s">
        <v>1484</v>
      </c>
      <c r="D481" s="352" t="s">
        <v>640</v>
      </c>
      <c r="E481" s="353">
        <f t="shared" si="10"/>
        <v>188.14</v>
      </c>
      <c r="F481" s="354"/>
      <c r="G481" s="358" t="s">
        <v>2318</v>
      </c>
      <c r="H481" s="359"/>
      <c r="I481" s="356">
        <f>Таблица37[[#This Row],[Цена]]+Таблица37[[#This Row],[Трудозатраты]]</f>
        <v>188.14</v>
      </c>
      <c r="J481" s="357">
        <v>188.14</v>
      </c>
      <c r="K481" s="220" t="e">
        <f>VLOOKUP(Таблица37[[#This Row],[Оболочки]],'[3]Расчет себес оболочек'!$A$3:$E$35,5,0)</f>
        <v>#N/A</v>
      </c>
    </row>
    <row r="482" spans="2:11" x14ac:dyDescent="0.25">
      <c r="B482" s="350" t="s">
        <v>1485</v>
      </c>
      <c r="C482" s="351" t="s">
        <v>1486</v>
      </c>
      <c r="D482" s="352" t="s">
        <v>640</v>
      </c>
      <c r="E482" s="353">
        <f t="shared" si="10"/>
        <v>188.14</v>
      </c>
      <c r="F482" s="354"/>
      <c r="G482" s="358" t="s">
        <v>2318</v>
      </c>
      <c r="H482" s="359"/>
      <c r="I482" s="356">
        <f>Таблица37[[#This Row],[Цена]]+Таблица37[[#This Row],[Трудозатраты]]</f>
        <v>188.14</v>
      </c>
      <c r="J482" s="357">
        <v>188.14</v>
      </c>
      <c r="K482" s="220" t="e">
        <f>VLOOKUP(Таблица37[[#This Row],[Оболочки]],'[3]Расчет себес оболочек'!$A$3:$E$35,5,0)</f>
        <v>#N/A</v>
      </c>
    </row>
    <row r="483" spans="2:11" x14ac:dyDescent="0.25">
      <c r="B483" s="350" t="s">
        <v>1487</v>
      </c>
      <c r="C483" s="351" t="s">
        <v>1488</v>
      </c>
      <c r="D483" s="352" t="s">
        <v>640</v>
      </c>
      <c r="E483" s="353">
        <f t="shared" si="10"/>
        <v>188.14</v>
      </c>
      <c r="F483" s="354"/>
      <c r="G483" s="358" t="s">
        <v>2318</v>
      </c>
      <c r="H483" s="359"/>
      <c r="I483" s="356">
        <f>Таблица37[[#This Row],[Цена]]+Таблица37[[#This Row],[Трудозатраты]]</f>
        <v>188.14</v>
      </c>
      <c r="J483" s="357">
        <v>188.14</v>
      </c>
      <c r="K483" s="220" t="e">
        <f>VLOOKUP(Таблица37[[#This Row],[Оболочки]],'[3]Расчет себес оболочек'!$A$3:$E$35,5,0)</f>
        <v>#N/A</v>
      </c>
    </row>
    <row r="484" spans="2:11" x14ac:dyDescent="0.25">
      <c r="B484" s="350" t="s">
        <v>1489</v>
      </c>
      <c r="C484" s="351" t="s">
        <v>1490</v>
      </c>
      <c r="D484" s="352" t="s">
        <v>640</v>
      </c>
      <c r="E484" s="353">
        <f t="shared" si="10"/>
        <v>188.14</v>
      </c>
      <c r="F484" s="354"/>
      <c r="G484" s="358" t="s">
        <v>2318</v>
      </c>
      <c r="H484" s="359"/>
      <c r="I484" s="356">
        <f>Таблица37[[#This Row],[Цена]]+Таблица37[[#This Row],[Трудозатраты]]</f>
        <v>188.14</v>
      </c>
      <c r="J484" s="357">
        <v>188.14</v>
      </c>
      <c r="K484" s="220" t="e">
        <f>VLOOKUP(Таблица37[[#This Row],[Оболочки]],'[3]Расчет себес оболочек'!$A$3:$E$35,5,0)</f>
        <v>#N/A</v>
      </c>
    </row>
    <row r="485" spans="2:11" x14ac:dyDescent="0.25">
      <c r="B485" s="350" t="s">
        <v>1491</v>
      </c>
      <c r="C485" s="351" t="s">
        <v>1492</v>
      </c>
      <c r="D485" s="352" t="s">
        <v>640</v>
      </c>
      <c r="E485" s="353">
        <f t="shared" si="10"/>
        <v>188.14</v>
      </c>
      <c r="F485" s="354"/>
      <c r="G485" s="358" t="s">
        <v>2318</v>
      </c>
      <c r="H485" s="359"/>
      <c r="I485" s="356">
        <f>Таблица37[[#This Row],[Цена]]+Таблица37[[#This Row],[Трудозатраты]]</f>
        <v>188.14</v>
      </c>
      <c r="J485" s="357">
        <v>188.14</v>
      </c>
      <c r="K485" s="220" t="e">
        <f>VLOOKUP(Таблица37[[#This Row],[Оболочки]],'[3]Расчет себес оболочек'!$A$3:$E$35,5,0)</f>
        <v>#N/A</v>
      </c>
    </row>
    <row r="486" spans="2:11" x14ac:dyDescent="0.25">
      <c r="B486" s="350" t="s">
        <v>1493</v>
      </c>
      <c r="C486" s="351" t="s">
        <v>1494</v>
      </c>
      <c r="D486" s="352" t="s">
        <v>640</v>
      </c>
      <c r="E486" s="353">
        <f t="shared" si="10"/>
        <v>188.14</v>
      </c>
      <c r="F486" s="354"/>
      <c r="G486" s="358" t="s">
        <v>2318</v>
      </c>
      <c r="H486" s="359"/>
      <c r="I486" s="356">
        <f>Таблица37[[#This Row],[Цена]]+Таблица37[[#This Row],[Трудозатраты]]</f>
        <v>188.14</v>
      </c>
      <c r="J486" s="357">
        <v>188.14</v>
      </c>
      <c r="K486" s="220" t="e">
        <f>VLOOKUP(Таблица37[[#This Row],[Оболочки]],'[3]Расчет себес оболочек'!$A$3:$E$35,5,0)</f>
        <v>#N/A</v>
      </c>
    </row>
    <row r="487" spans="2:11" x14ac:dyDescent="0.25">
      <c r="B487" s="350" t="s">
        <v>1495</v>
      </c>
      <c r="C487" s="351" t="s">
        <v>1496</v>
      </c>
      <c r="D487" s="352" t="s">
        <v>640</v>
      </c>
      <c r="E487" s="353">
        <f t="shared" si="10"/>
        <v>188.14</v>
      </c>
      <c r="F487" s="354"/>
      <c r="G487" s="358" t="s">
        <v>2318</v>
      </c>
      <c r="H487" s="359"/>
      <c r="I487" s="356">
        <f>Таблица37[[#This Row],[Цена]]+Таблица37[[#This Row],[Трудозатраты]]</f>
        <v>188.14</v>
      </c>
      <c r="J487" s="357">
        <v>188.14</v>
      </c>
      <c r="K487" s="220" t="e">
        <f>VLOOKUP(Таблица37[[#This Row],[Оболочки]],'[3]Расчет себес оболочек'!$A$3:$E$35,5,0)</f>
        <v>#N/A</v>
      </c>
    </row>
    <row r="488" spans="2:11" x14ac:dyDescent="0.25">
      <c r="B488" s="350" t="s">
        <v>1497</v>
      </c>
      <c r="C488" s="351" t="s">
        <v>1498</v>
      </c>
      <c r="D488" s="352" t="s">
        <v>640</v>
      </c>
      <c r="E488" s="353">
        <f t="shared" si="10"/>
        <v>188.14</v>
      </c>
      <c r="F488" s="354"/>
      <c r="G488" s="358" t="s">
        <v>2318</v>
      </c>
      <c r="H488" s="359"/>
      <c r="I488" s="356">
        <f>Таблица37[[#This Row],[Цена]]+Таблица37[[#This Row],[Трудозатраты]]</f>
        <v>188.14</v>
      </c>
      <c r="J488" s="357">
        <v>188.14</v>
      </c>
      <c r="K488" s="220" t="e">
        <f>VLOOKUP(Таблица37[[#This Row],[Оболочки]],'[3]Расчет себес оболочек'!$A$3:$E$35,5,0)</f>
        <v>#N/A</v>
      </c>
    </row>
    <row r="489" spans="2:11" x14ac:dyDescent="0.25">
      <c r="B489" s="350" t="s">
        <v>1499</v>
      </c>
      <c r="C489" s="351" t="s">
        <v>1500</v>
      </c>
      <c r="D489" s="352" t="s">
        <v>640</v>
      </c>
      <c r="E489" s="353">
        <f t="shared" si="10"/>
        <v>188.14</v>
      </c>
      <c r="F489" s="354"/>
      <c r="G489" s="358" t="s">
        <v>2318</v>
      </c>
      <c r="H489" s="359"/>
      <c r="I489" s="356">
        <f>Таблица37[[#This Row],[Цена]]+Таблица37[[#This Row],[Трудозатраты]]</f>
        <v>188.14</v>
      </c>
      <c r="J489" s="357">
        <v>188.14</v>
      </c>
      <c r="K489" s="220" t="e">
        <f>VLOOKUP(Таблица37[[#This Row],[Оболочки]],'[3]Расчет себес оболочек'!$A$3:$E$35,5,0)</f>
        <v>#N/A</v>
      </c>
    </row>
    <row r="490" spans="2:11" x14ac:dyDescent="0.25">
      <c r="B490" s="350" t="s">
        <v>1501</v>
      </c>
      <c r="C490" s="351" t="s">
        <v>1502</v>
      </c>
      <c r="D490" s="352" t="s">
        <v>640</v>
      </c>
      <c r="E490" s="353">
        <f t="shared" si="10"/>
        <v>188.14</v>
      </c>
      <c r="F490" s="354"/>
      <c r="G490" s="358" t="s">
        <v>2318</v>
      </c>
      <c r="H490" s="359"/>
      <c r="I490" s="356">
        <f>Таблица37[[#This Row],[Цена]]+Таблица37[[#This Row],[Трудозатраты]]</f>
        <v>188.14</v>
      </c>
      <c r="J490" s="357">
        <v>188.14</v>
      </c>
      <c r="K490" s="220" t="e">
        <f>VLOOKUP(Таблица37[[#This Row],[Оболочки]],'[3]Расчет себес оболочек'!$A$3:$E$35,5,0)</f>
        <v>#N/A</v>
      </c>
    </row>
    <row r="491" spans="2:11" x14ac:dyDescent="0.25">
      <c r="B491" s="350" t="s">
        <v>1503</v>
      </c>
      <c r="C491" s="351" t="s">
        <v>1504</v>
      </c>
      <c r="D491" s="352" t="s">
        <v>640</v>
      </c>
      <c r="E491" s="353">
        <f t="shared" si="10"/>
        <v>188.14</v>
      </c>
      <c r="F491" s="354"/>
      <c r="G491" s="358" t="s">
        <v>2318</v>
      </c>
      <c r="H491" s="359"/>
      <c r="I491" s="356">
        <f>Таблица37[[#This Row],[Цена]]+Таблица37[[#This Row],[Трудозатраты]]</f>
        <v>188.14</v>
      </c>
      <c r="J491" s="357">
        <v>188.14</v>
      </c>
      <c r="K491" s="220" t="e">
        <f>VLOOKUP(Таблица37[[#This Row],[Оболочки]],'[3]Расчет себес оболочек'!$A$3:$E$35,5,0)</f>
        <v>#N/A</v>
      </c>
    </row>
    <row r="492" spans="2:11" x14ac:dyDescent="0.25">
      <c r="B492" s="350" t="s">
        <v>1505</v>
      </c>
      <c r="C492" s="351" t="s">
        <v>1506</v>
      </c>
      <c r="D492" s="352" t="s">
        <v>640</v>
      </c>
      <c r="E492" s="353">
        <f t="shared" si="10"/>
        <v>188.14</v>
      </c>
      <c r="F492" s="354"/>
      <c r="G492" s="358" t="s">
        <v>2318</v>
      </c>
      <c r="H492" s="359"/>
      <c r="I492" s="356">
        <f>Таблица37[[#This Row],[Цена]]+Таблица37[[#This Row],[Трудозатраты]]</f>
        <v>188.14</v>
      </c>
      <c r="J492" s="357">
        <v>188.14</v>
      </c>
      <c r="K492" s="220" t="e">
        <f>VLOOKUP(Таблица37[[#This Row],[Оболочки]],'[3]Расчет себес оболочек'!$A$3:$E$35,5,0)</f>
        <v>#N/A</v>
      </c>
    </row>
    <row r="493" spans="2:11" x14ac:dyDescent="0.25">
      <c r="B493" s="350" t="s">
        <v>1507</v>
      </c>
      <c r="C493" s="351" t="s">
        <v>1508</v>
      </c>
      <c r="D493" s="352" t="s">
        <v>640</v>
      </c>
      <c r="E493" s="353">
        <f t="shared" si="10"/>
        <v>188.14</v>
      </c>
      <c r="F493" s="354"/>
      <c r="G493" s="358" t="s">
        <v>2318</v>
      </c>
      <c r="H493" s="359"/>
      <c r="I493" s="356">
        <f>Таблица37[[#This Row],[Цена]]+Таблица37[[#This Row],[Трудозатраты]]</f>
        <v>188.14</v>
      </c>
      <c r="J493" s="357">
        <v>188.14</v>
      </c>
      <c r="K493" s="220" t="e">
        <f>VLOOKUP(Таблица37[[#This Row],[Оболочки]],'[3]Расчет себес оболочек'!$A$3:$E$35,5,0)</f>
        <v>#N/A</v>
      </c>
    </row>
    <row r="494" spans="2:11" x14ac:dyDescent="0.25">
      <c r="B494" s="350" t="s">
        <v>1509</v>
      </c>
      <c r="C494" s="351" t="s">
        <v>1510</v>
      </c>
      <c r="D494" s="352" t="s">
        <v>640</v>
      </c>
      <c r="E494" s="353">
        <f t="shared" si="10"/>
        <v>188.14</v>
      </c>
      <c r="F494" s="354"/>
      <c r="G494" s="358" t="s">
        <v>2318</v>
      </c>
      <c r="H494" s="359"/>
      <c r="I494" s="356">
        <f>Таблица37[[#This Row],[Цена]]+Таблица37[[#This Row],[Трудозатраты]]</f>
        <v>188.14</v>
      </c>
      <c r="J494" s="357">
        <v>188.14</v>
      </c>
      <c r="K494" s="220" t="e">
        <f>VLOOKUP(Таблица37[[#This Row],[Оболочки]],'[3]Расчет себес оболочек'!$A$3:$E$35,5,0)</f>
        <v>#N/A</v>
      </c>
    </row>
    <row r="495" spans="2:11" x14ac:dyDescent="0.25">
      <c r="B495" s="350" t="s">
        <v>1511</v>
      </c>
      <c r="C495" s="351" t="s">
        <v>1512</v>
      </c>
      <c r="D495" s="352" t="s">
        <v>640</v>
      </c>
      <c r="E495" s="353">
        <f t="shared" si="10"/>
        <v>188.14</v>
      </c>
      <c r="F495" s="354"/>
      <c r="G495" s="358" t="s">
        <v>2318</v>
      </c>
      <c r="H495" s="359"/>
      <c r="I495" s="356">
        <f>Таблица37[[#This Row],[Цена]]+Таблица37[[#This Row],[Трудозатраты]]</f>
        <v>188.14</v>
      </c>
      <c r="J495" s="357">
        <v>188.14</v>
      </c>
      <c r="K495" s="220" t="e">
        <f>VLOOKUP(Таблица37[[#This Row],[Оболочки]],'[3]Расчет себес оболочек'!$A$3:$E$35,5,0)</f>
        <v>#N/A</v>
      </c>
    </row>
    <row r="496" spans="2:11" x14ac:dyDescent="0.25">
      <c r="B496" s="350" t="s">
        <v>1513</v>
      </c>
      <c r="C496" s="351" t="s">
        <v>1514</v>
      </c>
      <c r="D496" s="352" t="s">
        <v>640</v>
      </c>
      <c r="E496" s="353">
        <f t="shared" si="10"/>
        <v>188.14</v>
      </c>
      <c r="F496" s="354"/>
      <c r="G496" s="358" t="s">
        <v>2318</v>
      </c>
      <c r="H496" s="359"/>
      <c r="I496" s="356">
        <f>Таблица37[[#This Row],[Цена]]+Таблица37[[#This Row],[Трудозатраты]]</f>
        <v>188.14</v>
      </c>
      <c r="J496" s="357">
        <v>188.14</v>
      </c>
      <c r="K496" s="220" t="e">
        <f>VLOOKUP(Таблица37[[#This Row],[Оболочки]],'[3]Расчет себес оболочек'!$A$3:$E$35,5,0)</f>
        <v>#N/A</v>
      </c>
    </row>
    <row r="497" spans="2:11" x14ac:dyDescent="0.25">
      <c r="B497" s="350" t="s">
        <v>1515</v>
      </c>
      <c r="C497" s="351" t="s">
        <v>1516</v>
      </c>
      <c r="D497" s="352" t="s">
        <v>640</v>
      </c>
      <c r="E497" s="353">
        <f t="shared" si="10"/>
        <v>188.14</v>
      </c>
      <c r="F497" s="354"/>
      <c r="G497" s="358" t="s">
        <v>2318</v>
      </c>
      <c r="H497" s="359"/>
      <c r="I497" s="356">
        <f>Таблица37[[#This Row],[Цена]]+Таблица37[[#This Row],[Трудозатраты]]</f>
        <v>188.14</v>
      </c>
      <c r="J497" s="357">
        <v>188.14</v>
      </c>
      <c r="K497" s="220" t="e">
        <f>VLOOKUP(Таблица37[[#This Row],[Оболочки]],'[3]Расчет себес оболочек'!$A$3:$E$35,5,0)</f>
        <v>#N/A</v>
      </c>
    </row>
    <row r="498" spans="2:11" x14ac:dyDescent="0.25">
      <c r="B498" s="350" t="s">
        <v>1517</v>
      </c>
      <c r="C498" s="351" t="s">
        <v>1518</v>
      </c>
      <c r="D498" s="352" t="s">
        <v>640</v>
      </c>
      <c r="E498" s="353">
        <f t="shared" si="10"/>
        <v>188.14</v>
      </c>
      <c r="F498" s="354"/>
      <c r="G498" s="358" t="s">
        <v>2318</v>
      </c>
      <c r="H498" s="359"/>
      <c r="I498" s="356">
        <f>Таблица37[[#This Row],[Цена]]+Таблица37[[#This Row],[Трудозатраты]]</f>
        <v>188.14</v>
      </c>
      <c r="J498" s="357">
        <v>188.14</v>
      </c>
      <c r="K498" s="220" t="e">
        <f>VLOOKUP(Таблица37[[#This Row],[Оболочки]],'[3]Расчет себес оболочек'!$A$3:$E$35,5,0)</f>
        <v>#N/A</v>
      </c>
    </row>
    <row r="499" spans="2:11" x14ac:dyDescent="0.25">
      <c r="B499" s="350" t="s">
        <v>1519</v>
      </c>
      <c r="C499" s="351" t="s">
        <v>1520</v>
      </c>
      <c r="D499" s="352" t="s">
        <v>640</v>
      </c>
      <c r="E499" s="353">
        <f t="shared" si="10"/>
        <v>188.14</v>
      </c>
      <c r="F499" s="354"/>
      <c r="G499" s="358" t="s">
        <v>2318</v>
      </c>
      <c r="H499" s="359"/>
      <c r="I499" s="356">
        <f>Таблица37[[#This Row],[Цена]]+Таблица37[[#This Row],[Трудозатраты]]</f>
        <v>188.14</v>
      </c>
      <c r="J499" s="357">
        <v>188.14</v>
      </c>
      <c r="K499" s="220" t="e">
        <f>VLOOKUP(Таблица37[[#This Row],[Оболочки]],'[3]Расчет себес оболочек'!$A$3:$E$35,5,0)</f>
        <v>#N/A</v>
      </c>
    </row>
    <row r="500" spans="2:11" x14ac:dyDescent="0.25">
      <c r="B500" s="350" t="s">
        <v>1521</v>
      </c>
      <c r="C500" s="351" t="s">
        <v>1522</v>
      </c>
      <c r="D500" s="352" t="s">
        <v>640</v>
      </c>
      <c r="E500" s="353">
        <f t="shared" si="10"/>
        <v>188.14</v>
      </c>
      <c r="F500" s="354"/>
      <c r="G500" s="358" t="s">
        <v>2318</v>
      </c>
      <c r="H500" s="359"/>
      <c r="I500" s="356">
        <f>Таблица37[[#This Row],[Цена]]+Таблица37[[#This Row],[Трудозатраты]]</f>
        <v>188.14</v>
      </c>
      <c r="J500" s="357">
        <v>188.14</v>
      </c>
      <c r="K500" s="220" t="e">
        <f>VLOOKUP(Таблица37[[#This Row],[Оболочки]],'[3]Расчет себес оболочек'!$A$3:$E$35,5,0)</f>
        <v>#N/A</v>
      </c>
    </row>
    <row r="501" spans="2:11" x14ac:dyDescent="0.25">
      <c r="B501" s="350" t="s">
        <v>1523</v>
      </c>
      <c r="C501" s="351" t="s">
        <v>1524</v>
      </c>
      <c r="D501" s="352" t="s">
        <v>640</v>
      </c>
      <c r="E501" s="353">
        <f t="shared" si="10"/>
        <v>188.14</v>
      </c>
      <c r="F501" s="354"/>
      <c r="G501" s="358" t="s">
        <v>2318</v>
      </c>
      <c r="H501" s="359"/>
      <c r="I501" s="356">
        <f>Таблица37[[#This Row],[Цена]]+Таблица37[[#This Row],[Трудозатраты]]</f>
        <v>188.14</v>
      </c>
      <c r="J501" s="357">
        <v>188.14</v>
      </c>
      <c r="K501" s="220" t="e">
        <f>VLOOKUP(Таблица37[[#This Row],[Оболочки]],'[3]Расчет себес оболочек'!$A$3:$E$35,5,0)</f>
        <v>#N/A</v>
      </c>
    </row>
    <row r="502" spans="2:11" x14ac:dyDescent="0.25">
      <c r="B502" s="350" t="s">
        <v>1525</v>
      </c>
      <c r="C502" s="351" t="s">
        <v>1526</v>
      </c>
      <c r="D502" s="352" t="s">
        <v>640</v>
      </c>
      <c r="E502" s="353">
        <f t="shared" si="10"/>
        <v>188.14</v>
      </c>
      <c r="F502" s="354"/>
      <c r="G502" s="358" t="s">
        <v>2318</v>
      </c>
      <c r="H502" s="359"/>
      <c r="I502" s="356">
        <f>Таблица37[[#This Row],[Цена]]+Таблица37[[#This Row],[Трудозатраты]]</f>
        <v>188.14</v>
      </c>
      <c r="J502" s="357">
        <v>188.14</v>
      </c>
      <c r="K502" s="220" t="e">
        <f>VLOOKUP(Таблица37[[#This Row],[Оболочки]],'[3]Расчет себес оболочек'!$A$3:$E$35,5,0)</f>
        <v>#N/A</v>
      </c>
    </row>
    <row r="503" spans="2:11" x14ac:dyDescent="0.25">
      <c r="B503" s="350" t="s">
        <v>1527</v>
      </c>
      <c r="C503" s="351" t="s">
        <v>1528</v>
      </c>
      <c r="D503" s="352" t="s">
        <v>640</v>
      </c>
      <c r="E503" s="353">
        <f t="shared" si="10"/>
        <v>188.14</v>
      </c>
      <c r="F503" s="354"/>
      <c r="G503" s="358" t="s">
        <v>2318</v>
      </c>
      <c r="H503" s="359"/>
      <c r="I503" s="356">
        <f>Таблица37[[#This Row],[Цена]]+Таблица37[[#This Row],[Трудозатраты]]</f>
        <v>188.14</v>
      </c>
      <c r="J503" s="357">
        <v>188.14</v>
      </c>
      <c r="K503" s="220" t="e">
        <f>VLOOKUP(Таблица37[[#This Row],[Оболочки]],'[3]Расчет себес оболочек'!$A$3:$E$35,5,0)</f>
        <v>#N/A</v>
      </c>
    </row>
    <row r="504" spans="2:11" x14ac:dyDescent="0.25">
      <c r="B504" s="350" t="s">
        <v>1529</v>
      </c>
      <c r="C504" s="351" t="s">
        <v>1530</v>
      </c>
      <c r="D504" s="352" t="s">
        <v>640</v>
      </c>
      <c r="E504" s="353">
        <f t="shared" si="10"/>
        <v>188.14</v>
      </c>
      <c r="F504" s="354"/>
      <c r="G504" s="358" t="s">
        <v>2318</v>
      </c>
      <c r="H504" s="359"/>
      <c r="I504" s="356">
        <f>Таблица37[[#This Row],[Цена]]+Таблица37[[#This Row],[Трудозатраты]]</f>
        <v>188.14</v>
      </c>
      <c r="J504" s="357">
        <v>188.14</v>
      </c>
      <c r="K504" s="220" t="e">
        <f>VLOOKUP(Таблица37[[#This Row],[Оболочки]],'[3]Расчет себес оболочек'!$A$3:$E$35,5,0)</f>
        <v>#N/A</v>
      </c>
    </row>
    <row r="505" spans="2:11" x14ac:dyDescent="0.25">
      <c r="B505" s="350" t="s">
        <v>1531</v>
      </c>
      <c r="C505" s="351" t="s">
        <v>1532</v>
      </c>
      <c r="D505" s="352" t="s">
        <v>640</v>
      </c>
      <c r="E505" s="353">
        <f t="shared" si="10"/>
        <v>188.14</v>
      </c>
      <c r="F505" s="354"/>
      <c r="G505" s="358" t="s">
        <v>2318</v>
      </c>
      <c r="H505" s="359"/>
      <c r="I505" s="356">
        <f>Таблица37[[#This Row],[Цена]]+Таблица37[[#This Row],[Трудозатраты]]</f>
        <v>188.14</v>
      </c>
      <c r="J505" s="357">
        <v>188.14</v>
      </c>
      <c r="K505" s="220" t="e">
        <f>VLOOKUP(Таблица37[[#This Row],[Оболочки]],'[3]Расчет себес оболочек'!$A$3:$E$35,5,0)</f>
        <v>#N/A</v>
      </c>
    </row>
    <row r="506" spans="2:11" x14ac:dyDescent="0.25">
      <c r="B506" s="350" t="s">
        <v>1533</v>
      </c>
      <c r="C506" s="351" t="s">
        <v>1534</v>
      </c>
      <c r="D506" s="352" t="s">
        <v>640</v>
      </c>
      <c r="E506" s="353">
        <f t="shared" si="10"/>
        <v>188.14</v>
      </c>
      <c r="F506" s="354"/>
      <c r="G506" s="358" t="s">
        <v>2318</v>
      </c>
      <c r="H506" s="359"/>
      <c r="I506" s="356">
        <f>Таблица37[[#This Row],[Цена]]+Таблица37[[#This Row],[Трудозатраты]]</f>
        <v>188.14</v>
      </c>
      <c r="J506" s="357">
        <v>188.14</v>
      </c>
      <c r="K506" s="220" t="e">
        <f>VLOOKUP(Таблица37[[#This Row],[Оболочки]],'[3]Расчет себес оболочек'!$A$3:$E$35,5,0)</f>
        <v>#N/A</v>
      </c>
    </row>
    <row r="507" spans="2:11" x14ac:dyDescent="0.25">
      <c r="B507" s="350" t="s">
        <v>1535</v>
      </c>
      <c r="C507" s="351" t="s">
        <v>1536</v>
      </c>
      <c r="D507" s="352" t="s">
        <v>640</v>
      </c>
      <c r="E507" s="353">
        <f t="shared" si="10"/>
        <v>188.14</v>
      </c>
      <c r="F507" s="354"/>
      <c r="G507" s="358" t="s">
        <v>2318</v>
      </c>
      <c r="H507" s="359"/>
      <c r="I507" s="356">
        <f>Таблица37[[#This Row],[Цена]]+Таблица37[[#This Row],[Трудозатраты]]</f>
        <v>188.14</v>
      </c>
      <c r="J507" s="357">
        <v>188.14</v>
      </c>
      <c r="K507" s="220" t="e">
        <f>VLOOKUP(Таблица37[[#This Row],[Оболочки]],'[3]Расчет себес оболочек'!$A$3:$E$35,5,0)</f>
        <v>#N/A</v>
      </c>
    </row>
    <row r="508" spans="2:11" x14ac:dyDescent="0.25">
      <c r="B508" s="350" t="s">
        <v>1537</v>
      </c>
      <c r="C508" s="351" t="s">
        <v>1538</v>
      </c>
      <c r="D508" s="352" t="s">
        <v>640</v>
      </c>
      <c r="E508" s="353">
        <f t="shared" si="10"/>
        <v>188.14</v>
      </c>
      <c r="F508" s="354"/>
      <c r="G508" s="358" t="s">
        <v>2318</v>
      </c>
      <c r="H508" s="359"/>
      <c r="I508" s="356">
        <f>Таблица37[[#This Row],[Цена]]+Таблица37[[#This Row],[Трудозатраты]]</f>
        <v>188.14</v>
      </c>
      <c r="J508" s="357">
        <v>188.14</v>
      </c>
      <c r="K508" s="220" t="e">
        <f>VLOOKUP(Таблица37[[#This Row],[Оболочки]],'[3]Расчет себес оболочек'!$A$3:$E$35,5,0)</f>
        <v>#N/A</v>
      </c>
    </row>
    <row r="509" spans="2:11" x14ac:dyDescent="0.25">
      <c r="B509" s="350" t="s">
        <v>1539</v>
      </c>
      <c r="C509" s="351" t="s">
        <v>1540</v>
      </c>
      <c r="D509" s="352" t="s">
        <v>640</v>
      </c>
      <c r="E509" s="353">
        <f t="shared" si="10"/>
        <v>188.14</v>
      </c>
      <c r="F509" s="354"/>
      <c r="G509" s="358" t="s">
        <v>2318</v>
      </c>
      <c r="H509" s="359"/>
      <c r="I509" s="356">
        <f>Таблица37[[#This Row],[Цена]]+Таблица37[[#This Row],[Трудозатраты]]</f>
        <v>188.14</v>
      </c>
      <c r="J509" s="357">
        <v>188.14</v>
      </c>
      <c r="K509" s="220" t="e">
        <f>VLOOKUP(Таблица37[[#This Row],[Оболочки]],'[3]Расчет себес оболочек'!$A$3:$E$35,5,0)</f>
        <v>#N/A</v>
      </c>
    </row>
    <row r="510" spans="2:11" x14ac:dyDescent="0.25">
      <c r="B510" s="350" t="s">
        <v>1541</v>
      </c>
      <c r="C510" s="351" t="s">
        <v>1542</v>
      </c>
      <c r="D510" s="352" t="s">
        <v>640</v>
      </c>
      <c r="E510" s="353">
        <f t="shared" si="10"/>
        <v>188.14</v>
      </c>
      <c r="F510" s="354"/>
      <c r="G510" s="358" t="s">
        <v>2318</v>
      </c>
      <c r="H510" s="359"/>
      <c r="I510" s="356">
        <f>Таблица37[[#This Row],[Цена]]+Таблица37[[#This Row],[Трудозатраты]]</f>
        <v>188.14</v>
      </c>
      <c r="J510" s="357">
        <v>188.14</v>
      </c>
      <c r="K510" s="220" t="e">
        <f>VLOOKUP(Таблица37[[#This Row],[Оболочки]],'[3]Расчет себес оболочек'!$A$3:$E$35,5,0)</f>
        <v>#N/A</v>
      </c>
    </row>
    <row r="511" spans="2:11" x14ac:dyDescent="0.25">
      <c r="B511" s="350" t="s">
        <v>1543</v>
      </c>
      <c r="C511" s="351" t="s">
        <v>1544</v>
      </c>
      <c r="D511" s="352" t="s">
        <v>640</v>
      </c>
      <c r="E511" s="353">
        <f t="shared" si="10"/>
        <v>188.14</v>
      </c>
      <c r="F511" s="354"/>
      <c r="G511" s="358" t="s">
        <v>2318</v>
      </c>
      <c r="H511" s="359"/>
      <c r="I511" s="356">
        <f>Таблица37[[#This Row],[Цена]]+Таблица37[[#This Row],[Трудозатраты]]</f>
        <v>188.14</v>
      </c>
      <c r="J511" s="357">
        <v>188.14</v>
      </c>
      <c r="K511" s="220" t="e">
        <f>VLOOKUP(Таблица37[[#This Row],[Оболочки]],'[3]Расчет себес оболочек'!$A$3:$E$35,5,0)</f>
        <v>#N/A</v>
      </c>
    </row>
    <row r="512" spans="2:11" x14ac:dyDescent="0.25">
      <c r="B512" s="350" t="s">
        <v>1545</v>
      </c>
      <c r="C512" s="351" t="s">
        <v>1546</v>
      </c>
      <c r="D512" s="352" t="s">
        <v>640</v>
      </c>
      <c r="E512" s="353">
        <f t="shared" si="10"/>
        <v>188.14</v>
      </c>
      <c r="F512" s="354"/>
      <c r="G512" s="358" t="s">
        <v>2318</v>
      </c>
      <c r="H512" s="359"/>
      <c r="I512" s="356">
        <f>Таблица37[[#This Row],[Цена]]+Таблица37[[#This Row],[Трудозатраты]]</f>
        <v>188.14</v>
      </c>
      <c r="J512" s="357">
        <v>188.14</v>
      </c>
      <c r="K512" s="220" t="e">
        <f>VLOOKUP(Таблица37[[#This Row],[Оболочки]],'[3]Расчет себес оболочек'!$A$3:$E$35,5,0)</f>
        <v>#N/A</v>
      </c>
    </row>
    <row r="513" spans="2:11" x14ac:dyDescent="0.25">
      <c r="B513" s="350" t="s">
        <v>1547</v>
      </c>
      <c r="C513" s="351" t="s">
        <v>1548</v>
      </c>
      <c r="D513" s="352" t="s">
        <v>640</v>
      </c>
      <c r="E513" s="353">
        <f t="shared" si="10"/>
        <v>188.14</v>
      </c>
      <c r="F513" s="354"/>
      <c r="G513" s="358" t="s">
        <v>2318</v>
      </c>
      <c r="H513" s="359"/>
      <c r="I513" s="356">
        <f>Таблица37[[#This Row],[Цена]]+Таблица37[[#This Row],[Трудозатраты]]</f>
        <v>188.14</v>
      </c>
      <c r="J513" s="357">
        <v>188.14</v>
      </c>
      <c r="K513" s="220" t="e">
        <f>VLOOKUP(Таблица37[[#This Row],[Оболочки]],'[3]Расчет себес оболочек'!$A$3:$E$35,5,0)</f>
        <v>#N/A</v>
      </c>
    </row>
    <row r="514" spans="2:11" x14ac:dyDescent="0.25">
      <c r="B514" s="350" t="s">
        <v>1549</v>
      </c>
      <c r="C514" s="351" t="s">
        <v>1550</v>
      </c>
      <c r="D514" s="352" t="s">
        <v>640</v>
      </c>
      <c r="E514" s="353">
        <f t="shared" si="10"/>
        <v>188.14</v>
      </c>
      <c r="F514" s="354"/>
      <c r="G514" s="358" t="s">
        <v>2318</v>
      </c>
      <c r="H514" s="359"/>
      <c r="I514" s="356">
        <f>Таблица37[[#This Row],[Цена]]+Таблица37[[#This Row],[Трудозатраты]]</f>
        <v>188.14</v>
      </c>
      <c r="J514" s="357">
        <v>188.14</v>
      </c>
      <c r="K514" s="220" t="e">
        <f>VLOOKUP(Таблица37[[#This Row],[Оболочки]],'[3]Расчет себес оболочек'!$A$3:$E$35,5,0)</f>
        <v>#N/A</v>
      </c>
    </row>
    <row r="515" spans="2:11" x14ac:dyDescent="0.25">
      <c r="B515" s="350" t="s">
        <v>1551</v>
      </c>
      <c r="C515" s="351" t="s">
        <v>1552</v>
      </c>
      <c r="D515" s="352" t="s">
        <v>640</v>
      </c>
      <c r="E515" s="353">
        <f t="shared" si="10"/>
        <v>188.14</v>
      </c>
      <c r="F515" s="354"/>
      <c r="G515" s="358" t="s">
        <v>2318</v>
      </c>
      <c r="H515" s="359"/>
      <c r="I515" s="356">
        <f>Таблица37[[#This Row],[Цена]]+Таблица37[[#This Row],[Трудозатраты]]</f>
        <v>188.14</v>
      </c>
      <c r="J515" s="357">
        <v>188.14</v>
      </c>
      <c r="K515" s="220" t="e">
        <f>VLOOKUP(Таблица37[[#This Row],[Оболочки]],'[3]Расчет себес оболочек'!$A$3:$E$35,5,0)</f>
        <v>#N/A</v>
      </c>
    </row>
    <row r="516" spans="2:11" x14ac:dyDescent="0.25">
      <c r="B516" s="350" t="s">
        <v>1553</v>
      </c>
      <c r="C516" s="351" t="s">
        <v>1554</v>
      </c>
      <c r="D516" s="352" t="s">
        <v>640</v>
      </c>
      <c r="E516" s="353">
        <f t="shared" si="10"/>
        <v>188.14</v>
      </c>
      <c r="F516" s="354"/>
      <c r="G516" s="358" t="s">
        <v>2318</v>
      </c>
      <c r="H516" s="359"/>
      <c r="I516" s="356">
        <f>Таблица37[[#This Row],[Цена]]+Таблица37[[#This Row],[Трудозатраты]]</f>
        <v>188.14</v>
      </c>
      <c r="J516" s="357">
        <v>188.14</v>
      </c>
      <c r="K516" s="220" t="e">
        <f>VLOOKUP(Таблица37[[#This Row],[Оболочки]],'[3]Расчет себес оболочек'!$A$3:$E$35,5,0)</f>
        <v>#N/A</v>
      </c>
    </row>
    <row r="517" spans="2:11" x14ac:dyDescent="0.25">
      <c r="B517" s="350" t="s">
        <v>1555</v>
      </c>
      <c r="C517" s="351" t="s">
        <v>1556</v>
      </c>
      <c r="D517" s="352" t="s">
        <v>640</v>
      </c>
      <c r="E517" s="353">
        <f t="shared" si="10"/>
        <v>188.14</v>
      </c>
      <c r="F517" s="354"/>
      <c r="G517" s="358" t="s">
        <v>2318</v>
      </c>
      <c r="H517" s="359"/>
      <c r="I517" s="356">
        <f>Таблица37[[#This Row],[Цена]]+Таблица37[[#This Row],[Трудозатраты]]</f>
        <v>188.14</v>
      </c>
      <c r="J517" s="357">
        <v>188.14</v>
      </c>
      <c r="K517" s="220" t="e">
        <f>VLOOKUP(Таблица37[[#This Row],[Оболочки]],'[3]Расчет себес оболочек'!$A$3:$E$35,5,0)</f>
        <v>#N/A</v>
      </c>
    </row>
    <row r="518" spans="2:11" x14ac:dyDescent="0.25">
      <c r="B518" s="350" t="s">
        <v>1557</v>
      </c>
      <c r="C518" s="351" t="s">
        <v>1558</v>
      </c>
      <c r="D518" s="352" t="s">
        <v>640</v>
      </c>
      <c r="E518" s="353">
        <f t="shared" si="10"/>
        <v>188.14</v>
      </c>
      <c r="F518" s="354"/>
      <c r="G518" s="358" t="s">
        <v>2318</v>
      </c>
      <c r="H518" s="359"/>
      <c r="I518" s="356">
        <f>Таблица37[[#This Row],[Цена]]+Таблица37[[#This Row],[Трудозатраты]]</f>
        <v>188.14</v>
      </c>
      <c r="J518" s="357">
        <v>188.14</v>
      </c>
      <c r="K518" s="220" t="e">
        <f>VLOOKUP(Таблица37[[#This Row],[Оболочки]],'[3]Расчет себес оболочек'!$A$3:$E$35,5,0)</f>
        <v>#N/A</v>
      </c>
    </row>
    <row r="519" spans="2:11" x14ac:dyDescent="0.25">
      <c r="B519" s="350" t="s">
        <v>1559</v>
      </c>
      <c r="C519" s="351" t="s">
        <v>1560</v>
      </c>
      <c r="D519" s="352" t="s">
        <v>640</v>
      </c>
      <c r="E519" s="353">
        <f t="shared" si="10"/>
        <v>188.14</v>
      </c>
      <c r="F519" s="354"/>
      <c r="G519" s="358" t="s">
        <v>2318</v>
      </c>
      <c r="H519" s="359"/>
      <c r="I519" s="356">
        <f>Таблица37[[#This Row],[Цена]]+Таблица37[[#This Row],[Трудозатраты]]</f>
        <v>188.14</v>
      </c>
      <c r="J519" s="357">
        <v>188.14</v>
      </c>
      <c r="K519" s="220" t="e">
        <f>VLOOKUP(Таблица37[[#This Row],[Оболочки]],'[3]Расчет себес оболочек'!$A$3:$E$35,5,0)</f>
        <v>#N/A</v>
      </c>
    </row>
    <row r="520" spans="2:11" x14ac:dyDescent="0.25">
      <c r="B520" s="350" t="s">
        <v>1561</v>
      </c>
      <c r="C520" s="351" t="s">
        <v>1562</v>
      </c>
      <c r="D520" s="352" t="s">
        <v>640</v>
      </c>
      <c r="E520" s="353">
        <f t="shared" si="10"/>
        <v>188.14</v>
      </c>
      <c r="F520" s="354"/>
      <c r="G520" s="358" t="s">
        <v>2318</v>
      </c>
      <c r="H520" s="359"/>
      <c r="I520" s="356">
        <f>Таблица37[[#This Row],[Цена]]+Таблица37[[#This Row],[Трудозатраты]]</f>
        <v>188.14</v>
      </c>
      <c r="J520" s="357">
        <v>188.14</v>
      </c>
      <c r="K520" s="220" t="e">
        <f>VLOOKUP(Таблица37[[#This Row],[Оболочки]],'[3]Расчет себес оболочек'!$A$3:$E$35,5,0)</f>
        <v>#N/A</v>
      </c>
    </row>
    <row r="521" spans="2:11" x14ac:dyDescent="0.25">
      <c r="B521" s="350" t="s">
        <v>1563</v>
      </c>
      <c r="C521" s="351" t="s">
        <v>1564</v>
      </c>
      <c r="D521" s="352" t="s">
        <v>640</v>
      </c>
      <c r="E521" s="353">
        <f t="shared" si="10"/>
        <v>188.14</v>
      </c>
      <c r="F521" s="354"/>
      <c r="G521" s="358" t="s">
        <v>2318</v>
      </c>
      <c r="H521" s="359"/>
      <c r="I521" s="356">
        <f>Таблица37[[#This Row],[Цена]]+Таблица37[[#This Row],[Трудозатраты]]</f>
        <v>188.14</v>
      </c>
      <c r="J521" s="357">
        <v>188.14</v>
      </c>
      <c r="K521" s="220" t="e">
        <f>VLOOKUP(Таблица37[[#This Row],[Оболочки]],'[3]Расчет себес оболочек'!$A$3:$E$35,5,0)</f>
        <v>#N/A</v>
      </c>
    </row>
    <row r="522" spans="2:11" x14ac:dyDescent="0.25">
      <c r="B522" s="350" t="s">
        <v>1565</v>
      </c>
      <c r="C522" s="351" t="s">
        <v>1566</v>
      </c>
      <c r="D522" s="352" t="s">
        <v>640</v>
      </c>
      <c r="E522" s="353">
        <f t="shared" si="10"/>
        <v>188.14</v>
      </c>
      <c r="F522" s="354"/>
      <c r="G522" s="358" t="s">
        <v>2318</v>
      </c>
      <c r="H522" s="359"/>
      <c r="I522" s="356">
        <f>Таблица37[[#This Row],[Цена]]+Таблица37[[#This Row],[Трудозатраты]]</f>
        <v>188.14</v>
      </c>
      <c r="J522" s="357">
        <v>188.14</v>
      </c>
      <c r="K522" s="220" t="e">
        <f>VLOOKUP(Таблица37[[#This Row],[Оболочки]],'[3]Расчет себес оболочек'!$A$3:$E$35,5,0)</f>
        <v>#N/A</v>
      </c>
    </row>
    <row r="523" spans="2:11" x14ac:dyDescent="0.25">
      <c r="B523" s="350" t="s">
        <v>1567</v>
      </c>
      <c r="C523" s="351" t="s">
        <v>1568</v>
      </c>
      <c r="D523" s="352" t="s">
        <v>640</v>
      </c>
      <c r="E523" s="353">
        <f t="shared" si="10"/>
        <v>188.14</v>
      </c>
      <c r="F523" s="354"/>
      <c r="G523" s="358" t="s">
        <v>2318</v>
      </c>
      <c r="H523" s="359"/>
      <c r="I523" s="356">
        <f>Таблица37[[#This Row],[Цена]]+Таблица37[[#This Row],[Трудозатраты]]</f>
        <v>188.14</v>
      </c>
      <c r="J523" s="357">
        <v>188.14</v>
      </c>
      <c r="K523" s="220" t="e">
        <f>VLOOKUP(Таблица37[[#This Row],[Оболочки]],'[3]Расчет себес оболочек'!$A$3:$E$35,5,0)</f>
        <v>#N/A</v>
      </c>
    </row>
    <row r="524" spans="2:11" x14ac:dyDescent="0.25">
      <c r="B524" s="350" t="s">
        <v>1569</v>
      </c>
      <c r="C524" s="351" t="s">
        <v>1570</v>
      </c>
      <c r="D524" s="352" t="s">
        <v>640</v>
      </c>
      <c r="E524" s="353">
        <f t="shared" si="10"/>
        <v>188.14</v>
      </c>
      <c r="F524" s="354"/>
      <c r="G524" s="358" t="s">
        <v>2318</v>
      </c>
      <c r="H524" s="359"/>
      <c r="I524" s="356">
        <f>Таблица37[[#This Row],[Цена]]+Таблица37[[#This Row],[Трудозатраты]]</f>
        <v>188.14</v>
      </c>
      <c r="J524" s="357">
        <v>188.14</v>
      </c>
      <c r="K524" s="220" t="e">
        <f>VLOOKUP(Таблица37[[#This Row],[Оболочки]],'[3]Расчет себес оболочек'!$A$3:$E$35,5,0)</f>
        <v>#N/A</v>
      </c>
    </row>
    <row r="525" spans="2:11" x14ac:dyDescent="0.25">
      <c r="B525" s="350" t="s">
        <v>1571</v>
      </c>
      <c r="C525" s="351" t="s">
        <v>1572</v>
      </c>
      <c r="D525" s="352" t="s">
        <v>640</v>
      </c>
      <c r="E525" s="353">
        <f t="shared" si="10"/>
        <v>188.14</v>
      </c>
      <c r="F525" s="354"/>
      <c r="G525" s="358" t="s">
        <v>2318</v>
      </c>
      <c r="H525" s="359"/>
      <c r="I525" s="356">
        <f>Таблица37[[#This Row],[Цена]]+Таблица37[[#This Row],[Трудозатраты]]</f>
        <v>188.14</v>
      </c>
      <c r="J525" s="357">
        <v>188.14</v>
      </c>
      <c r="K525" s="220" t="e">
        <f>VLOOKUP(Таблица37[[#This Row],[Оболочки]],'[3]Расчет себес оболочек'!$A$3:$E$35,5,0)</f>
        <v>#N/A</v>
      </c>
    </row>
    <row r="526" spans="2:11" x14ac:dyDescent="0.25">
      <c r="B526" s="350" t="s">
        <v>1573</v>
      </c>
      <c r="C526" s="351" t="s">
        <v>1574</v>
      </c>
      <c r="D526" s="352" t="s">
        <v>640</v>
      </c>
      <c r="E526" s="353">
        <f t="shared" si="10"/>
        <v>188.14</v>
      </c>
      <c r="F526" s="354"/>
      <c r="G526" s="358" t="s">
        <v>2318</v>
      </c>
      <c r="H526" s="359"/>
      <c r="I526" s="356">
        <f>Таблица37[[#This Row],[Цена]]+Таблица37[[#This Row],[Трудозатраты]]</f>
        <v>188.14</v>
      </c>
      <c r="J526" s="357">
        <v>188.14</v>
      </c>
      <c r="K526" s="220" t="e">
        <f>VLOOKUP(Таблица37[[#This Row],[Оболочки]],'[3]Расчет себес оболочек'!$A$3:$E$35,5,0)</f>
        <v>#N/A</v>
      </c>
    </row>
    <row r="527" spans="2:11" x14ac:dyDescent="0.25">
      <c r="B527" s="350" t="s">
        <v>1575</v>
      </c>
      <c r="C527" s="351" t="s">
        <v>1576</v>
      </c>
      <c r="D527" s="352" t="s">
        <v>640</v>
      </c>
      <c r="E527" s="353">
        <f t="shared" si="10"/>
        <v>188.14</v>
      </c>
      <c r="F527" s="354"/>
      <c r="G527" s="358" t="s">
        <v>2318</v>
      </c>
      <c r="H527" s="359"/>
      <c r="I527" s="356">
        <f>Таблица37[[#This Row],[Цена]]+Таблица37[[#This Row],[Трудозатраты]]</f>
        <v>188.14</v>
      </c>
      <c r="J527" s="357">
        <v>188.14</v>
      </c>
      <c r="K527" s="220" t="e">
        <f>VLOOKUP(Таблица37[[#This Row],[Оболочки]],'[3]Расчет себес оболочек'!$A$3:$E$35,5,0)</f>
        <v>#N/A</v>
      </c>
    </row>
    <row r="528" spans="2:11" x14ac:dyDescent="0.25">
      <c r="B528" s="350" t="s">
        <v>1577</v>
      </c>
      <c r="C528" s="351" t="s">
        <v>1578</v>
      </c>
      <c r="D528" s="352" t="s">
        <v>640</v>
      </c>
      <c r="E528" s="353">
        <f t="shared" si="10"/>
        <v>188.14</v>
      </c>
      <c r="F528" s="354"/>
      <c r="G528" s="358" t="s">
        <v>2318</v>
      </c>
      <c r="H528" s="359"/>
      <c r="I528" s="356">
        <f>Таблица37[[#This Row],[Цена]]+Таблица37[[#This Row],[Трудозатраты]]</f>
        <v>188.14</v>
      </c>
      <c r="J528" s="357">
        <v>188.14</v>
      </c>
      <c r="K528" s="220" t="e">
        <f>VLOOKUP(Таблица37[[#This Row],[Оболочки]],'[3]Расчет себес оболочек'!$A$3:$E$35,5,0)</f>
        <v>#N/A</v>
      </c>
    </row>
    <row r="529" spans="2:11" x14ac:dyDescent="0.25">
      <c r="B529" s="350" t="s">
        <v>1579</v>
      </c>
      <c r="C529" s="351" t="s">
        <v>1580</v>
      </c>
      <c r="D529" s="352" t="s">
        <v>640</v>
      </c>
      <c r="E529" s="353">
        <f t="shared" si="10"/>
        <v>188.14</v>
      </c>
      <c r="F529" s="354"/>
      <c r="G529" s="358" t="s">
        <v>2318</v>
      </c>
      <c r="H529" s="359"/>
      <c r="I529" s="356">
        <f>Таблица37[[#This Row],[Цена]]+Таблица37[[#This Row],[Трудозатраты]]</f>
        <v>188.14</v>
      </c>
      <c r="J529" s="357">
        <v>188.14</v>
      </c>
      <c r="K529" s="220" t="e">
        <f>VLOOKUP(Таблица37[[#This Row],[Оболочки]],'[3]Расчет себес оболочек'!$A$3:$E$35,5,0)</f>
        <v>#N/A</v>
      </c>
    </row>
    <row r="530" spans="2:11" x14ac:dyDescent="0.25">
      <c r="B530" s="350" t="s">
        <v>1581</v>
      </c>
      <c r="C530" s="351" t="s">
        <v>1582</v>
      </c>
      <c r="D530" s="352" t="s">
        <v>640</v>
      </c>
      <c r="E530" s="353">
        <f t="shared" ref="E530:E593" si="11">J530</f>
        <v>188.14</v>
      </c>
      <c r="F530" s="354"/>
      <c r="G530" s="358" t="s">
        <v>2318</v>
      </c>
      <c r="H530" s="359"/>
      <c r="I530" s="356">
        <f>Таблица37[[#This Row],[Цена]]+Таблица37[[#This Row],[Трудозатраты]]</f>
        <v>188.14</v>
      </c>
      <c r="J530" s="357">
        <v>188.14</v>
      </c>
      <c r="K530" s="220" t="e">
        <f>VLOOKUP(Таблица37[[#This Row],[Оболочки]],'[3]Расчет себес оболочек'!$A$3:$E$35,5,0)</f>
        <v>#N/A</v>
      </c>
    </row>
    <row r="531" spans="2:11" x14ac:dyDescent="0.25">
      <c r="B531" s="350" t="s">
        <v>1583</v>
      </c>
      <c r="C531" s="351" t="s">
        <v>1584</v>
      </c>
      <c r="D531" s="352" t="s">
        <v>640</v>
      </c>
      <c r="E531" s="353">
        <f t="shared" si="11"/>
        <v>188.14</v>
      </c>
      <c r="F531" s="354"/>
      <c r="G531" s="358" t="s">
        <v>2318</v>
      </c>
      <c r="H531" s="359"/>
      <c r="I531" s="356">
        <f>Таблица37[[#This Row],[Цена]]+Таблица37[[#This Row],[Трудозатраты]]</f>
        <v>188.14</v>
      </c>
      <c r="J531" s="357">
        <v>188.14</v>
      </c>
      <c r="K531" s="220" t="e">
        <f>VLOOKUP(Таблица37[[#This Row],[Оболочки]],'[3]Расчет себес оболочек'!$A$3:$E$35,5,0)</f>
        <v>#N/A</v>
      </c>
    </row>
    <row r="532" spans="2:11" x14ac:dyDescent="0.25">
      <c r="B532" s="350" t="s">
        <v>1585</v>
      </c>
      <c r="C532" s="351" t="s">
        <v>1586</v>
      </c>
      <c r="D532" s="352" t="s">
        <v>640</v>
      </c>
      <c r="E532" s="353">
        <f t="shared" si="11"/>
        <v>188.14</v>
      </c>
      <c r="F532" s="354"/>
      <c r="G532" s="358" t="s">
        <v>2318</v>
      </c>
      <c r="H532" s="359"/>
      <c r="I532" s="356">
        <f>Таблица37[[#This Row],[Цена]]+Таблица37[[#This Row],[Трудозатраты]]</f>
        <v>188.14</v>
      </c>
      <c r="J532" s="357">
        <v>188.14</v>
      </c>
      <c r="K532" s="220" t="e">
        <f>VLOOKUP(Таблица37[[#This Row],[Оболочки]],'[3]Расчет себес оболочек'!$A$3:$E$35,5,0)</f>
        <v>#N/A</v>
      </c>
    </row>
    <row r="533" spans="2:11" x14ac:dyDescent="0.25">
      <c r="B533" s="350" t="s">
        <v>1587</v>
      </c>
      <c r="C533" s="351" t="s">
        <v>1588</v>
      </c>
      <c r="D533" s="352" t="s">
        <v>640</v>
      </c>
      <c r="E533" s="353">
        <f t="shared" si="11"/>
        <v>188.14</v>
      </c>
      <c r="F533" s="354"/>
      <c r="G533" s="358" t="s">
        <v>2318</v>
      </c>
      <c r="H533" s="359"/>
      <c r="I533" s="356">
        <f>Таблица37[[#This Row],[Цена]]+Таблица37[[#This Row],[Трудозатраты]]</f>
        <v>188.14</v>
      </c>
      <c r="J533" s="357">
        <v>188.14</v>
      </c>
      <c r="K533" s="220" t="e">
        <f>VLOOKUP(Таблица37[[#This Row],[Оболочки]],'[3]Расчет себес оболочек'!$A$3:$E$35,5,0)</f>
        <v>#N/A</v>
      </c>
    </row>
    <row r="534" spans="2:11" x14ac:dyDescent="0.25">
      <c r="B534" s="350" t="s">
        <v>1589</v>
      </c>
      <c r="C534" s="351" t="s">
        <v>1590</v>
      </c>
      <c r="D534" s="352" t="s">
        <v>640</v>
      </c>
      <c r="E534" s="353">
        <f t="shared" si="11"/>
        <v>188.14</v>
      </c>
      <c r="F534" s="354"/>
      <c r="G534" s="358" t="s">
        <v>2318</v>
      </c>
      <c r="H534" s="359"/>
      <c r="I534" s="356">
        <f>Таблица37[[#This Row],[Цена]]+Таблица37[[#This Row],[Трудозатраты]]</f>
        <v>188.14</v>
      </c>
      <c r="J534" s="357">
        <v>188.14</v>
      </c>
      <c r="K534" s="220" t="e">
        <f>VLOOKUP(Таблица37[[#This Row],[Оболочки]],'[3]Расчет себес оболочек'!$A$3:$E$35,5,0)</f>
        <v>#N/A</v>
      </c>
    </row>
    <row r="535" spans="2:11" x14ac:dyDescent="0.25">
      <c r="B535" s="350" t="s">
        <v>1591</v>
      </c>
      <c r="C535" s="351" t="s">
        <v>1592</v>
      </c>
      <c r="D535" s="352" t="s">
        <v>640</v>
      </c>
      <c r="E535" s="353">
        <f t="shared" si="11"/>
        <v>188.14</v>
      </c>
      <c r="F535" s="354"/>
      <c r="G535" s="358" t="s">
        <v>2318</v>
      </c>
      <c r="H535" s="359"/>
      <c r="I535" s="356">
        <f>Таблица37[[#This Row],[Цена]]+Таблица37[[#This Row],[Трудозатраты]]</f>
        <v>188.14</v>
      </c>
      <c r="J535" s="357">
        <v>188.14</v>
      </c>
      <c r="K535" s="220" t="e">
        <f>VLOOKUP(Таблица37[[#This Row],[Оболочки]],'[3]Расчет себес оболочек'!$A$3:$E$35,5,0)</f>
        <v>#N/A</v>
      </c>
    </row>
    <row r="536" spans="2:11" x14ac:dyDescent="0.25">
      <c r="B536" s="350" t="s">
        <v>1593</v>
      </c>
      <c r="C536" s="351" t="s">
        <v>1594</v>
      </c>
      <c r="D536" s="352" t="s">
        <v>640</v>
      </c>
      <c r="E536" s="353">
        <f t="shared" si="11"/>
        <v>188.14</v>
      </c>
      <c r="F536" s="354"/>
      <c r="G536" s="358" t="s">
        <v>2318</v>
      </c>
      <c r="H536" s="359"/>
      <c r="I536" s="356">
        <f>Таблица37[[#This Row],[Цена]]+Таблица37[[#This Row],[Трудозатраты]]</f>
        <v>188.14</v>
      </c>
      <c r="J536" s="357">
        <v>188.14</v>
      </c>
      <c r="K536" s="220" t="e">
        <f>VLOOKUP(Таблица37[[#This Row],[Оболочки]],'[3]Расчет себес оболочек'!$A$3:$E$35,5,0)</f>
        <v>#N/A</v>
      </c>
    </row>
    <row r="537" spans="2:11" x14ac:dyDescent="0.25">
      <c r="B537" s="350" t="s">
        <v>1595</v>
      </c>
      <c r="C537" s="351" t="s">
        <v>1596</v>
      </c>
      <c r="D537" s="352" t="s">
        <v>640</v>
      </c>
      <c r="E537" s="353">
        <f t="shared" si="11"/>
        <v>188.14</v>
      </c>
      <c r="F537" s="354"/>
      <c r="G537" s="358" t="s">
        <v>2318</v>
      </c>
      <c r="H537" s="359"/>
      <c r="I537" s="356">
        <f>Таблица37[[#This Row],[Цена]]+Таблица37[[#This Row],[Трудозатраты]]</f>
        <v>188.14</v>
      </c>
      <c r="J537" s="357">
        <v>188.14</v>
      </c>
      <c r="K537" s="220" t="e">
        <f>VLOOKUP(Таблица37[[#This Row],[Оболочки]],'[3]Расчет себес оболочек'!$A$3:$E$35,5,0)</f>
        <v>#N/A</v>
      </c>
    </row>
    <row r="538" spans="2:11" x14ac:dyDescent="0.25">
      <c r="B538" s="350" t="s">
        <v>1597</v>
      </c>
      <c r="C538" s="351" t="s">
        <v>1598</v>
      </c>
      <c r="D538" s="352" t="s">
        <v>640</v>
      </c>
      <c r="E538" s="353">
        <f t="shared" si="11"/>
        <v>188.14</v>
      </c>
      <c r="F538" s="354"/>
      <c r="G538" s="358" t="s">
        <v>2318</v>
      </c>
      <c r="H538" s="359"/>
      <c r="I538" s="356">
        <f>Таблица37[[#This Row],[Цена]]+Таблица37[[#This Row],[Трудозатраты]]</f>
        <v>188.14</v>
      </c>
      <c r="J538" s="357">
        <v>188.14</v>
      </c>
      <c r="K538" s="220" t="e">
        <f>VLOOKUP(Таблица37[[#This Row],[Оболочки]],'[3]Расчет себес оболочек'!$A$3:$E$35,5,0)</f>
        <v>#N/A</v>
      </c>
    </row>
    <row r="539" spans="2:11" x14ac:dyDescent="0.25">
      <c r="B539" s="350" t="s">
        <v>1599</v>
      </c>
      <c r="C539" s="351" t="s">
        <v>1600</v>
      </c>
      <c r="D539" s="352" t="s">
        <v>640</v>
      </c>
      <c r="E539" s="353">
        <f t="shared" si="11"/>
        <v>188.14</v>
      </c>
      <c r="F539" s="354"/>
      <c r="G539" s="358" t="s">
        <v>2318</v>
      </c>
      <c r="H539" s="359"/>
      <c r="I539" s="356">
        <f>Таблица37[[#This Row],[Цена]]+Таблица37[[#This Row],[Трудозатраты]]</f>
        <v>188.14</v>
      </c>
      <c r="J539" s="357">
        <v>188.14</v>
      </c>
      <c r="K539" s="220" t="e">
        <f>VLOOKUP(Таблица37[[#This Row],[Оболочки]],'[3]Расчет себес оболочек'!$A$3:$E$35,5,0)</f>
        <v>#N/A</v>
      </c>
    </row>
    <row r="540" spans="2:11" x14ac:dyDescent="0.25">
      <c r="B540" s="350" t="s">
        <v>1601</v>
      </c>
      <c r="C540" s="351" t="s">
        <v>1602</v>
      </c>
      <c r="D540" s="352" t="s">
        <v>640</v>
      </c>
      <c r="E540" s="353">
        <f t="shared" si="11"/>
        <v>188.14</v>
      </c>
      <c r="F540" s="354"/>
      <c r="G540" s="358" t="s">
        <v>2318</v>
      </c>
      <c r="H540" s="359"/>
      <c r="I540" s="356">
        <f>Таблица37[[#This Row],[Цена]]+Таблица37[[#This Row],[Трудозатраты]]</f>
        <v>188.14</v>
      </c>
      <c r="J540" s="357">
        <v>188.14</v>
      </c>
      <c r="K540" s="220" t="e">
        <f>VLOOKUP(Таблица37[[#This Row],[Оболочки]],'[3]Расчет себес оболочек'!$A$3:$E$35,5,0)</f>
        <v>#N/A</v>
      </c>
    </row>
    <row r="541" spans="2:11" x14ac:dyDescent="0.25">
      <c r="B541" s="350" t="s">
        <v>1603</v>
      </c>
      <c r="C541" s="351" t="s">
        <v>1604</v>
      </c>
      <c r="D541" s="352" t="s">
        <v>640</v>
      </c>
      <c r="E541" s="353">
        <f t="shared" si="11"/>
        <v>188.14</v>
      </c>
      <c r="F541" s="354"/>
      <c r="G541" s="358" t="s">
        <v>2318</v>
      </c>
      <c r="H541" s="359"/>
      <c r="I541" s="356">
        <f>Таблица37[[#This Row],[Цена]]+Таблица37[[#This Row],[Трудозатраты]]</f>
        <v>188.14</v>
      </c>
      <c r="J541" s="357">
        <v>188.14</v>
      </c>
      <c r="K541" s="220" t="e">
        <f>VLOOKUP(Таблица37[[#This Row],[Оболочки]],'[3]Расчет себес оболочек'!$A$3:$E$35,5,0)</f>
        <v>#N/A</v>
      </c>
    </row>
    <row r="542" spans="2:11" x14ac:dyDescent="0.25">
      <c r="B542" s="350" t="s">
        <v>1605</v>
      </c>
      <c r="C542" s="351" t="s">
        <v>1606</v>
      </c>
      <c r="D542" s="352" t="s">
        <v>640</v>
      </c>
      <c r="E542" s="353">
        <f t="shared" si="11"/>
        <v>188.14</v>
      </c>
      <c r="F542" s="354"/>
      <c r="G542" s="358" t="s">
        <v>2318</v>
      </c>
      <c r="H542" s="359"/>
      <c r="I542" s="356">
        <f>Таблица37[[#This Row],[Цена]]+Таблица37[[#This Row],[Трудозатраты]]</f>
        <v>188.14</v>
      </c>
      <c r="J542" s="357">
        <v>188.14</v>
      </c>
      <c r="K542" s="220" t="e">
        <f>VLOOKUP(Таблица37[[#This Row],[Оболочки]],'[3]Расчет себес оболочек'!$A$3:$E$35,5,0)</f>
        <v>#N/A</v>
      </c>
    </row>
    <row r="543" spans="2:11" x14ac:dyDescent="0.25">
      <c r="B543" s="350" t="s">
        <v>1607</v>
      </c>
      <c r="C543" s="351" t="s">
        <v>1608</v>
      </c>
      <c r="D543" s="352" t="s">
        <v>640</v>
      </c>
      <c r="E543" s="353">
        <f t="shared" si="11"/>
        <v>188.14</v>
      </c>
      <c r="F543" s="354"/>
      <c r="G543" s="358" t="s">
        <v>2318</v>
      </c>
      <c r="H543" s="359"/>
      <c r="I543" s="356">
        <f>Таблица37[[#This Row],[Цена]]+Таблица37[[#This Row],[Трудозатраты]]</f>
        <v>188.14</v>
      </c>
      <c r="J543" s="357">
        <v>188.14</v>
      </c>
      <c r="K543" s="220" t="e">
        <f>VLOOKUP(Таблица37[[#This Row],[Оболочки]],'[3]Расчет себес оболочек'!$A$3:$E$35,5,0)</f>
        <v>#N/A</v>
      </c>
    </row>
    <row r="544" spans="2:11" x14ac:dyDescent="0.25">
      <c r="B544" s="350" t="s">
        <v>1609</v>
      </c>
      <c r="C544" s="351" t="s">
        <v>1610</v>
      </c>
      <c r="D544" s="352" t="s">
        <v>640</v>
      </c>
      <c r="E544" s="353">
        <f t="shared" si="11"/>
        <v>188.14</v>
      </c>
      <c r="F544" s="354"/>
      <c r="G544" s="358" t="s">
        <v>2318</v>
      </c>
      <c r="H544" s="359"/>
      <c r="I544" s="356">
        <f>Таблица37[[#This Row],[Цена]]+Таблица37[[#This Row],[Трудозатраты]]</f>
        <v>188.14</v>
      </c>
      <c r="J544" s="357">
        <v>188.14</v>
      </c>
      <c r="K544" s="220" t="e">
        <f>VLOOKUP(Таблица37[[#This Row],[Оболочки]],'[3]Расчет себес оболочек'!$A$3:$E$35,5,0)</f>
        <v>#N/A</v>
      </c>
    </row>
    <row r="545" spans="2:11" x14ac:dyDescent="0.25">
      <c r="B545" s="350" t="s">
        <v>1611</v>
      </c>
      <c r="C545" s="351" t="s">
        <v>1612</v>
      </c>
      <c r="D545" s="352" t="s">
        <v>640</v>
      </c>
      <c r="E545" s="353">
        <f t="shared" si="11"/>
        <v>188.14</v>
      </c>
      <c r="F545" s="354"/>
      <c r="G545" s="358" t="s">
        <v>2318</v>
      </c>
      <c r="H545" s="359"/>
      <c r="I545" s="356">
        <f>Таблица37[[#This Row],[Цена]]+Таблица37[[#This Row],[Трудозатраты]]</f>
        <v>188.14</v>
      </c>
      <c r="J545" s="357">
        <v>188.14</v>
      </c>
      <c r="K545" s="220" t="e">
        <f>VLOOKUP(Таблица37[[#This Row],[Оболочки]],'[3]Расчет себес оболочек'!$A$3:$E$35,5,0)</f>
        <v>#N/A</v>
      </c>
    </row>
    <row r="546" spans="2:11" x14ac:dyDescent="0.25">
      <c r="B546" s="350" t="s">
        <v>1613</v>
      </c>
      <c r="C546" s="351" t="s">
        <v>1614</v>
      </c>
      <c r="D546" s="352" t="s">
        <v>640</v>
      </c>
      <c r="E546" s="353">
        <f t="shared" si="11"/>
        <v>188.14</v>
      </c>
      <c r="F546" s="354"/>
      <c r="G546" s="358" t="s">
        <v>2318</v>
      </c>
      <c r="H546" s="359"/>
      <c r="I546" s="356">
        <f>Таблица37[[#This Row],[Цена]]+Таблица37[[#This Row],[Трудозатраты]]</f>
        <v>188.14</v>
      </c>
      <c r="J546" s="357">
        <v>188.14</v>
      </c>
      <c r="K546" s="220" t="e">
        <f>VLOOKUP(Таблица37[[#This Row],[Оболочки]],'[3]Расчет себес оболочек'!$A$3:$E$35,5,0)</f>
        <v>#N/A</v>
      </c>
    </row>
    <row r="547" spans="2:11" x14ac:dyDescent="0.25">
      <c r="B547" s="350" t="s">
        <v>1615</v>
      </c>
      <c r="C547" s="351" t="s">
        <v>1616</v>
      </c>
      <c r="D547" s="352" t="s">
        <v>640</v>
      </c>
      <c r="E547" s="353">
        <f t="shared" si="11"/>
        <v>188.14</v>
      </c>
      <c r="F547" s="354"/>
      <c r="G547" s="358" t="s">
        <v>2318</v>
      </c>
      <c r="H547" s="359"/>
      <c r="I547" s="356">
        <f>Таблица37[[#This Row],[Цена]]+Таблица37[[#This Row],[Трудозатраты]]</f>
        <v>188.14</v>
      </c>
      <c r="J547" s="357">
        <v>188.14</v>
      </c>
      <c r="K547" s="220" t="e">
        <f>VLOOKUP(Таблица37[[#This Row],[Оболочки]],'[3]Расчет себес оболочек'!$A$3:$E$35,5,0)</f>
        <v>#N/A</v>
      </c>
    </row>
    <row r="548" spans="2:11" x14ac:dyDescent="0.25">
      <c r="B548" s="350" t="s">
        <v>1617</v>
      </c>
      <c r="C548" s="351" t="s">
        <v>1618</v>
      </c>
      <c r="D548" s="352" t="s">
        <v>640</v>
      </c>
      <c r="E548" s="353">
        <f t="shared" si="11"/>
        <v>188.14</v>
      </c>
      <c r="F548" s="354"/>
      <c r="G548" s="358" t="s">
        <v>2318</v>
      </c>
      <c r="H548" s="359"/>
      <c r="I548" s="356">
        <f>Таблица37[[#This Row],[Цена]]+Таблица37[[#This Row],[Трудозатраты]]</f>
        <v>188.14</v>
      </c>
      <c r="J548" s="357">
        <v>188.14</v>
      </c>
      <c r="K548" s="220" t="e">
        <f>VLOOKUP(Таблица37[[#This Row],[Оболочки]],'[3]Расчет себес оболочек'!$A$3:$E$35,5,0)</f>
        <v>#N/A</v>
      </c>
    </row>
    <row r="549" spans="2:11" x14ac:dyDescent="0.25">
      <c r="B549" s="350" t="s">
        <v>1619</v>
      </c>
      <c r="C549" s="351" t="s">
        <v>1620</v>
      </c>
      <c r="D549" s="352" t="s">
        <v>640</v>
      </c>
      <c r="E549" s="353">
        <f t="shared" si="11"/>
        <v>188.14</v>
      </c>
      <c r="F549" s="354"/>
      <c r="G549" s="358" t="s">
        <v>2318</v>
      </c>
      <c r="H549" s="359"/>
      <c r="I549" s="356">
        <f>Таблица37[[#This Row],[Цена]]+Таблица37[[#This Row],[Трудозатраты]]</f>
        <v>188.14</v>
      </c>
      <c r="J549" s="357">
        <v>188.14</v>
      </c>
      <c r="K549" s="220" t="e">
        <f>VLOOKUP(Таблица37[[#This Row],[Оболочки]],'[3]Расчет себес оболочек'!$A$3:$E$35,5,0)</f>
        <v>#N/A</v>
      </c>
    </row>
    <row r="550" spans="2:11" x14ac:dyDescent="0.25">
      <c r="B550" s="350" t="s">
        <v>1621</v>
      </c>
      <c r="C550" s="351" t="s">
        <v>1622</v>
      </c>
      <c r="D550" s="352" t="s">
        <v>640</v>
      </c>
      <c r="E550" s="353">
        <f t="shared" si="11"/>
        <v>188.14</v>
      </c>
      <c r="F550" s="354"/>
      <c r="G550" s="358" t="s">
        <v>2318</v>
      </c>
      <c r="H550" s="359"/>
      <c r="I550" s="356">
        <f>Таблица37[[#This Row],[Цена]]+Таблица37[[#This Row],[Трудозатраты]]</f>
        <v>188.14</v>
      </c>
      <c r="J550" s="357">
        <v>188.14</v>
      </c>
      <c r="K550" s="220" t="e">
        <f>VLOOKUP(Таблица37[[#This Row],[Оболочки]],'[3]Расчет себес оболочек'!$A$3:$E$35,5,0)</f>
        <v>#N/A</v>
      </c>
    </row>
    <row r="551" spans="2:11" x14ac:dyDescent="0.25">
      <c r="B551" s="350" t="s">
        <v>1623</v>
      </c>
      <c r="C551" s="351" t="s">
        <v>1624</v>
      </c>
      <c r="D551" s="352" t="s">
        <v>640</v>
      </c>
      <c r="E551" s="353">
        <f t="shared" si="11"/>
        <v>188.14</v>
      </c>
      <c r="F551" s="354"/>
      <c r="G551" s="358" t="s">
        <v>2318</v>
      </c>
      <c r="H551" s="359"/>
      <c r="I551" s="356">
        <f>Таблица37[[#This Row],[Цена]]+Таблица37[[#This Row],[Трудозатраты]]</f>
        <v>188.14</v>
      </c>
      <c r="J551" s="357">
        <v>188.14</v>
      </c>
      <c r="K551" s="220" t="e">
        <f>VLOOKUP(Таблица37[[#This Row],[Оболочки]],'[3]Расчет себес оболочек'!$A$3:$E$35,5,0)</f>
        <v>#N/A</v>
      </c>
    </row>
    <row r="552" spans="2:11" x14ac:dyDescent="0.25">
      <c r="B552" s="350" t="s">
        <v>1625</v>
      </c>
      <c r="C552" s="351" t="s">
        <v>1626</v>
      </c>
      <c r="D552" s="352" t="s">
        <v>640</v>
      </c>
      <c r="E552" s="353">
        <f t="shared" si="11"/>
        <v>188.14</v>
      </c>
      <c r="F552" s="354"/>
      <c r="G552" s="358" t="s">
        <v>2318</v>
      </c>
      <c r="H552" s="359"/>
      <c r="I552" s="356">
        <f>Таблица37[[#This Row],[Цена]]+Таблица37[[#This Row],[Трудозатраты]]</f>
        <v>188.14</v>
      </c>
      <c r="J552" s="357">
        <v>188.14</v>
      </c>
      <c r="K552" s="220" t="e">
        <f>VLOOKUP(Таблица37[[#This Row],[Оболочки]],'[3]Расчет себес оболочек'!$A$3:$E$35,5,0)</f>
        <v>#N/A</v>
      </c>
    </row>
    <row r="553" spans="2:11" x14ac:dyDescent="0.25">
      <c r="B553" s="350" t="s">
        <v>1627</v>
      </c>
      <c r="C553" s="351" t="s">
        <v>1628</v>
      </c>
      <c r="D553" s="352" t="s">
        <v>640</v>
      </c>
      <c r="E553" s="353">
        <f t="shared" si="11"/>
        <v>188.14</v>
      </c>
      <c r="F553" s="354"/>
      <c r="G553" s="358" t="s">
        <v>2318</v>
      </c>
      <c r="H553" s="359"/>
      <c r="I553" s="356">
        <f>Таблица37[[#This Row],[Цена]]+Таблица37[[#This Row],[Трудозатраты]]</f>
        <v>188.14</v>
      </c>
      <c r="J553" s="357">
        <v>188.14</v>
      </c>
      <c r="K553" s="220" t="e">
        <f>VLOOKUP(Таблица37[[#This Row],[Оболочки]],'[3]Расчет себес оболочек'!$A$3:$E$35,5,0)</f>
        <v>#N/A</v>
      </c>
    </row>
    <row r="554" spans="2:11" x14ac:dyDescent="0.25">
      <c r="B554" s="350" t="s">
        <v>1629</v>
      </c>
      <c r="C554" s="351" t="s">
        <v>1630</v>
      </c>
      <c r="D554" s="352" t="s">
        <v>640</v>
      </c>
      <c r="E554" s="353">
        <f t="shared" si="11"/>
        <v>188.14</v>
      </c>
      <c r="F554" s="354"/>
      <c r="G554" s="358" t="s">
        <v>2318</v>
      </c>
      <c r="H554" s="359"/>
      <c r="I554" s="356">
        <f>Таблица37[[#This Row],[Цена]]+Таблица37[[#This Row],[Трудозатраты]]</f>
        <v>188.14</v>
      </c>
      <c r="J554" s="357">
        <v>188.14</v>
      </c>
      <c r="K554" s="220" t="e">
        <f>VLOOKUP(Таблица37[[#This Row],[Оболочки]],'[3]Расчет себес оболочек'!$A$3:$E$35,5,0)</f>
        <v>#N/A</v>
      </c>
    </row>
    <row r="555" spans="2:11" x14ac:dyDescent="0.25">
      <c r="B555" s="350" t="s">
        <v>1631</v>
      </c>
      <c r="C555" s="351" t="s">
        <v>1632</v>
      </c>
      <c r="D555" s="352" t="s">
        <v>640</v>
      </c>
      <c r="E555" s="353">
        <f t="shared" si="11"/>
        <v>188.14</v>
      </c>
      <c r="F555" s="354"/>
      <c r="G555" s="358" t="s">
        <v>2318</v>
      </c>
      <c r="H555" s="359"/>
      <c r="I555" s="356">
        <f>Таблица37[[#This Row],[Цена]]+Таблица37[[#This Row],[Трудозатраты]]</f>
        <v>188.14</v>
      </c>
      <c r="J555" s="357">
        <v>188.14</v>
      </c>
      <c r="K555" s="220" t="e">
        <f>VLOOKUP(Таблица37[[#This Row],[Оболочки]],'[3]Расчет себес оболочек'!$A$3:$E$35,5,0)</f>
        <v>#N/A</v>
      </c>
    </row>
    <row r="556" spans="2:11" x14ac:dyDescent="0.25">
      <c r="B556" s="350" t="s">
        <v>1633</v>
      </c>
      <c r="C556" s="351" t="s">
        <v>1634</v>
      </c>
      <c r="D556" s="352" t="s">
        <v>640</v>
      </c>
      <c r="E556" s="353">
        <f t="shared" si="11"/>
        <v>188.14</v>
      </c>
      <c r="F556" s="354"/>
      <c r="G556" s="358" t="s">
        <v>2318</v>
      </c>
      <c r="H556" s="359"/>
      <c r="I556" s="356">
        <f>Таблица37[[#This Row],[Цена]]+Таблица37[[#This Row],[Трудозатраты]]</f>
        <v>188.14</v>
      </c>
      <c r="J556" s="357">
        <v>188.14</v>
      </c>
      <c r="K556" s="220" t="e">
        <f>VLOOKUP(Таблица37[[#This Row],[Оболочки]],'[3]Расчет себес оболочек'!$A$3:$E$35,5,0)</f>
        <v>#N/A</v>
      </c>
    </row>
    <row r="557" spans="2:11" x14ac:dyDescent="0.25">
      <c r="B557" s="350" t="s">
        <v>1635</v>
      </c>
      <c r="C557" s="351" t="s">
        <v>1636</v>
      </c>
      <c r="D557" s="352" t="s">
        <v>640</v>
      </c>
      <c r="E557" s="353">
        <f t="shared" si="11"/>
        <v>188.14</v>
      </c>
      <c r="F557" s="354"/>
      <c r="G557" s="358" t="s">
        <v>2318</v>
      </c>
      <c r="H557" s="359"/>
      <c r="I557" s="356">
        <f>Таблица37[[#This Row],[Цена]]+Таблица37[[#This Row],[Трудозатраты]]</f>
        <v>188.14</v>
      </c>
      <c r="J557" s="357">
        <v>188.14</v>
      </c>
      <c r="K557" s="220" t="e">
        <f>VLOOKUP(Таблица37[[#This Row],[Оболочки]],'[3]Расчет себес оболочек'!$A$3:$E$35,5,0)</f>
        <v>#N/A</v>
      </c>
    </row>
    <row r="558" spans="2:11" x14ac:dyDescent="0.25">
      <c r="B558" s="350" t="s">
        <v>1637</v>
      </c>
      <c r="C558" s="351" t="s">
        <v>1638</v>
      </c>
      <c r="D558" s="352" t="s">
        <v>640</v>
      </c>
      <c r="E558" s="353">
        <f t="shared" si="11"/>
        <v>188.14</v>
      </c>
      <c r="F558" s="354"/>
      <c r="G558" s="358" t="s">
        <v>2318</v>
      </c>
      <c r="H558" s="359"/>
      <c r="I558" s="356">
        <f>Таблица37[[#This Row],[Цена]]+Таблица37[[#This Row],[Трудозатраты]]</f>
        <v>188.14</v>
      </c>
      <c r="J558" s="357">
        <v>188.14</v>
      </c>
      <c r="K558" s="220" t="e">
        <f>VLOOKUP(Таблица37[[#This Row],[Оболочки]],'[3]Расчет себес оболочек'!$A$3:$E$35,5,0)</f>
        <v>#N/A</v>
      </c>
    </row>
    <row r="559" spans="2:11" x14ac:dyDescent="0.25">
      <c r="B559" s="350" t="s">
        <v>1639</v>
      </c>
      <c r="C559" s="351" t="s">
        <v>1640</v>
      </c>
      <c r="D559" s="352" t="s">
        <v>640</v>
      </c>
      <c r="E559" s="353">
        <f t="shared" si="11"/>
        <v>188.14</v>
      </c>
      <c r="F559" s="354"/>
      <c r="G559" s="358" t="s">
        <v>2318</v>
      </c>
      <c r="H559" s="359"/>
      <c r="I559" s="356">
        <f>Таблица37[[#This Row],[Цена]]+Таблица37[[#This Row],[Трудозатраты]]</f>
        <v>188.14</v>
      </c>
      <c r="J559" s="357">
        <v>188.14</v>
      </c>
      <c r="K559" s="220" t="e">
        <f>VLOOKUP(Таблица37[[#This Row],[Оболочки]],'[3]Расчет себес оболочек'!$A$3:$E$35,5,0)</f>
        <v>#N/A</v>
      </c>
    </row>
    <row r="560" spans="2:11" x14ac:dyDescent="0.25">
      <c r="B560" s="350" t="s">
        <v>1641</v>
      </c>
      <c r="C560" s="351" t="s">
        <v>1642</v>
      </c>
      <c r="D560" s="352" t="s">
        <v>640</v>
      </c>
      <c r="E560" s="353">
        <f t="shared" si="11"/>
        <v>188.14</v>
      </c>
      <c r="F560" s="354"/>
      <c r="G560" s="358" t="s">
        <v>2318</v>
      </c>
      <c r="H560" s="359"/>
      <c r="I560" s="356">
        <f>Таблица37[[#This Row],[Цена]]+Таблица37[[#This Row],[Трудозатраты]]</f>
        <v>188.14</v>
      </c>
      <c r="J560" s="357">
        <v>188.14</v>
      </c>
      <c r="K560" s="220" t="e">
        <f>VLOOKUP(Таблица37[[#This Row],[Оболочки]],'[3]Расчет себес оболочек'!$A$3:$E$35,5,0)</f>
        <v>#N/A</v>
      </c>
    </row>
    <row r="561" spans="2:11" x14ac:dyDescent="0.25">
      <c r="B561" s="350" t="s">
        <v>1643</v>
      </c>
      <c r="C561" s="351" t="s">
        <v>1644</v>
      </c>
      <c r="D561" s="352" t="s">
        <v>640</v>
      </c>
      <c r="E561" s="353">
        <f t="shared" si="11"/>
        <v>188.14</v>
      </c>
      <c r="F561" s="354"/>
      <c r="G561" s="358" t="s">
        <v>2318</v>
      </c>
      <c r="H561" s="359"/>
      <c r="I561" s="356">
        <f>Таблица37[[#This Row],[Цена]]+Таблица37[[#This Row],[Трудозатраты]]</f>
        <v>188.14</v>
      </c>
      <c r="J561" s="357">
        <v>188.14</v>
      </c>
      <c r="K561" s="220" t="e">
        <f>VLOOKUP(Таблица37[[#This Row],[Оболочки]],'[3]Расчет себес оболочек'!$A$3:$E$35,5,0)</f>
        <v>#N/A</v>
      </c>
    </row>
    <row r="562" spans="2:11" x14ac:dyDescent="0.25">
      <c r="B562" s="350" t="s">
        <v>1645</v>
      </c>
      <c r="C562" s="351" t="s">
        <v>1646</v>
      </c>
      <c r="D562" s="352" t="s">
        <v>640</v>
      </c>
      <c r="E562" s="353">
        <f t="shared" si="11"/>
        <v>188.14</v>
      </c>
      <c r="F562" s="354"/>
      <c r="G562" s="358" t="s">
        <v>2318</v>
      </c>
      <c r="H562" s="359"/>
      <c r="I562" s="356">
        <f>Таблица37[[#This Row],[Цена]]+Таблица37[[#This Row],[Трудозатраты]]</f>
        <v>188.14</v>
      </c>
      <c r="J562" s="357">
        <v>188.14</v>
      </c>
      <c r="K562" s="220" t="e">
        <f>VLOOKUP(Таблица37[[#This Row],[Оболочки]],'[3]Расчет себес оболочек'!$A$3:$E$35,5,0)</f>
        <v>#N/A</v>
      </c>
    </row>
    <row r="563" spans="2:11" x14ac:dyDescent="0.25">
      <c r="B563" s="350" t="s">
        <v>1647</v>
      </c>
      <c r="C563" s="351" t="s">
        <v>1648</v>
      </c>
      <c r="D563" s="352" t="s">
        <v>640</v>
      </c>
      <c r="E563" s="353">
        <f t="shared" si="11"/>
        <v>188.14</v>
      </c>
      <c r="F563" s="354"/>
      <c r="G563" s="358" t="s">
        <v>2318</v>
      </c>
      <c r="H563" s="359"/>
      <c r="I563" s="356">
        <f>Таблица37[[#This Row],[Цена]]+Таблица37[[#This Row],[Трудозатраты]]</f>
        <v>188.14</v>
      </c>
      <c r="J563" s="357">
        <v>188.14</v>
      </c>
      <c r="K563" s="220" t="e">
        <f>VLOOKUP(Таблица37[[#This Row],[Оболочки]],'[3]Расчет себес оболочек'!$A$3:$E$35,5,0)</f>
        <v>#N/A</v>
      </c>
    </row>
    <row r="564" spans="2:11" x14ac:dyDescent="0.25">
      <c r="B564" s="350" t="s">
        <v>1649</v>
      </c>
      <c r="C564" s="351" t="s">
        <v>1650</v>
      </c>
      <c r="D564" s="352" t="s">
        <v>640</v>
      </c>
      <c r="E564" s="353">
        <f t="shared" si="11"/>
        <v>188.14</v>
      </c>
      <c r="F564" s="354"/>
      <c r="G564" s="358" t="s">
        <v>2318</v>
      </c>
      <c r="H564" s="359"/>
      <c r="I564" s="356">
        <f>Таблица37[[#This Row],[Цена]]+Таблица37[[#This Row],[Трудозатраты]]</f>
        <v>188.14</v>
      </c>
      <c r="J564" s="357">
        <v>188.14</v>
      </c>
      <c r="K564" s="220" t="e">
        <f>VLOOKUP(Таблица37[[#This Row],[Оболочки]],'[3]Расчет себес оболочек'!$A$3:$E$35,5,0)</f>
        <v>#N/A</v>
      </c>
    </row>
    <row r="565" spans="2:11" x14ac:dyDescent="0.25">
      <c r="B565" s="350" t="s">
        <v>1651</v>
      </c>
      <c r="C565" s="351" t="s">
        <v>1652</v>
      </c>
      <c r="D565" s="352" t="s">
        <v>640</v>
      </c>
      <c r="E565" s="353">
        <f t="shared" si="11"/>
        <v>188.14</v>
      </c>
      <c r="F565" s="354"/>
      <c r="G565" s="358" t="s">
        <v>2318</v>
      </c>
      <c r="H565" s="359"/>
      <c r="I565" s="356">
        <f>Таблица37[[#This Row],[Цена]]+Таблица37[[#This Row],[Трудозатраты]]</f>
        <v>188.14</v>
      </c>
      <c r="J565" s="357">
        <v>188.14</v>
      </c>
      <c r="K565" s="220" t="e">
        <f>VLOOKUP(Таблица37[[#This Row],[Оболочки]],'[3]Расчет себес оболочек'!$A$3:$E$35,5,0)</f>
        <v>#N/A</v>
      </c>
    </row>
    <row r="566" spans="2:11" x14ac:dyDescent="0.25">
      <c r="B566" s="350" t="s">
        <v>1653</v>
      </c>
      <c r="C566" s="351" t="s">
        <v>1654</v>
      </c>
      <c r="D566" s="352" t="s">
        <v>640</v>
      </c>
      <c r="E566" s="353">
        <f t="shared" si="11"/>
        <v>188.14</v>
      </c>
      <c r="F566" s="354"/>
      <c r="G566" s="358" t="s">
        <v>2318</v>
      </c>
      <c r="H566" s="359"/>
      <c r="I566" s="356">
        <f>Таблица37[[#This Row],[Цена]]+Таблица37[[#This Row],[Трудозатраты]]</f>
        <v>188.14</v>
      </c>
      <c r="J566" s="357">
        <v>188.14</v>
      </c>
      <c r="K566" s="220" t="e">
        <f>VLOOKUP(Таблица37[[#This Row],[Оболочки]],'[3]Расчет себес оболочек'!$A$3:$E$35,5,0)</f>
        <v>#N/A</v>
      </c>
    </row>
    <row r="567" spans="2:11" x14ac:dyDescent="0.25">
      <c r="B567" s="350" t="s">
        <v>1655</v>
      </c>
      <c r="C567" s="351" t="s">
        <v>1656</v>
      </c>
      <c r="D567" s="352" t="s">
        <v>640</v>
      </c>
      <c r="E567" s="353">
        <f t="shared" si="11"/>
        <v>188.14</v>
      </c>
      <c r="F567" s="354"/>
      <c r="G567" s="358" t="s">
        <v>2318</v>
      </c>
      <c r="H567" s="359"/>
      <c r="I567" s="356">
        <f>Таблица37[[#This Row],[Цена]]+Таблица37[[#This Row],[Трудозатраты]]</f>
        <v>188.14</v>
      </c>
      <c r="J567" s="357">
        <v>188.14</v>
      </c>
      <c r="K567" s="220" t="e">
        <f>VLOOKUP(Таблица37[[#This Row],[Оболочки]],'[3]Расчет себес оболочек'!$A$3:$E$35,5,0)</f>
        <v>#N/A</v>
      </c>
    </row>
    <row r="568" spans="2:11" x14ac:dyDescent="0.25">
      <c r="B568" s="350" t="s">
        <v>1657</v>
      </c>
      <c r="C568" s="351" t="s">
        <v>1658</v>
      </c>
      <c r="D568" s="352" t="s">
        <v>640</v>
      </c>
      <c r="E568" s="353">
        <f t="shared" si="11"/>
        <v>188.14</v>
      </c>
      <c r="F568" s="354"/>
      <c r="G568" s="358" t="s">
        <v>2318</v>
      </c>
      <c r="H568" s="359"/>
      <c r="I568" s="356">
        <f>Таблица37[[#This Row],[Цена]]+Таблица37[[#This Row],[Трудозатраты]]</f>
        <v>188.14</v>
      </c>
      <c r="J568" s="357">
        <v>188.14</v>
      </c>
      <c r="K568" s="220" t="e">
        <f>VLOOKUP(Таблица37[[#This Row],[Оболочки]],'[3]Расчет себес оболочек'!$A$3:$E$35,5,0)</f>
        <v>#N/A</v>
      </c>
    </row>
    <row r="569" spans="2:11" x14ac:dyDescent="0.25">
      <c r="B569" s="350" t="s">
        <v>1659</v>
      </c>
      <c r="C569" s="351" t="s">
        <v>1660</v>
      </c>
      <c r="D569" s="352" t="s">
        <v>640</v>
      </c>
      <c r="E569" s="353">
        <f t="shared" si="11"/>
        <v>188.14</v>
      </c>
      <c r="F569" s="354"/>
      <c r="G569" s="358" t="s">
        <v>2318</v>
      </c>
      <c r="H569" s="359"/>
      <c r="I569" s="356">
        <f>Таблица37[[#This Row],[Цена]]+Таблица37[[#This Row],[Трудозатраты]]</f>
        <v>188.14</v>
      </c>
      <c r="J569" s="357">
        <v>188.14</v>
      </c>
      <c r="K569" s="220" t="e">
        <f>VLOOKUP(Таблица37[[#This Row],[Оболочки]],'[3]Расчет себес оболочек'!$A$3:$E$35,5,0)</f>
        <v>#N/A</v>
      </c>
    </row>
    <row r="570" spans="2:11" x14ac:dyDescent="0.25">
      <c r="B570" s="350" t="s">
        <v>1661</v>
      </c>
      <c r="C570" s="351" t="s">
        <v>1662</v>
      </c>
      <c r="D570" s="352" t="s">
        <v>640</v>
      </c>
      <c r="E570" s="353">
        <f t="shared" si="11"/>
        <v>188.14</v>
      </c>
      <c r="F570" s="354"/>
      <c r="G570" s="358" t="s">
        <v>2318</v>
      </c>
      <c r="H570" s="359"/>
      <c r="I570" s="356">
        <f>Таблица37[[#This Row],[Цена]]+Таблица37[[#This Row],[Трудозатраты]]</f>
        <v>188.14</v>
      </c>
      <c r="J570" s="357">
        <v>188.14</v>
      </c>
      <c r="K570" s="220" t="e">
        <f>VLOOKUP(Таблица37[[#This Row],[Оболочки]],'[3]Расчет себес оболочек'!$A$3:$E$35,5,0)</f>
        <v>#N/A</v>
      </c>
    </row>
    <row r="571" spans="2:11" x14ac:dyDescent="0.25">
      <c r="B571" s="350" t="s">
        <v>1663</v>
      </c>
      <c r="C571" s="351" t="s">
        <v>1664</v>
      </c>
      <c r="D571" s="352" t="s">
        <v>640</v>
      </c>
      <c r="E571" s="353">
        <f t="shared" si="11"/>
        <v>188.14</v>
      </c>
      <c r="F571" s="354"/>
      <c r="G571" s="358" t="s">
        <v>2318</v>
      </c>
      <c r="H571" s="359"/>
      <c r="I571" s="356">
        <f>Таблица37[[#This Row],[Цена]]+Таблица37[[#This Row],[Трудозатраты]]</f>
        <v>188.14</v>
      </c>
      <c r="J571" s="357">
        <v>188.14</v>
      </c>
      <c r="K571" s="220" t="e">
        <f>VLOOKUP(Таблица37[[#This Row],[Оболочки]],'[3]Расчет себес оболочек'!$A$3:$E$35,5,0)</f>
        <v>#N/A</v>
      </c>
    </row>
    <row r="572" spans="2:11" x14ac:dyDescent="0.25">
      <c r="B572" s="350" t="s">
        <v>1665</v>
      </c>
      <c r="C572" s="351" t="s">
        <v>1666</v>
      </c>
      <c r="D572" s="352" t="s">
        <v>640</v>
      </c>
      <c r="E572" s="353">
        <f t="shared" si="11"/>
        <v>188.14</v>
      </c>
      <c r="F572" s="354"/>
      <c r="G572" s="358" t="s">
        <v>2318</v>
      </c>
      <c r="H572" s="359"/>
      <c r="I572" s="356">
        <f>Таблица37[[#This Row],[Цена]]+Таблица37[[#This Row],[Трудозатраты]]</f>
        <v>188.14</v>
      </c>
      <c r="J572" s="357">
        <v>188.14</v>
      </c>
      <c r="K572" s="220" t="e">
        <f>VLOOKUP(Таблица37[[#This Row],[Оболочки]],'[3]Расчет себес оболочек'!$A$3:$E$35,5,0)</f>
        <v>#N/A</v>
      </c>
    </row>
    <row r="573" spans="2:11" x14ac:dyDescent="0.25">
      <c r="B573" s="350" t="s">
        <v>1667</v>
      </c>
      <c r="C573" s="351" t="s">
        <v>1668</v>
      </c>
      <c r="D573" s="352" t="s">
        <v>640</v>
      </c>
      <c r="E573" s="353">
        <f t="shared" si="11"/>
        <v>188.14</v>
      </c>
      <c r="F573" s="354"/>
      <c r="G573" s="358" t="s">
        <v>2318</v>
      </c>
      <c r="H573" s="359"/>
      <c r="I573" s="356">
        <f>Таблица37[[#This Row],[Цена]]+Таблица37[[#This Row],[Трудозатраты]]</f>
        <v>188.14</v>
      </c>
      <c r="J573" s="357">
        <v>188.14</v>
      </c>
      <c r="K573" s="220" t="e">
        <f>VLOOKUP(Таблица37[[#This Row],[Оболочки]],'[3]Расчет себес оболочек'!$A$3:$E$35,5,0)</f>
        <v>#N/A</v>
      </c>
    </row>
    <row r="574" spans="2:11" x14ac:dyDescent="0.25">
      <c r="B574" s="350" t="s">
        <v>1669</v>
      </c>
      <c r="C574" s="351" t="s">
        <v>1670</v>
      </c>
      <c r="D574" s="352" t="s">
        <v>640</v>
      </c>
      <c r="E574" s="353">
        <f t="shared" si="11"/>
        <v>188.14</v>
      </c>
      <c r="F574" s="354"/>
      <c r="G574" s="358" t="s">
        <v>2318</v>
      </c>
      <c r="H574" s="359"/>
      <c r="I574" s="356">
        <f>Таблица37[[#This Row],[Цена]]+Таблица37[[#This Row],[Трудозатраты]]</f>
        <v>188.14</v>
      </c>
      <c r="J574" s="357">
        <v>188.14</v>
      </c>
      <c r="K574" s="220" t="e">
        <f>VLOOKUP(Таблица37[[#This Row],[Оболочки]],'[3]Расчет себес оболочек'!$A$3:$E$35,5,0)</f>
        <v>#N/A</v>
      </c>
    </row>
    <row r="575" spans="2:11" x14ac:dyDescent="0.25">
      <c r="B575" s="350" t="s">
        <v>1671</v>
      </c>
      <c r="C575" s="351" t="s">
        <v>1672</v>
      </c>
      <c r="D575" s="352" t="s">
        <v>640</v>
      </c>
      <c r="E575" s="353">
        <f t="shared" si="11"/>
        <v>188.14</v>
      </c>
      <c r="F575" s="354"/>
      <c r="G575" s="358" t="s">
        <v>2318</v>
      </c>
      <c r="H575" s="359"/>
      <c r="I575" s="356">
        <f>Таблица37[[#This Row],[Цена]]+Таблица37[[#This Row],[Трудозатраты]]</f>
        <v>188.14</v>
      </c>
      <c r="J575" s="357">
        <v>188.14</v>
      </c>
      <c r="K575" s="220" t="e">
        <f>VLOOKUP(Таблица37[[#This Row],[Оболочки]],'[3]Расчет себес оболочек'!$A$3:$E$35,5,0)</f>
        <v>#N/A</v>
      </c>
    </row>
    <row r="576" spans="2:11" x14ac:dyDescent="0.25">
      <c r="B576" s="350" t="s">
        <v>1673</v>
      </c>
      <c r="C576" s="351" t="s">
        <v>1674</v>
      </c>
      <c r="D576" s="352" t="s">
        <v>640</v>
      </c>
      <c r="E576" s="353">
        <f t="shared" si="11"/>
        <v>188.14</v>
      </c>
      <c r="F576" s="354"/>
      <c r="G576" s="358" t="s">
        <v>2318</v>
      </c>
      <c r="H576" s="359"/>
      <c r="I576" s="356">
        <f>Таблица37[[#This Row],[Цена]]+Таблица37[[#This Row],[Трудозатраты]]</f>
        <v>188.14</v>
      </c>
      <c r="J576" s="357">
        <v>188.14</v>
      </c>
      <c r="K576" s="220" t="e">
        <f>VLOOKUP(Таблица37[[#This Row],[Оболочки]],'[3]Расчет себес оболочек'!$A$3:$E$35,5,0)</f>
        <v>#N/A</v>
      </c>
    </row>
    <row r="577" spans="2:11" x14ac:dyDescent="0.25">
      <c r="B577" s="350" t="s">
        <v>1675</v>
      </c>
      <c r="C577" s="351" t="s">
        <v>1676</v>
      </c>
      <c r="D577" s="352" t="s">
        <v>640</v>
      </c>
      <c r="E577" s="353">
        <f t="shared" si="11"/>
        <v>188.14</v>
      </c>
      <c r="F577" s="354"/>
      <c r="G577" s="358" t="s">
        <v>2318</v>
      </c>
      <c r="H577" s="359"/>
      <c r="I577" s="356">
        <f>Таблица37[[#This Row],[Цена]]+Таблица37[[#This Row],[Трудозатраты]]</f>
        <v>188.14</v>
      </c>
      <c r="J577" s="357">
        <v>188.14</v>
      </c>
      <c r="K577" s="220" t="e">
        <f>VLOOKUP(Таблица37[[#This Row],[Оболочки]],'[3]Расчет себес оболочек'!$A$3:$E$35,5,0)</f>
        <v>#N/A</v>
      </c>
    </row>
    <row r="578" spans="2:11" x14ac:dyDescent="0.25">
      <c r="B578" s="350" t="s">
        <v>1677</v>
      </c>
      <c r="C578" s="351" t="s">
        <v>1678</v>
      </c>
      <c r="D578" s="352" t="s">
        <v>640</v>
      </c>
      <c r="E578" s="353">
        <f t="shared" si="11"/>
        <v>188.14</v>
      </c>
      <c r="F578" s="354"/>
      <c r="G578" s="358" t="s">
        <v>2318</v>
      </c>
      <c r="H578" s="359"/>
      <c r="I578" s="356">
        <f>Таблица37[[#This Row],[Цена]]+Таблица37[[#This Row],[Трудозатраты]]</f>
        <v>188.14</v>
      </c>
      <c r="J578" s="357">
        <v>188.14</v>
      </c>
      <c r="K578" s="220" t="e">
        <f>VLOOKUP(Таблица37[[#This Row],[Оболочки]],'[3]Расчет себес оболочек'!$A$3:$E$35,5,0)</f>
        <v>#N/A</v>
      </c>
    </row>
    <row r="579" spans="2:11" x14ac:dyDescent="0.25">
      <c r="B579" s="350" t="s">
        <v>1679</v>
      </c>
      <c r="C579" s="351" t="s">
        <v>1680</v>
      </c>
      <c r="D579" s="352" t="s">
        <v>640</v>
      </c>
      <c r="E579" s="353">
        <f t="shared" si="11"/>
        <v>188.14</v>
      </c>
      <c r="F579" s="354"/>
      <c r="G579" s="358" t="s">
        <v>2318</v>
      </c>
      <c r="H579" s="359"/>
      <c r="I579" s="356">
        <f>Таблица37[[#This Row],[Цена]]+Таблица37[[#This Row],[Трудозатраты]]</f>
        <v>188.14</v>
      </c>
      <c r="J579" s="357">
        <v>188.14</v>
      </c>
      <c r="K579" s="220" t="e">
        <f>VLOOKUP(Таблица37[[#This Row],[Оболочки]],'[3]Расчет себес оболочек'!$A$3:$E$35,5,0)</f>
        <v>#N/A</v>
      </c>
    </row>
    <row r="580" spans="2:11" x14ac:dyDescent="0.25">
      <c r="B580" s="350" t="s">
        <v>1681</v>
      </c>
      <c r="C580" s="351" t="s">
        <v>1682</v>
      </c>
      <c r="D580" s="352" t="s">
        <v>640</v>
      </c>
      <c r="E580" s="353">
        <f t="shared" si="11"/>
        <v>188.14</v>
      </c>
      <c r="F580" s="354"/>
      <c r="G580" s="358" t="s">
        <v>2318</v>
      </c>
      <c r="H580" s="359"/>
      <c r="I580" s="356">
        <f>Таблица37[[#This Row],[Цена]]+Таблица37[[#This Row],[Трудозатраты]]</f>
        <v>188.14</v>
      </c>
      <c r="J580" s="357">
        <v>188.14</v>
      </c>
      <c r="K580" s="220" t="e">
        <f>VLOOKUP(Таблица37[[#This Row],[Оболочки]],'[3]Расчет себес оболочек'!$A$3:$E$35,5,0)</f>
        <v>#N/A</v>
      </c>
    </row>
    <row r="581" spans="2:11" x14ac:dyDescent="0.25">
      <c r="B581" s="350" t="s">
        <v>1683</v>
      </c>
      <c r="C581" s="351" t="s">
        <v>1684</v>
      </c>
      <c r="D581" s="352" t="s">
        <v>640</v>
      </c>
      <c r="E581" s="353">
        <f t="shared" si="11"/>
        <v>188.14</v>
      </c>
      <c r="F581" s="354"/>
      <c r="G581" s="358" t="s">
        <v>2318</v>
      </c>
      <c r="H581" s="359"/>
      <c r="I581" s="356">
        <f>Таблица37[[#This Row],[Цена]]+Таблица37[[#This Row],[Трудозатраты]]</f>
        <v>188.14</v>
      </c>
      <c r="J581" s="357">
        <v>188.14</v>
      </c>
      <c r="K581" s="220" t="e">
        <f>VLOOKUP(Таблица37[[#This Row],[Оболочки]],'[3]Расчет себес оболочек'!$A$3:$E$35,5,0)</f>
        <v>#N/A</v>
      </c>
    </row>
    <row r="582" spans="2:11" x14ac:dyDescent="0.25">
      <c r="B582" s="350" t="s">
        <v>1685</v>
      </c>
      <c r="C582" s="351" t="s">
        <v>1686</v>
      </c>
      <c r="D582" s="352" t="s">
        <v>640</v>
      </c>
      <c r="E582" s="353">
        <f t="shared" si="11"/>
        <v>188.14</v>
      </c>
      <c r="F582" s="354"/>
      <c r="G582" s="358" t="s">
        <v>2318</v>
      </c>
      <c r="H582" s="359"/>
      <c r="I582" s="356">
        <f>Таблица37[[#This Row],[Цена]]+Таблица37[[#This Row],[Трудозатраты]]</f>
        <v>188.14</v>
      </c>
      <c r="J582" s="357">
        <v>188.14</v>
      </c>
      <c r="K582" s="220" t="e">
        <f>VLOOKUP(Таблица37[[#This Row],[Оболочки]],'[3]Расчет себес оболочек'!$A$3:$E$35,5,0)</f>
        <v>#N/A</v>
      </c>
    </row>
    <row r="583" spans="2:11" x14ac:dyDescent="0.25">
      <c r="B583" s="350" t="s">
        <v>1687</v>
      </c>
      <c r="C583" s="351" t="s">
        <v>1688</v>
      </c>
      <c r="D583" s="352" t="s">
        <v>640</v>
      </c>
      <c r="E583" s="353">
        <f t="shared" si="11"/>
        <v>188.14</v>
      </c>
      <c r="F583" s="354"/>
      <c r="G583" s="358" t="s">
        <v>2318</v>
      </c>
      <c r="H583" s="359"/>
      <c r="I583" s="356">
        <f>Таблица37[[#This Row],[Цена]]+Таблица37[[#This Row],[Трудозатраты]]</f>
        <v>188.14</v>
      </c>
      <c r="J583" s="357">
        <v>188.14</v>
      </c>
      <c r="K583" s="220" t="e">
        <f>VLOOKUP(Таблица37[[#This Row],[Оболочки]],'[3]Расчет себес оболочек'!$A$3:$E$35,5,0)</f>
        <v>#N/A</v>
      </c>
    </row>
    <row r="584" spans="2:11" x14ac:dyDescent="0.25">
      <c r="B584" s="350" t="s">
        <v>1689</v>
      </c>
      <c r="C584" s="351" t="s">
        <v>1690</v>
      </c>
      <c r="D584" s="352" t="s">
        <v>640</v>
      </c>
      <c r="E584" s="353">
        <f t="shared" si="11"/>
        <v>188.14</v>
      </c>
      <c r="F584" s="354"/>
      <c r="G584" s="358" t="s">
        <v>2318</v>
      </c>
      <c r="H584" s="359"/>
      <c r="I584" s="356">
        <f>Таблица37[[#This Row],[Цена]]+Таблица37[[#This Row],[Трудозатраты]]</f>
        <v>188.14</v>
      </c>
      <c r="J584" s="357">
        <v>188.14</v>
      </c>
      <c r="K584" s="220" t="e">
        <f>VLOOKUP(Таблица37[[#This Row],[Оболочки]],'[3]Расчет себес оболочек'!$A$3:$E$35,5,0)</f>
        <v>#N/A</v>
      </c>
    </row>
    <row r="585" spans="2:11" x14ac:dyDescent="0.25">
      <c r="B585" s="350" t="s">
        <v>1691</v>
      </c>
      <c r="C585" s="351" t="s">
        <v>1692</v>
      </c>
      <c r="D585" s="352" t="s">
        <v>640</v>
      </c>
      <c r="E585" s="353">
        <f t="shared" si="11"/>
        <v>188.14</v>
      </c>
      <c r="F585" s="354"/>
      <c r="G585" s="358" t="s">
        <v>2318</v>
      </c>
      <c r="H585" s="359"/>
      <c r="I585" s="356">
        <f>Таблица37[[#This Row],[Цена]]+Таблица37[[#This Row],[Трудозатраты]]</f>
        <v>188.14</v>
      </c>
      <c r="J585" s="357">
        <v>188.14</v>
      </c>
      <c r="K585" s="220" t="e">
        <f>VLOOKUP(Таблица37[[#This Row],[Оболочки]],'[3]Расчет себес оболочек'!$A$3:$E$35,5,0)</f>
        <v>#N/A</v>
      </c>
    </row>
    <row r="586" spans="2:11" x14ac:dyDescent="0.25">
      <c r="B586" s="350" t="s">
        <v>1693</v>
      </c>
      <c r="C586" s="351" t="s">
        <v>1694</v>
      </c>
      <c r="D586" s="352" t="s">
        <v>640</v>
      </c>
      <c r="E586" s="353">
        <f t="shared" si="11"/>
        <v>188.14</v>
      </c>
      <c r="F586" s="354"/>
      <c r="G586" s="358" t="s">
        <v>2318</v>
      </c>
      <c r="H586" s="359"/>
      <c r="I586" s="356">
        <f>Таблица37[[#This Row],[Цена]]+Таблица37[[#This Row],[Трудозатраты]]</f>
        <v>188.14</v>
      </c>
      <c r="J586" s="357">
        <v>188.14</v>
      </c>
      <c r="K586" s="220" t="e">
        <f>VLOOKUP(Таблица37[[#This Row],[Оболочки]],'[3]Расчет себес оболочек'!$A$3:$E$35,5,0)</f>
        <v>#N/A</v>
      </c>
    </row>
    <row r="587" spans="2:11" x14ac:dyDescent="0.25">
      <c r="B587" s="350" t="s">
        <v>1695</v>
      </c>
      <c r="C587" s="351" t="s">
        <v>1696</v>
      </c>
      <c r="D587" s="352" t="s">
        <v>640</v>
      </c>
      <c r="E587" s="353">
        <f t="shared" si="11"/>
        <v>188.14</v>
      </c>
      <c r="F587" s="354"/>
      <c r="G587" s="358" t="s">
        <v>2318</v>
      </c>
      <c r="H587" s="359"/>
      <c r="I587" s="356">
        <f>Таблица37[[#This Row],[Цена]]+Таблица37[[#This Row],[Трудозатраты]]</f>
        <v>188.14</v>
      </c>
      <c r="J587" s="357">
        <v>188.14</v>
      </c>
      <c r="K587" s="220" t="e">
        <f>VLOOKUP(Таблица37[[#This Row],[Оболочки]],'[3]Расчет себес оболочек'!$A$3:$E$35,5,0)</f>
        <v>#N/A</v>
      </c>
    </row>
    <row r="588" spans="2:11" x14ac:dyDescent="0.25">
      <c r="B588" s="350" t="s">
        <v>1697</v>
      </c>
      <c r="C588" s="351" t="s">
        <v>1698</v>
      </c>
      <c r="D588" s="352" t="s">
        <v>640</v>
      </c>
      <c r="E588" s="353">
        <f t="shared" si="11"/>
        <v>188.14</v>
      </c>
      <c r="F588" s="354"/>
      <c r="G588" s="358" t="s">
        <v>2318</v>
      </c>
      <c r="H588" s="359"/>
      <c r="I588" s="356">
        <f>Таблица37[[#This Row],[Цена]]+Таблица37[[#This Row],[Трудозатраты]]</f>
        <v>188.14</v>
      </c>
      <c r="J588" s="357">
        <v>188.14</v>
      </c>
      <c r="K588" s="220" t="e">
        <f>VLOOKUP(Таблица37[[#This Row],[Оболочки]],'[3]Расчет себес оболочек'!$A$3:$E$35,5,0)</f>
        <v>#N/A</v>
      </c>
    </row>
    <row r="589" spans="2:11" x14ac:dyDescent="0.25">
      <c r="B589" s="350" t="s">
        <v>1699</v>
      </c>
      <c r="C589" s="351" t="s">
        <v>1700</v>
      </c>
      <c r="D589" s="352" t="s">
        <v>640</v>
      </c>
      <c r="E589" s="353">
        <f t="shared" si="11"/>
        <v>188.14</v>
      </c>
      <c r="F589" s="354"/>
      <c r="G589" s="358" t="s">
        <v>2318</v>
      </c>
      <c r="H589" s="359"/>
      <c r="I589" s="356">
        <f>Таблица37[[#This Row],[Цена]]+Таблица37[[#This Row],[Трудозатраты]]</f>
        <v>188.14</v>
      </c>
      <c r="J589" s="357">
        <v>188.14</v>
      </c>
      <c r="K589" s="220" t="e">
        <f>VLOOKUP(Таблица37[[#This Row],[Оболочки]],'[3]Расчет себес оболочек'!$A$3:$E$35,5,0)</f>
        <v>#N/A</v>
      </c>
    </row>
    <row r="590" spans="2:11" x14ac:dyDescent="0.25">
      <c r="B590" s="350" t="s">
        <v>1701</v>
      </c>
      <c r="C590" s="351" t="s">
        <v>1702</v>
      </c>
      <c r="D590" s="352" t="s">
        <v>640</v>
      </c>
      <c r="E590" s="353">
        <f t="shared" si="11"/>
        <v>188.14</v>
      </c>
      <c r="F590" s="354"/>
      <c r="G590" s="358" t="s">
        <v>2318</v>
      </c>
      <c r="H590" s="359"/>
      <c r="I590" s="356">
        <f>Таблица37[[#This Row],[Цена]]+Таблица37[[#This Row],[Трудозатраты]]</f>
        <v>188.14</v>
      </c>
      <c r="J590" s="357">
        <v>188.14</v>
      </c>
      <c r="K590" s="220" t="e">
        <f>VLOOKUP(Таблица37[[#This Row],[Оболочки]],'[3]Расчет себес оболочек'!$A$3:$E$35,5,0)</f>
        <v>#N/A</v>
      </c>
    </row>
    <row r="591" spans="2:11" x14ac:dyDescent="0.25">
      <c r="B591" s="350" t="s">
        <v>1703</v>
      </c>
      <c r="C591" s="351" t="s">
        <v>1704</v>
      </c>
      <c r="D591" s="352" t="s">
        <v>640</v>
      </c>
      <c r="E591" s="353">
        <f t="shared" si="11"/>
        <v>188.14</v>
      </c>
      <c r="F591" s="354"/>
      <c r="G591" s="358" t="s">
        <v>2318</v>
      </c>
      <c r="H591" s="359"/>
      <c r="I591" s="356">
        <f>Таблица37[[#This Row],[Цена]]+Таблица37[[#This Row],[Трудозатраты]]</f>
        <v>188.14</v>
      </c>
      <c r="J591" s="357">
        <v>188.14</v>
      </c>
      <c r="K591" s="220" t="e">
        <f>VLOOKUP(Таблица37[[#This Row],[Оболочки]],'[3]Расчет себес оболочек'!$A$3:$E$35,5,0)</f>
        <v>#N/A</v>
      </c>
    </row>
    <row r="592" spans="2:11" x14ac:dyDescent="0.25">
      <c r="B592" s="350" t="s">
        <v>1705</v>
      </c>
      <c r="C592" s="351" t="s">
        <v>1706</v>
      </c>
      <c r="D592" s="352" t="s">
        <v>640</v>
      </c>
      <c r="E592" s="353">
        <f t="shared" si="11"/>
        <v>188.14</v>
      </c>
      <c r="F592" s="354"/>
      <c r="G592" s="358" t="s">
        <v>2318</v>
      </c>
      <c r="H592" s="359"/>
      <c r="I592" s="356">
        <f>Таблица37[[#This Row],[Цена]]+Таблица37[[#This Row],[Трудозатраты]]</f>
        <v>188.14</v>
      </c>
      <c r="J592" s="357">
        <v>188.14</v>
      </c>
      <c r="K592" s="220" t="e">
        <f>VLOOKUP(Таблица37[[#This Row],[Оболочки]],'[3]Расчет себес оболочек'!$A$3:$E$35,5,0)</f>
        <v>#N/A</v>
      </c>
    </row>
    <row r="593" spans="2:11" x14ac:dyDescent="0.25">
      <c r="B593" s="350" t="s">
        <v>1707</v>
      </c>
      <c r="C593" s="351" t="s">
        <v>1708</v>
      </c>
      <c r="D593" s="352" t="s">
        <v>640</v>
      </c>
      <c r="E593" s="353">
        <f t="shared" si="11"/>
        <v>188.14</v>
      </c>
      <c r="F593" s="354"/>
      <c r="G593" s="358" t="s">
        <v>2318</v>
      </c>
      <c r="H593" s="359"/>
      <c r="I593" s="356">
        <f>Таблица37[[#This Row],[Цена]]+Таблица37[[#This Row],[Трудозатраты]]</f>
        <v>188.14</v>
      </c>
      <c r="J593" s="357">
        <v>188.14</v>
      </c>
      <c r="K593" s="220" t="e">
        <f>VLOOKUP(Таблица37[[#This Row],[Оболочки]],'[3]Расчет себес оболочек'!$A$3:$E$35,5,0)</f>
        <v>#N/A</v>
      </c>
    </row>
    <row r="594" spans="2:11" x14ac:dyDescent="0.25">
      <c r="B594" s="350" t="s">
        <v>1709</v>
      </c>
      <c r="C594" s="351" t="s">
        <v>1710</v>
      </c>
      <c r="D594" s="352" t="s">
        <v>640</v>
      </c>
      <c r="E594" s="353">
        <f t="shared" ref="E594:E657" si="12">J594</f>
        <v>188.14</v>
      </c>
      <c r="F594" s="354"/>
      <c r="G594" s="358" t="s">
        <v>2318</v>
      </c>
      <c r="H594" s="359"/>
      <c r="I594" s="356">
        <f>Таблица37[[#This Row],[Цена]]+Таблица37[[#This Row],[Трудозатраты]]</f>
        <v>188.14</v>
      </c>
      <c r="J594" s="357">
        <v>188.14</v>
      </c>
      <c r="K594" s="220" t="e">
        <f>VLOOKUP(Таблица37[[#This Row],[Оболочки]],'[3]Расчет себес оболочек'!$A$3:$E$35,5,0)</f>
        <v>#N/A</v>
      </c>
    </row>
    <row r="595" spans="2:11" x14ac:dyDescent="0.25">
      <c r="B595" s="350" t="s">
        <v>1711</v>
      </c>
      <c r="C595" s="351" t="s">
        <v>1712</v>
      </c>
      <c r="D595" s="352" t="s">
        <v>640</v>
      </c>
      <c r="E595" s="353">
        <f t="shared" si="12"/>
        <v>188.14</v>
      </c>
      <c r="F595" s="354"/>
      <c r="G595" s="358" t="s">
        <v>2318</v>
      </c>
      <c r="H595" s="359"/>
      <c r="I595" s="356">
        <f>Таблица37[[#This Row],[Цена]]+Таблица37[[#This Row],[Трудозатраты]]</f>
        <v>188.14</v>
      </c>
      <c r="J595" s="357">
        <v>188.14</v>
      </c>
      <c r="K595" s="220" t="e">
        <f>VLOOKUP(Таблица37[[#This Row],[Оболочки]],'[3]Расчет себес оболочек'!$A$3:$E$35,5,0)</f>
        <v>#N/A</v>
      </c>
    </row>
    <row r="596" spans="2:11" x14ac:dyDescent="0.25">
      <c r="B596" s="350" t="s">
        <v>1713</v>
      </c>
      <c r="C596" s="351" t="s">
        <v>1714</v>
      </c>
      <c r="D596" s="352" t="s">
        <v>640</v>
      </c>
      <c r="E596" s="353">
        <f t="shared" si="12"/>
        <v>188.14</v>
      </c>
      <c r="F596" s="354"/>
      <c r="G596" s="358" t="s">
        <v>2318</v>
      </c>
      <c r="H596" s="359"/>
      <c r="I596" s="356">
        <f>Таблица37[[#This Row],[Цена]]+Таблица37[[#This Row],[Трудозатраты]]</f>
        <v>188.14</v>
      </c>
      <c r="J596" s="357">
        <v>188.14</v>
      </c>
      <c r="K596" s="220" t="e">
        <f>VLOOKUP(Таблица37[[#This Row],[Оболочки]],'[3]Расчет себес оболочек'!$A$3:$E$35,5,0)</f>
        <v>#N/A</v>
      </c>
    </row>
    <row r="597" spans="2:11" x14ac:dyDescent="0.25">
      <c r="B597" s="350" t="s">
        <v>1715</v>
      </c>
      <c r="C597" s="351" t="s">
        <v>1716</v>
      </c>
      <c r="D597" s="352" t="s">
        <v>640</v>
      </c>
      <c r="E597" s="353">
        <f t="shared" si="12"/>
        <v>188.14</v>
      </c>
      <c r="F597" s="354"/>
      <c r="G597" s="358" t="s">
        <v>2318</v>
      </c>
      <c r="H597" s="359"/>
      <c r="I597" s="356">
        <f>Таблица37[[#This Row],[Цена]]+Таблица37[[#This Row],[Трудозатраты]]</f>
        <v>188.14</v>
      </c>
      <c r="J597" s="357">
        <v>188.14</v>
      </c>
      <c r="K597" s="220" t="e">
        <f>VLOOKUP(Таблица37[[#This Row],[Оболочки]],'[3]Расчет себес оболочек'!$A$3:$E$35,5,0)</f>
        <v>#N/A</v>
      </c>
    </row>
    <row r="598" spans="2:11" x14ac:dyDescent="0.25">
      <c r="B598" s="350" t="s">
        <v>1717</v>
      </c>
      <c r="C598" s="351" t="s">
        <v>1718</v>
      </c>
      <c r="D598" s="352" t="s">
        <v>640</v>
      </c>
      <c r="E598" s="353">
        <f t="shared" si="12"/>
        <v>188.14</v>
      </c>
      <c r="F598" s="354"/>
      <c r="G598" s="358" t="s">
        <v>2318</v>
      </c>
      <c r="H598" s="359"/>
      <c r="I598" s="356">
        <f>Таблица37[[#This Row],[Цена]]+Таблица37[[#This Row],[Трудозатраты]]</f>
        <v>188.14</v>
      </c>
      <c r="J598" s="357">
        <v>188.14</v>
      </c>
      <c r="K598" s="220" t="e">
        <f>VLOOKUP(Таблица37[[#This Row],[Оболочки]],'[3]Расчет себес оболочек'!$A$3:$E$35,5,0)</f>
        <v>#N/A</v>
      </c>
    </row>
    <row r="599" spans="2:11" x14ac:dyDescent="0.25">
      <c r="B599" s="350" t="s">
        <v>1719</v>
      </c>
      <c r="C599" s="351" t="s">
        <v>1720</v>
      </c>
      <c r="D599" s="352" t="s">
        <v>640</v>
      </c>
      <c r="E599" s="353">
        <f t="shared" si="12"/>
        <v>188.14</v>
      </c>
      <c r="F599" s="354"/>
      <c r="G599" s="358" t="s">
        <v>2318</v>
      </c>
      <c r="H599" s="359"/>
      <c r="I599" s="356">
        <f>Таблица37[[#This Row],[Цена]]+Таблица37[[#This Row],[Трудозатраты]]</f>
        <v>188.14</v>
      </c>
      <c r="J599" s="357">
        <v>188.14</v>
      </c>
      <c r="K599" s="220" t="e">
        <f>VLOOKUP(Таблица37[[#This Row],[Оболочки]],'[3]Расчет себес оболочек'!$A$3:$E$35,5,0)</f>
        <v>#N/A</v>
      </c>
    </row>
    <row r="600" spans="2:11" x14ac:dyDescent="0.25">
      <c r="B600" s="350" t="s">
        <v>1721</v>
      </c>
      <c r="C600" s="351" t="s">
        <v>1722</v>
      </c>
      <c r="D600" s="352" t="s">
        <v>640</v>
      </c>
      <c r="E600" s="353">
        <f t="shared" si="12"/>
        <v>188.14</v>
      </c>
      <c r="F600" s="354"/>
      <c r="G600" s="358" t="s">
        <v>2318</v>
      </c>
      <c r="H600" s="359"/>
      <c r="I600" s="356">
        <f>Таблица37[[#This Row],[Цена]]+Таблица37[[#This Row],[Трудозатраты]]</f>
        <v>188.14</v>
      </c>
      <c r="J600" s="357">
        <v>188.14</v>
      </c>
      <c r="K600" s="220" t="e">
        <f>VLOOKUP(Таблица37[[#This Row],[Оболочки]],'[3]Расчет себес оболочек'!$A$3:$E$35,5,0)</f>
        <v>#N/A</v>
      </c>
    </row>
    <row r="601" spans="2:11" x14ac:dyDescent="0.25">
      <c r="B601" s="350" t="s">
        <v>1723</v>
      </c>
      <c r="C601" s="351" t="s">
        <v>1724</v>
      </c>
      <c r="D601" s="352" t="s">
        <v>640</v>
      </c>
      <c r="E601" s="353">
        <f t="shared" si="12"/>
        <v>188.14</v>
      </c>
      <c r="F601" s="354"/>
      <c r="G601" s="358" t="s">
        <v>2318</v>
      </c>
      <c r="H601" s="359"/>
      <c r="I601" s="356">
        <f>Таблица37[[#This Row],[Цена]]+Таблица37[[#This Row],[Трудозатраты]]</f>
        <v>188.14</v>
      </c>
      <c r="J601" s="357">
        <v>188.14</v>
      </c>
      <c r="K601" s="220" t="e">
        <f>VLOOKUP(Таблица37[[#This Row],[Оболочки]],'[3]Расчет себес оболочек'!$A$3:$E$35,5,0)</f>
        <v>#N/A</v>
      </c>
    </row>
    <row r="602" spans="2:11" x14ac:dyDescent="0.25">
      <c r="B602" s="350" t="s">
        <v>1725</v>
      </c>
      <c r="C602" s="351" t="s">
        <v>1726</v>
      </c>
      <c r="D602" s="352" t="s">
        <v>640</v>
      </c>
      <c r="E602" s="353">
        <f t="shared" si="12"/>
        <v>188.14</v>
      </c>
      <c r="F602" s="354"/>
      <c r="G602" s="358" t="s">
        <v>2318</v>
      </c>
      <c r="H602" s="359"/>
      <c r="I602" s="356">
        <f>Таблица37[[#This Row],[Цена]]+Таблица37[[#This Row],[Трудозатраты]]</f>
        <v>188.14</v>
      </c>
      <c r="J602" s="357">
        <v>188.14</v>
      </c>
      <c r="K602" s="220" t="e">
        <f>VLOOKUP(Таблица37[[#This Row],[Оболочки]],'[3]Расчет себес оболочек'!$A$3:$E$35,5,0)</f>
        <v>#N/A</v>
      </c>
    </row>
    <row r="603" spans="2:11" x14ac:dyDescent="0.25">
      <c r="B603" s="350" t="s">
        <v>1727</v>
      </c>
      <c r="C603" s="351" t="s">
        <v>1728</v>
      </c>
      <c r="D603" s="352" t="s">
        <v>640</v>
      </c>
      <c r="E603" s="353">
        <f t="shared" si="12"/>
        <v>188.14</v>
      </c>
      <c r="F603" s="354"/>
      <c r="G603" s="358" t="s">
        <v>2318</v>
      </c>
      <c r="H603" s="359"/>
      <c r="I603" s="356">
        <f>Таблица37[[#This Row],[Цена]]+Таблица37[[#This Row],[Трудозатраты]]</f>
        <v>188.14</v>
      </c>
      <c r="J603" s="357">
        <v>188.14</v>
      </c>
      <c r="K603" s="220" t="e">
        <f>VLOOKUP(Таблица37[[#This Row],[Оболочки]],'[3]Расчет себес оболочек'!$A$3:$E$35,5,0)</f>
        <v>#N/A</v>
      </c>
    </row>
    <row r="604" spans="2:11" x14ac:dyDescent="0.25">
      <c r="B604" s="350" t="s">
        <v>1729</v>
      </c>
      <c r="C604" s="351" t="s">
        <v>1730</v>
      </c>
      <c r="D604" s="352" t="s">
        <v>640</v>
      </c>
      <c r="E604" s="353">
        <f t="shared" si="12"/>
        <v>188.14</v>
      </c>
      <c r="F604" s="354"/>
      <c r="G604" s="358" t="s">
        <v>2318</v>
      </c>
      <c r="H604" s="359"/>
      <c r="I604" s="356">
        <f>Таблица37[[#This Row],[Цена]]+Таблица37[[#This Row],[Трудозатраты]]</f>
        <v>188.14</v>
      </c>
      <c r="J604" s="357">
        <v>188.14</v>
      </c>
      <c r="K604" s="220" t="e">
        <f>VLOOKUP(Таблица37[[#This Row],[Оболочки]],'[3]Расчет себес оболочек'!$A$3:$E$35,5,0)</f>
        <v>#N/A</v>
      </c>
    </row>
    <row r="605" spans="2:11" x14ac:dyDescent="0.25">
      <c r="B605" s="350" t="s">
        <v>1731</v>
      </c>
      <c r="C605" s="351" t="s">
        <v>1732</v>
      </c>
      <c r="D605" s="352" t="s">
        <v>640</v>
      </c>
      <c r="E605" s="353">
        <f t="shared" si="12"/>
        <v>188.14</v>
      </c>
      <c r="F605" s="354"/>
      <c r="G605" s="358" t="s">
        <v>2318</v>
      </c>
      <c r="H605" s="359"/>
      <c r="I605" s="356">
        <f>Таблица37[[#This Row],[Цена]]+Таблица37[[#This Row],[Трудозатраты]]</f>
        <v>188.14</v>
      </c>
      <c r="J605" s="357">
        <v>188.14</v>
      </c>
      <c r="K605" s="220" t="e">
        <f>VLOOKUP(Таблица37[[#This Row],[Оболочки]],'[3]Расчет себес оболочек'!$A$3:$E$35,5,0)</f>
        <v>#N/A</v>
      </c>
    </row>
    <row r="606" spans="2:11" x14ac:dyDescent="0.25">
      <c r="B606" s="350" t="s">
        <v>1733</v>
      </c>
      <c r="C606" s="351" t="s">
        <v>1734</v>
      </c>
      <c r="D606" s="352" t="s">
        <v>640</v>
      </c>
      <c r="E606" s="353">
        <f t="shared" si="12"/>
        <v>188.14</v>
      </c>
      <c r="F606" s="354"/>
      <c r="G606" s="358" t="s">
        <v>2318</v>
      </c>
      <c r="H606" s="359"/>
      <c r="I606" s="356">
        <f>Таблица37[[#This Row],[Цена]]+Таблица37[[#This Row],[Трудозатраты]]</f>
        <v>188.14</v>
      </c>
      <c r="J606" s="357">
        <v>188.14</v>
      </c>
      <c r="K606" s="220" t="e">
        <f>VLOOKUP(Таблица37[[#This Row],[Оболочки]],'[3]Расчет себес оболочек'!$A$3:$E$35,5,0)</f>
        <v>#N/A</v>
      </c>
    </row>
    <row r="607" spans="2:11" x14ac:dyDescent="0.25">
      <c r="B607" s="350" t="s">
        <v>1735</v>
      </c>
      <c r="C607" s="351" t="s">
        <v>1736</v>
      </c>
      <c r="D607" s="352" t="s">
        <v>640</v>
      </c>
      <c r="E607" s="353">
        <f t="shared" si="12"/>
        <v>188.14</v>
      </c>
      <c r="F607" s="354"/>
      <c r="G607" s="358" t="s">
        <v>2318</v>
      </c>
      <c r="H607" s="359"/>
      <c r="I607" s="356">
        <f>Таблица37[[#This Row],[Цена]]+Таблица37[[#This Row],[Трудозатраты]]</f>
        <v>188.14</v>
      </c>
      <c r="J607" s="357">
        <v>188.14</v>
      </c>
      <c r="K607" s="220" t="e">
        <f>VLOOKUP(Таблица37[[#This Row],[Оболочки]],'[3]Расчет себес оболочек'!$A$3:$E$35,5,0)</f>
        <v>#N/A</v>
      </c>
    </row>
    <row r="608" spans="2:11" x14ac:dyDescent="0.25">
      <c r="B608" s="350" t="s">
        <v>1737</v>
      </c>
      <c r="C608" s="351" t="s">
        <v>1738</v>
      </c>
      <c r="D608" s="352" t="s">
        <v>640</v>
      </c>
      <c r="E608" s="353">
        <f t="shared" si="12"/>
        <v>188.14</v>
      </c>
      <c r="F608" s="354"/>
      <c r="G608" s="358" t="s">
        <v>2318</v>
      </c>
      <c r="H608" s="359"/>
      <c r="I608" s="356">
        <f>Таблица37[[#This Row],[Цена]]+Таблица37[[#This Row],[Трудозатраты]]</f>
        <v>188.14</v>
      </c>
      <c r="J608" s="357">
        <v>188.14</v>
      </c>
      <c r="K608" s="220" t="e">
        <f>VLOOKUP(Таблица37[[#This Row],[Оболочки]],'[3]Расчет себес оболочек'!$A$3:$E$35,5,0)</f>
        <v>#N/A</v>
      </c>
    </row>
    <row r="609" spans="2:11" x14ac:dyDescent="0.25">
      <c r="B609" s="350" t="s">
        <v>1739</v>
      </c>
      <c r="C609" s="351" t="s">
        <v>1740</v>
      </c>
      <c r="D609" s="352" t="s">
        <v>640</v>
      </c>
      <c r="E609" s="353">
        <f t="shared" si="12"/>
        <v>188.14</v>
      </c>
      <c r="F609" s="354"/>
      <c r="G609" s="358" t="s">
        <v>2318</v>
      </c>
      <c r="H609" s="359"/>
      <c r="I609" s="356">
        <f>Таблица37[[#This Row],[Цена]]+Таблица37[[#This Row],[Трудозатраты]]</f>
        <v>188.14</v>
      </c>
      <c r="J609" s="357">
        <v>188.14</v>
      </c>
      <c r="K609" s="220" t="e">
        <f>VLOOKUP(Таблица37[[#This Row],[Оболочки]],'[3]Расчет себес оболочек'!$A$3:$E$35,5,0)</f>
        <v>#N/A</v>
      </c>
    </row>
    <row r="610" spans="2:11" x14ac:dyDescent="0.25">
      <c r="B610" s="350" t="s">
        <v>1741</v>
      </c>
      <c r="C610" s="351" t="s">
        <v>1742</v>
      </c>
      <c r="D610" s="352" t="s">
        <v>640</v>
      </c>
      <c r="E610" s="353">
        <f t="shared" si="12"/>
        <v>188.14</v>
      </c>
      <c r="F610" s="354"/>
      <c r="G610" s="358" t="s">
        <v>2318</v>
      </c>
      <c r="H610" s="359"/>
      <c r="I610" s="356">
        <f>Таблица37[[#This Row],[Цена]]+Таблица37[[#This Row],[Трудозатраты]]</f>
        <v>188.14</v>
      </c>
      <c r="J610" s="357">
        <v>188.14</v>
      </c>
      <c r="K610" s="220" t="e">
        <f>VLOOKUP(Таблица37[[#This Row],[Оболочки]],'[3]Расчет себес оболочек'!$A$3:$E$35,5,0)</f>
        <v>#N/A</v>
      </c>
    </row>
    <row r="611" spans="2:11" x14ac:dyDescent="0.25">
      <c r="B611" s="350" t="s">
        <v>1743</v>
      </c>
      <c r="C611" s="351" t="s">
        <v>1744</v>
      </c>
      <c r="D611" s="352" t="s">
        <v>640</v>
      </c>
      <c r="E611" s="353">
        <f t="shared" si="12"/>
        <v>188.14</v>
      </c>
      <c r="F611" s="354"/>
      <c r="G611" s="358" t="s">
        <v>2318</v>
      </c>
      <c r="H611" s="359"/>
      <c r="I611" s="356">
        <f>Таблица37[[#This Row],[Цена]]+Таблица37[[#This Row],[Трудозатраты]]</f>
        <v>188.14</v>
      </c>
      <c r="J611" s="357">
        <v>188.14</v>
      </c>
      <c r="K611" s="220" t="e">
        <f>VLOOKUP(Таблица37[[#This Row],[Оболочки]],'[3]Расчет себес оболочек'!$A$3:$E$35,5,0)</f>
        <v>#N/A</v>
      </c>
    </row>
    <row r="612" spans="2:11" x14ac:dyDescent="0.25">
      <c r="B612" s="350" t="s">
        <v>1745</v>
      </c>
      <c r="C612" s="351" t="s">
        <v>1746</v>
      </c>
      <c r="D612" s="352" t="s">
        <v>640</v>
      </c>
      <c r="E612" s="353">
        <f t="shared" si="12"/>
        <v>188.14</v>
      </c>
      <c r="F612" s="354"/>
      <c r="G612" s="358" t="s">
        <v>2318</v>
      </c>
      <c r="H612" s="359"/>
      <c r="I612" s="356">
        <f>Таблица37[[#This Row],[Цена]]+Таблица37[[#This Row],[Трудозатраты]]</f>
        <v>188.14</v>
      </c>
      <c r="J612" s="357">
        <v>188.14</v>
      </c>
      <c r="K612" s="220" t="e">
        <f>VLOOKUP(Таблица37[[#This Row],[Оболочки]],'[3]Расчет себес оболочек'!$A$3:$E$35,5,0)</f>
        <v>#N/A</v>
      </c>
    </row>
    <row r="613" spans="2:11" x14ac:dyDescent="0.25">
      <c r="B613" s="350" t="s">
        <v>1747</v>
      </c>
      <c r="C613" s="351" t="s">
        <v>1748</v>
      </c>
      <c r="D613" s="352" t="s">
        <v>640</v>
      </c>
      <c r="E613" s="353">
        <f t="shared" si="12"/>
        <v>188.14</v>
      </c>
      <c r="F613" s="354"/>
      <c r="G613" s="358" t="s">
        <v>2318</v>
      </c>
      <c r="H613" s="359"/>
      <c r="I613" s="356">
        <f>Таблица37[[#This Row],[Цена]]+Таблица37[[#This Row],[Трудозатраты]]</f>
        <v>188.14</v>
      </c>
      <c r="J613" s="357">
        <v>188.14</v>
      </c>
      <c r="K613" s="220" t="e">
        <f>VLOOKUP(Таблица37[[#This Row],[Оболочки]],'[3]Расчет себес оболочек'!$A$3:$E$35,5,0)</f>
        <v>#N/A</v>
      </c>
    </row>
    <row r="614" spans="2:11" x14ac:dyDescent="0.25">
      <c r="B614" s="350" t="s">
        <v>1749</v>
      </c>
      <c r="C614" s="351" t="s">
        <v>1750</v>
      </c>
      <c r="D614" s="352" t="s">
        <v>640</v>
      </c>
      <c r="E614" s="353">
        <f t="shared" si="12"/>
        <v>188.14</v>
      </c>
      <c r="F614" s="354"/>
      <c r="G614" s="358" t="s">
        <v>2318</v>
      </c>
      <c r="H614" s="359"/>
      <c r="I614" s="356">
        <f>Таблица37[[#This Row],[Цена]]+Таблица37[[#This Row],[Трудозатраты]]</f>
        <v>188.14</v>
      </c>
      <c r="J614" s="357">
        <v>188.14</v>
      </c>
      <c r="K614" s="220" t="e">
        <f>VLOOKUP(Таблица37[[#This Row],[Оболочки]],'[3]Расчет себес оболочек'!$A$3:$E$35,5,0)</f>
        <v>#N/A</v>
      </c>
    </row>
    <row r="615" spans="2:11" x14ac:dyDescent="0.25">
      <c r="B615" s="350" t="s">
        <v>1751</v>
      </c>
      <c r="C615" s="351" t="s">
        <v>1752</v>
      </c>
      <c r="D615" s="352" t="s">
        <v>640</v>
      </c>
      <c r="E615" s="353">
        <f t="shared" si="12"/>
        <v>188.14</v>
      </c>
      <c r="F615" s="354"/>
      <c r="G615" s="358" t="s">
        <v>2318</v>
      </c>
      <c r="H615" s="359"/>
      <c r="I615" s="356">
        <f>Таблица37[[#This Row],[Цена]]+Таблица37[[#This Row],[Трудозатраты]]</f>
        <v>188.14</v>
      </c>
      <c r="J615" s="357">
        <v>188.14</v>
      </c>
      <c r="K615" s="220" t="e">
        <f>VLOOKUP(Таблица37[[#This Row],[Оболочки]],'[3]Расчет себес оболочек'!$A$3:$E$35,5,0)</f>
        <v>#N/A</v>
      </c>
    </row>
    <row r="616" spans="2:11" x14ac:dyDescent="0.25">
      <c r="B616" s="350" t="s">
        <v>1753</v>
      </c>
      <c r="C616" s="351" t="s">
        <v>1754</v>
      </c>
      <c r="D616" s="352" t="s">
        <v>640</v>
      </c>
      <c r="E616" s="353">
        <f t="shared" si="12"/>
        <v>188.14</v>
      </c>
      <c r="F616" s="354"/>
      <c r="G616" s="358" t="s">
        <v>2318</v>
      </c>
      <c r="H616" s="359"/>
      <c r="I616" s="356">
        <f>Таблица37[[#This Row],[Цена]]+Таблица37[[#This Row],[Трудозатраты]]</f>
        <v>188.14</v>
      </c>
      <c r="J616" s="357">
        <v>188.14</v>
      </c>
      <c r="K616" s="220" t="e">
        <f>VLOOKUP(Таблица37[[#This Row],[Оболочки]],'[3]Расчет себес оболочек'!$A$3:$E$35,5,0)</f>
        <v>#N/A</v>
      </c>
    </row>
    <row r="617" spans="2:11" x14ac:dyDescent="0.25">
      <c r="B617" s="350" t="s">
        <v>1755</v>
      </c>
      <c r="C617" s="351" t="s">
        <v>1756</v>
      </c>
      <c r="D617" s="352" t="s">
        <v>640</v>
      </c>
      <c r="E617" s="353">
        <f t="shared" si="12"/>
        <v>188.14</v>
      </c>
      <c r="F617" s="354"/>
      <c r="G617" s="358" t="s">
        <v>2318</v>
      </c>
      <c r="H617" s="359"/>
      <c r="I617" s="356">
        <f>Таблица37[[#This Row],[Цена]]+Таблица37[[#This Row],[Трудозатраты]]</f>
        <v>188.14</v>
      </c>
      <c r="J617" s="357">
        <v>188.14</v>
      </c>
      <c r="K617" s="220" t="e">
        <f>VLOOKUP(Таблица37[[#This Row],[Оболочки]],'[3]Расчет себес оболочек'!$A$3:$E$35,5,0)</f>
        <v>#N/A</v>
      </c>
    </row>
    <row r="618" spans="2:11" x14ac:dyDescent="0.25">
      <c r="B618" s="350" t="s">
        <v>1757</v>
      </c>
      <c r="C618" s="351" t="s">
        <v>1758</v>
      </c>
      <c r="D618" s="352" t="s">
        <v>640</v>
      </c>
      <c r="E618" s="353">
        <f t="shared" si="12"/>
        <v>188.14</v>
      </c>
      <c r="F618" s="354"/>
      <c r="G618" s="358" t="s">
        <v>2318</v>
      </c>
      <c r="H618" s="359"/>
      <c r="I618" s="356">
        <f>Таблица37[[#This Row],[Цена]]+Таблица37[[#This Row],[Трудозатраты]]</f>
        <v>188.14</v>
      </c>
      <c r="J618" s="357">
        <v>188.14</v>
      </c>
      <c r="K618" s="220" t="e">
        <f>VLOOKUP(Таблица37[[#This Row],[Оболочки]],'[3]Расчет себес оболочек'!$A$3:$E$35,5,0)</f>
        <v>#N/A</v>
      </c>
    </row>
    <row r="619" spans="2:11" x14ac:dyDescent="0.25">
      <c r="B619" s="350" t="s">
        <v>1759</v>
      </c>
      <c r="C619" s="351" t="s">
        <v>1760</v>
      </c>
      <c r="D619" s="352" t="s">
        <v>640</v>
      </c>
      <c r="E619" s="353">
        <f t="shared" si="12"/>
        <v>188.14</v>
      </c>
      <c r="F619" s="354"/>
      <c r="G619" s="358" t="s">
        <v>2318</v>
      </c>
      <c r="H619" s="359"/>
      <c r="I619" s="356">
        <f>Таблица37[[#This Row],[Цена]]+Таблица37[[#This Row],[Трудозатраты]]</f>
        <v>188.14</v>
      </c>
      <c r="J619" s="357">
        <v>188.14</v>
      </c>
      <c r="K619" s="220" t="e">
        <f>VLOOKUP(Таблица37[[#This Row],[Оболочки]],'[3]Расчет себес оболочек'!$A$3:$E$35,5,0)</f>
        <v>#N/A</v>
      </c>
    </row>
    <row r="620" spans="2:11" x14ac:dyDescent="0.25">
      <c r="B620" s="350" t="s">
        <v>1761</v>
      </c>
      <c r="C620" s="351" t="s">
        <v>1762</v>
      </c>
      <c r="D620" s="352" t="s">
        <v>640</v>
      </c>
      <c r="E620" s="353">
        <f t="shared" si="12"/>
        <v>188.14</v>
      </c>
      <c r="F620" s="354"/>
      <c r="G620" s="358" t="s">
        <v>2318</v>
      </c>
      <c r="H620" s="359"/>
      <c r="I620" s="356">
        <f>Таблица37[[#This Row],[Цена]]+Таблица37[[#This Row],[Трудозатраты]]</f>
        <v>188.14</v>
      </c>
      <c r="J620" s="357">
        <v>188.14</v>
      </c>
      <c r="K620" s="220" t="e">
        <f>VLOOKUP(Таблица37[[#This Row],[Оболочки]],'[3]Расчет себес оболочек'!$A$3:$E$35,5,0)</f>
        <v>#N/A</v>
      </c>
    </row>
    <row r="621" spans="2:11" x14ac:dyDescent="0.25">
      <c r="B621" s="350" t="s">
        <v>1763</v>
      </c>
      <c r="C621" s="351" t="s">
        <v>1764</v>
      </c>
      <c r="D621" s="352" t="s">
        <v>640</v>
      </c>
      <c r="E621" s="353">
        <f t="shared" si="12"/>
        <v>188.14</v>
      </c>
      <c r="F621" s="354"/>
      <c r="G621" s="358" t="s">
        <v>2318</v>
      </c>
      <c r="H621" s="359"/>
      <c r="I621" s="356">
        <f>Таблица37[[#This Row],[Цена]]+Таблица37[[#This Row],[Трудозатраты]]</f>
        <v>188.14</v>
      </c>
      <c r="J621" s="357">
        <v>188.14</v>
      </c>
      <c r="K621" s="220" t="e">
        <f>VLOOKUP(Таблица37[[#This Row],[Оболочки]],'[3]Расчет себес оболочек'!$A$3:$E$35,5,0)</f>
        <v>#N/A</v>
      </c>
    </row>
    <row r="622" spans="2:11" x14ac:dyDescent="0.25">
      <c r="B622" s="350" t="s">
        <v>1765</v>
      </c>
      <c r="C622" s="351" t="s">
        <v>1766</v>
      </c>
      <c r="D622" s="352" t="s">
        <v>640</v>
      </c>
      <c r="E622" s="353">
        <f t="shared" si="12"/>
        <v>188.14</v>
      </c>
      <c r="F622" s="354"/>
      <c r="G622" s="358" t="s">
        <v>2318</v>
      </c>
      <c r="H622" s="359"/>
      <c r="I622" s="356">
        <f>Таблица37[[#This Row],[Цена]]+Таблица37[[#This Row],[Трудозатраты]]</f>
        <v>188.14</v>
      </c>
      <c r="J622" s="357">
        <v>188.14</v>
      </c>
      <c r="K622" s="220" t="e">
        <f>VLOOKUP(Таблица37[[#This Row],[Оболочки]],'[3]Расчет себес оболочек'!$A$3:$E$35,5,0)</f>
        <v>#N/A</v>
      </c>
    </row>
    <row r="623" spans="2:11" x14ac:dyDescent="0.25">
      <c r="B623" s="350" t="s">
        <v>1767</v>
      </c>
      <c r="C623" s="351" t="s">
        <v>1768</v>
      </c>
      <c r="D623" s="352" t="s">
        <v>640</v>
      </c>
      <c r="E623" s="353">
        <f t="shared" si="12"/>
        <v>188.14</v>
      </c>
      <c r="F623" s="354"/>
      <c r="G623" s="358" t="s">
        <v>2318</v>
      </c>
      <c r="H623" s="359"/>
      <c r="I623" s="356">
        <f>Таблица37[[#This Row],[Цена]]+Таблица37[[#This Row],[Трудозатраты]]</f>
        <v>188.14</v>
      </c>
      <c r="J623" s="357">
        <v>188.14</v>
      </c>
      <c r="K623" s="220" t="e">
        <f>VLOOKUP(Таблица37[[#This Row],[Оболочки]],'[3]Расчет себес оболочек'!$A$3:$E$35,5,0)</f>
        <v>#N/A</v>
      </c>
    </row>
    <row r="624" spans="2:11" x14ac:dyDescent="0.25">
      <c r="B624" s="350" t="s">
        <v>1769</v>
      </c>
      <c r="C624" s="351" t="s">
        <v>1770</v>
      </c>
      <c r="D624" s="352" t="s">
        <v>640</v>
      </c>
      <c r="E624" s="353">
        <f t="shared" si="12"/>
        <v>188.14</v>
      </c>
      <c r="F624" s="354"/>
      <c r="G624" s="358" t="s">
        <v>2318</v>
      </c>
      <c r="H624" s="359"/>
      <c r="I624" s="356">
        <f>Таблица37[[#This Row],[Цена]]+Таблица37[[#This Row],[Трудозатраты]]</f>
        <v>188.14</v>
      </c>
      <c r="J624" s="357">
        <v>188.14</v>
      </c>
      <c r="K624" s="220" t="e">
        <f>VLOOKUP(Таблица37[[#This Row],[Оболочки]],'[3]Расчет себес оболочек'!$A$3:$E$35,5,0)</f>
        <v>#N/A</v>
      </c>
    </row>
    <row r="625" spans="2:11" x14ac:dyDescent="0.25">
      <c r="B625" s="350" t="s">
        <v>1771</v>
      </c>
      <c r="C625" s="351" t="s">
        <v>1772</v>
      </c>
      <c r="D625" s="352" t="s">
        <v>640</v>
      </c>
      <c r="E625" s="353">
        <f t="shared" si="12"/>
        <v>188.14</v>
      </c>
      <c r="F625" s="354"/>
      <c r="G625" s="358" t="s">
        <v>2318</v>
      </c>
      <c r="H625" s="359"/>
      <c r="I625" s="356">
        <f>Таблица37[[#This Row],[Цена]]+Таблица37[[#This Row],[Трудозатраты]]</f>
        <v>188.14</v>
      </c>
      <c r="J625" s="357">
        <v>188.14</v>
      </c>
      <c r="K625" s="220" t="e">
        <f>VLOOKUP(Таблица37[[#This Row],[Оболочки]],'[3]Расчет себес оболочек'!$A$3:$E$35,5,0)</f>
        <v>#N/A</v>
      </c>
    </row>
    <row r="626" spans="2:11" x14ac:dyDescent="0.25">
      <c r="B626" s="350" t="s">
        <v>1773</v>
      </c>
      <c r="C626" s="351" t="s">
        <v>1774</v>
      </c>
      <c r="D626" s="352" t="s">
        <v>640</v>
      </c>
      <c r="E626" s="353">
        <f t="shared" si="12"/>
        <v>188.14</v>
      </c>
      <c r="F626" s="354"/>
      <c r="G626" s="358" t="s">
        <v>2318</v>
      </c>
      <c r="H626" s="359"/>
      <c r="I626" s="356">
        <f>Таблица37[[#This Row],[Цена]]+Таблица37[[#This Row],[Трудозатраты]]</f>
        <v>188.14</v>
      </c>
      <c r="J626" s="357">
        <v>188.14</v>
      </c>
      <c r="K626" s="220" t="e">
        <f>VLOOKUP(Таблица37[[#This Row],[Оболочки]],'[3]Расчет себес оболочек'!$A$3:$E$35,5,0)</f>
        <v>#N/A</v>
      </c>
    </row>
    <row r="627" spans="2:11" x14ac:dyDescent="0.25">
      <c r="B627" s="350" t="s">
        <v>1775</v>
      </c>
      <c r="C627" s="351" t="s">
        <v>1776</v>
      </c>
      <c r="D627" s="352" t="s">
        <v>640</v>
      </c>
      <c r="E627" s="353">
        <f t="shared" si="12"/>
        <v>188.14</v>
      </c>
      <c r="F627" s="354"/>
      <c r="G627" s="358" t="s">
        <v>2318</v>
      </c>
      <c r="H627" s="359"/>
      <c r="I627" s="356">
        <f>Таблица37[[#This Row],[Цена]]+Таблица37[[#This Row],[Трудозатраты]]</f>
        <v>188.14</v>
      </c>
      <c r="J627" s="357">
        <v>188.14</v>
      </c>
      <c r="K627" s="220" t="e">
        <f>VLOOKUP(Таблица37[[#This Row],[Оболочки]],'[3]Расчет себес оболочек'!$A$3:$E$35,5,0)</f>
        <v>#N/A</v>
      </c>
    </row>
    <row r="628" spans="2:11" x14ac:dyDescent="0.25">
      <c r="B628" s="350" t="s">
        <v>1777</v>
      </c>
      <c r="C628" s="351" t="s">
        <v>1778</v>
      </c>
      <c r="D628" s="352" t="s">
        <v>640</v>
      </c>
      <c r="E628" s="353">
        <f t="shared" si="12"/>
        <v>188.14</v>
      </c>
      <c r="F628" s="354"/>
      <c r="G628" s="358" t="s">
        <v>2318</v>
      </c>
      <c r="H628" s="359"/>
      <c r="I628" s="356">
        <f>Таблица37[[#This Row],[Цена]]+Таблица37[[#This Row],[Трудозатраты]]</f>
        <v>188.14</v>
      </c>
      <c r="J628" s="357">
        <v>188.14</v>
      </c>
      <c r="K628" s="220" t="e">
        <f>VLOOKUP(Таблица37[[#This Row],[Оболочки]],'[3]Расчет себес оболочек'!$A$3:$E$35,5,0)</f>
        <v>#N/A</v>
      </c>
    </row>
    <row r="629" spans="2:11" x14ac:dyDescent="0.25">
      <c r="B629" s="350" t="s">
        <v>1779</v>
      </c>
      <c r="C629" s="351" t="s">
        <v>1780</v>
      </c>
      <c r="D629" s="352" t="s">
        <v>640</v>
      </c>
      <c r="E629" s="353">
        <f t="shared" si="12"/>
        <v>188.14</v>
      </c>
      <c r="F629" s="354"/>
      <c r="G629" s="358" t="s">
        <v>2318</v>
      </c>
      <c r="H629" s="359"/>
      <c r="I629" s="356">
        <f>Таблица37[[#This Row],[Цена]]+Таблица37[[#This Row],[Трудозатраты]]</f>
        <v>188.14</v>
      </c>
      <c r="J629" s="357">
        <v>188.14</v>
      </c>
      <c r="K629" s="220" t="e">
        <f>VLOOKUP(Таблица37[[#This Row],[Оболочки]],'[3]Расчет себес оболочек'!$A$3:$E$35,5,0)</f>
        <v>#N/A</v>
      </c>
    </row>
    <row r="630" spans="2:11" x14ac:dyDescent="0.25">
      <c r="B630" s="350" t="s">
        <v>1781</v>
      </c>
      <c r="C630" s="351" t="s">
        <v>1782</v>
      </c>
      <c r="D630" s="352" t="s">
        <v>640</v>
      </c>
      <c r="E630" s="353">
        <f t="shared" si="12"/>
        <v>188.14</v>
      </c>
      <c r="F630" s="354"/>
      <c r="G630" s="358" t="s">
        <v>2318</v>
      </c>
      <c r="H630" s="359"/>
      <c r="I630" s="356">
        <f>Таблица37[[#This Row],[Цена]]+Таблица37[[#This Row],[Трудозатраты]]</f>
        <v>188.14</v>
      </c>
      <c r="J630" s="357">
        <v>188.14</v>
      </c>
      <c r="K630" s="220" t="e">
        <f>VLOOKUP(Таблица37[[#This Row],[Оболочки]],'[3]Расчет себес оболочек'!$A$3:$E$35,5,0)</f>
        <v>#N/A</v>
      </c>
    </row>
    <row r="631" spans="2:11" x14ac:dyDescent="0.25">
      <c r="B631" s="350" t="s">
        <v>1783</v>
      </c>
      <c r="C631" s="351" t="s">
        <v>1784</v>
      </c>
      <c r="D631" s="352" t="s">
        <v>640</v>
      </c>
      <c r="E631" s="353">
        <f t="shared" si="12"/>
        <v>188.14</v>
      </c>
      <c r="F631" s="354"/>
      <c r="G631" s="358" t="s">
        <v>2318</v>
      </c>
      <c r="H631" s="359"/>
      <c r="I631" s="356">
        <f>Таблица37[[#This Row],[Цена]]+Таблица37[[#This Row],[Трудозатраты]]</f>
        <v>188.14</v>
      </c>
      <c r="J631" s="357">
        <v>188.14</v>
      </c>
      <c r="K631" s="220" t="e">
        <f>VLOOKUP(Таблица37[[#This Row],[Оболочки]],'[3]Расчет себес оболочек'!$A$3:$E$35,5,0)</f>
        <v>#N/A</v>
      </c>
    </row>
    <row r="632" spans="2:11" x14ac:dyDescent="0.25">
      <c r="B632" s="350" t="s">
        <v>1785</v>
      </c>
      <c r="C632" s="351" t="s">
        <v>1786</v>
      </c>
      <c r="D632" s="352" t="s">
        <v>640</v>
      </c>
      <c r="E632" s="353">
        <f t="shared" si="12"/>
        <v>188.14</v>
      </c>
      <c r="F632" s="354"/>
      <c r="G632" s="358" t="s">
        <v>2318</v>
      </c>
      <c r="H632" s="359"/>
      <c r="I632" s="356">
        <f>Таблица37[[#This Row],[Цена]]+Таблица37[[#This Row],[Трудозатраты]]</f>
        <v>188.14</v>
      </c>
      <c r="J632" s="357">
        <v>188.14</v>
      </c>
      <c r="K632" s="220" t="e">
        <f>VLOOKUP(Таблица37[[#This Row],[Оболочки]],'[3]Расчет себес оболочек'!$A$3:$E$35,5,0)</f>
        <v>#N/A</v>
      </c>
    </row>
    <row r="633" spans="2:11" x14ac:dyDescent="0.25">
      <c r="B633" s="350" t="s">
        <v>1787</v>
      </c>
      <c r="C633" s="351" t="s">
        <v>1788</v>
      </c>
      <c r="D633" s="352" t="s">
        <v>640</v>
      </c>
      <c r="E633" s="353">
        <f t="shared" si="12"/>
        <v>188.14</v>
      </c>
      <c r="F633" s="354"/>
      <c r="G633" s="358" t="s">
        <v>2318</v>
      </c>
      <c r="H633" s="359"/>
      <c r="I633" s="356">
        <f>Таблица37[[#This Row],[Цена]]+Таблица37[[#This Row],[Трудозатраты]]</f>
        <v>188.14</v>
      </c>
      <c r="J633" s="357">
        <v>188.14</v>
      </c>
      <c r="K633" s="220" t="e">
        <f>VLOOKUP(Таблица37[[#This Row],[Оболочки]],'[3]Расчет себес оболочек'!$A$3:$E$35,5,0)</f>
        <v>#N/A</v>
      </c>
    </row>
    <row r="634" spans="2:11" x14ac:dyDescent="0.25">
      <c r="B634" s="350" t="s">
        <v>1789</v>
      </c>
      <c r="C634" s="351" t="s">
        <v>1790</v>
      </c>
      <c r="D634" s="352" t="s">
        <v>640</v>
      </c>
      <c r="E634" s="353">
        <f t="shared" si="12"/>
        <v>188.14</v>
      </c>
      <c r="F634" s="354"/>
      <c r="G634" s="358" t="s">
        <v>2318</v>
      </c>
      <c r="H634" s="359"/>
      <c r="I634" s="356">
        <f>Таблица37[[#This Row],[Цена]]+Таблица37[[#This Row],[Трудозатраты]]</f>
        <v>188.14</v>
      </c>
      <c r="J634" s="357">
        <v>188.14</v>
      </c>
      <c r="K634" s="220" t="e">
        <f>VLOOKUP(Таблица37[[#This Row],[Оболочки]],'[3]Расчет себес оболочек'!$A$3:$E$35,5,0)</f>
        <v>#N/A</v>
      </c>
    </row>
    <row r="635" spans="2:11" x14ac:dyDescent="0.25">
      <c r="B635" s="350" t="s">
        <v>1791</v>
      </c>
      <c r="C635" s="351" t="s">
        <v>1792</v>
      </c>
      <c r="D635" s="352" t="s">
        <v>640</v>
      </c>
      <c r="E635" s="353">
        <f t="shared" si="12"/>
        <v>188.14</v>
      </c>
      <c r="F635" s="354"/>
      <c r="G635" s="358" t="s">
        <v>2318</v>
      </c>
      <c r="H635" s="359"/>
      <c r="I635" s="356">
        <f>Таблица37[[#This Row],[Цена]]+Таблица37[[#This Row],[Трудозатраты]]</f>
        <v>188.14</v>
      </c>
      <c r="J635" s="357">
        <v>188.14</v>
      </c>
      <c r="K635" s="220" t="e">
        <f>VLOOKUP(Таблица37[[#This Row],[Оболочки]],'[3]Расчет себес оболочек'!$A$3:$E$35,5,0)</f>
        <v>#N/A</v>
      </c>
    </row>
    <row r="636" spans="2:11" x14ac:dyDescent="0.25">
      <c r="B636" s="350" t="s">
        <v>1793</v>
      </c>
      <c r="C636" s="351" t="s">
        <v>1794</v>
      </c>
      <c r="D636" s="352" t="s">
        <v>640</v>
      </c>
      <c r="E636" s="353">
        <f t="shared" si="12"/>
        <v>188.14</v>
      </c>
      <c r="F636" s="354"/>
      <c r="G636" s="358" t="s">
        <v>2318</v>
      </c>
      <c r="H636" s="359"/>
      <c r="I636" s="356">
        <f>Таблица37[[#This Row],[Цена]]+Таблица37[[#This Row],[Трудозатраты]]</f>
        <v>188.14</v>
      </c>
      <c r="J636" s="357">
        <v>188.14</v>
      </c>
      <c r="K636" s="220" t="e">
        <f>VLOOKUP(Таблица37[[#This Row],[Оболочки]],'[3]Расчет себес оболочек'!$A$3:$E$35,5,0)</f>
        <v>#N/A</v>
      </c>
    </row>
    <row r="637" spans="2:11" x14ac:dyDescent="0.25">
      <c r="B637" s="350" t="s">
        <v>1795</v>
      </c>
      <c r="C637" s="351" t="s">
        <v>1796</v>
      </c>
      <c r="D637" s="352" t="s">
        <v>640</v>
      </c>
      <c r="E637" s="353">
        <f t="shared" si="12"/>
        <v>188.14</v>
      </c>
      <c r="F637" s="354"/>
      <c r="G637" s="358" t="s">
        <v>2318</v>
      </c>
      <c r="H637" s="359"/>
      <c r="I637" s="356">
        <f>Таблица37[[#This Row],[Цена]]+Таблица37[[#This Row],[Трудозатраты]]</f>
        <v>188.14</v>
      </c>
      <c r="J637" s="357">
        <v>188.14</v>
      </c>
      <c r="K637" s="220" t="e">
        <f>VLOOKUP(Таблица37[[#This Row],[Оболочки]],'[3]Расчет себес оболочек'!$A$3:$E$35,5,0)</f>
        <v>#N/A</v>
      </c>
    </row>
    <row r="638" spans="2:11" x14ac:dyDescent="0.25">
      <c r="B638" s="350" t="s">
        <v>1797</v>
      </c>
      <c r="C638" s="351" t="s">
        <v>1798</v>
      </c>
      <c r="D638" s="352" t="s">
        <v>640</v>
      </c>
      <c r="E638" s="353">
        <f t="shared" si="12"/>
        <v>188.14</v>
      </c>
      <c r="F638" s="354"/>
      <c r="G638" s="358" t="s">
        <v>2318</v>
      </c>
      <c r="H638" s="359"/>
      <c r="I638" s="356">
        <f>Таблица37[[#This Row],[Цена]]+Таблица37[[#This Row],[Трудозатраты]]</f>
        <v>188.14</v>
      </c>
      <c r="J638" s="357">
        <v>188.14</v>
      </c>
      <c r="K638" s="220" t="e">
        <f>VLOOKUP(Таблица37[[#This Row],[Оболочки]],'[3]Расчет себес оболочек'!$A$3:$E$35,5,0)</f>
        <v>#N/A</v>
      </c>
    </row>
    <row r="639" spans="2:11" x14ac:dyDescent="0.25">
      <c r="B639" s="350" t="s">
        <v>1799</v>
      </c>
      <c r="C639" s="351" t="s">
        <v>1800</v>
      </c>
      <c r="D639" s="352" t="s">
        <v>640</v>
      </c>
      <c r="E639" s="353">
        <f t="shared" si="12"/>
        <v>188.14</v>
      </c>
      <c r="F639" s="354"/>
      <c r="G639" s="358" t="s">
        <v>2318</v>
      </c>
      <c r="H639" s="359"/>
      <c r="I639" s="356">
        <f>Таблица37[[#This Row],[Цена]]+Таблица37[[#This Row],[Трудозатраты]]</f>
        <v>188.14</v>
      </c>
      <c r="J639" s="357">
        <v>188.14</v>
      </c>
      <c r="K639" s="220" t="e">
        <f>VLOOKUP(Таблица37[[#This Row],[Оболочки]],'[3]Расчет себес оболочек'!$A$3:$E$35,5,0)</f>
        <v>#N/A</v>
      </c>
    </row>
    <row r="640" spans="2:11" x14ac:dyDescent="0.25">
      <c r="B640" s="350" t="s">
        <v>1801</v>
      </c>
      <c r="C640" s="351" t="s">
        <v>1802</v>
      </c>
      <c r="D640" s="352" t="s">
        <v>640</v>
      </c>
      <c r="E640" s="353">
        <f t="shared" si="12"/>
        <v>188.14</v>
      </c>
      <c r="F640" s="354"/>
      <c r="G640" s="358" t="s">
        <v>2318</v>
      </c>
      <c r="H640" s="359"/>
      <c r="I640" s="356">
        <f>Таблица37[[#This Row],[Цена]]+Таблица37[[#This Row],[Трудозатраты]]</f>
        <v>188.14</v>
      </c>
      <c r="J640" s="357">
        <v>188.14</v>
      </c>
      <c r="K640" s="220" t="e">
        <f>VLOOKUP(Таблица37[[#This Row],[Оболочки]],'[3]Расчет себес оболочек'!$A$3:$E$35,5,0)</f>
        <v>#N/A</v>
      </c>
    </row>
    <row r="641" spans="1:11" x14ac:dyDescent="0.25">
      <c r="B641" s="350" t="s">
        <v>1803</v>
      </c>
      <c r="C641" s="351" t="s">
        <v>1804</v>
      </c>
      <c r="D641" s="352" t="s">
        <v>640</v>
      </c>
      <c r="E641" s="353">
        <f t="shared" si="12"/>
        <v>188.14</v>
      </c>
      <c r="F641" s="354"/>
      <c r="G641" s="358" t="s">
        <v>2318</v>
      </c>
      <c r="H641" s="359"/>
      <c r="I641" s="356">
        <f>Таблица37[[#This Row],[Цена]]+Таблица37[[#This Row],[Трудозатраты]]</f>
        <v>188.14</v>
      </c>
      <c r="J641" s="357">
        <v>188.14</v>
      </c>
      <c r="K641" s="220" t="e">
        <f>VLOOKUP(Таблица37[[#This Row],[Оболочки]],'[3]Расчет себес оболочек'!$A$3:$E$35,5,0)</f>
        <v>#N/A</v>
      </c>
    </row>
    <row r="642" spans="1:11" x14ac:dyDescent="0.25">
      <c r="B642" s="350" t="s">
        <v>1805</v>
      </c>
      <c r="C642" s="351" t="s">
        <v>1806</v>
      </c>
      <c r="D642" s="352" t="s">
        <v>640</v>
      </c>
      <c r="E642" s="353">
        <f t="shared" si="12"/>
        <v>188.14</v>
      </c>
      <c r="F642" s="354"/>
      <c r="G642" s="358" t="s">
        <v>2318</v>
      </c>
      <c r="H642" s="359"/>
      <c r="I642" s="356">
        <f>Таблица37[[#This Row],[Цена]]+Таблица37[[#This Row],[Трудозатраты]]</f>
        <v>188.14</v>
      </c>
      <c r="J642" s="357">
        <v>188.14</v>
      </c>
      <c r="K642" s="220" t="e">
        <f>VLOOKUP(Таблица37[[#This Row],[Оболочки]],'[3]Расчет себес оболочек'!$A$3:$E$35,5,0)</f>
        <v>#N/A</v>
      </c>
    </row>
    <row r="643" spans="1:11" x14ac:dyDescent="0.25">
      <c r="B643" s="350" t="s">
        <v>1801</v>
      </c>
      <c r="C643" s="351" t="s">
        <v>1802</v>
      </c>
      <c r="D643" s="352" t="s">
        <v>640</v>
      </c>
      <c r="E643" s="353">
        <f t="shared" si="12"/>
        <v>188.14</v>
      </c>
      <c r="F643" s="354"/>
      <c r="G643" s="358" t="s">
        <v>2318</v>
      </c>
      <c r="H643" s="359"/>
      <c r="I643" s="356">
        <f>Таблица37[[#This Row],[Цена]]+Таблица37[[#This Row],[Трудозатраты]]</f>
        <v>188.14</v>
      </c>
      <c r="J643" s="357">
        <v>188.14</v>
      </c>
      <c r="K643" s="220" t="e">
        <f>VLOOKUP(Таблица37[[#This Row],[Оболочки]],'[3]Расчет себес оболочек'!$A$3:$E$35,5,0)</f>
        <v>#N/A</v>
      </c>
    </row>
    <row r="644" spans="1:11" x14ac:dyDescent="0.25">
      <c r="B644" s="350" t="s">
        <v>1803</v>
      </c>
      <c r="C644" s="351" t="s">
        <v>1804</v>
      </c>
      <c r="D644" s="352" t="s">
        <v>640</v>
      </c>
      <c r="E644" s="353">
        <f t="shared" si="12"/>
        <v>188.14</v>
      </c>
      <c r="F644" s="354"/>
      <c r="G644" s="358" t="s">
        <v>2318</v>
      </c>
      <c r="H644" s="359"/>
      <c r="I644" s="356">
        <f>Таблица37[[#This Row],[Цена]]+Таблица37[[#This Row],[Трудозатраты]]</f>
        <v>188.14</v>
      </c>
      <c r="J644" s="357">
        <v>188.14</v>
      </c>
      <c r="K644" s="220" t="e">
        <f>VLOOKUP(Таблица37[[#This Row],[Оболочки]],'[3]Расчет себес оболочек'!$A$3:$E$35,5,0)</f>
        <v>#N/A</v>
      </c>
    </row>
    <row r="645" spans="1:11" x14ac:dyDescent="0.25">
      <c r="B645" s="350" t="s">
        <v>1807</v>
      </c>
      <c r="C645" s="351" t="s">
        <v>1808</v>
      </c>
      <c r="D645" s="352" t="s">
        <v>640</v>
      </c>
      <c r="E645" s="353">
        <f t="shared" si="12"/>
        <v>188.14</v>
      </c>
      <c r="F645" s="354"/>
      <c r="G645" s="358" t="s">
        <v>2318</v>
      </c>
      <c r="H645" s="359"/>
      <c r="I645" s="356">
        <f>Таблица37[[#This Row],[Цена]]+Таблица37[[#This Row],[Трудозатраты]]</f>
        <v>188.14</v>
      </c>
      <c r="J645" s="357">
        <v>188.14</v>
      </c>
      <c r="K645" s="220" t="e">
        <f>VLOOKUP(Таблица37[[#This Row],[Оболочки]],'[3]Расчет себес оболочек'!$A$3:$E$35,5,0)</f>
        <v>#N/A</v>
      </c>
    </row>
    <row r="646" spans="1:11" x14ac:dyDescent="0.25">
      <c r="B646" s="350" t="s">
        <v>1809</v>
      </c>
      <c r="C646" s="351" t="s">
        <v>1810</v>
      </c>
      <c r="D646" s="352" t="s">
        <v>640</v>
      </c>
      <c r="E646" s="353">
        <f t="shared" si="12"/>
        <v>188.14</v>
      </c>
      <c r="F646" s="354"/>
      <c r="G646" s="358" t="s">
        <v>2318</v>
      </c>
      <c r="H646" s="359"/>
      <c r="I646" s="356">
        <f>Таблица37[[#This Row],[Цена]]+Таблица37[[#This Row],[Трудозатраты]]</f>
        <v>188.14</v>
      </c>
      <c r="J646" s="357">
        <v>188.14</v>
      </c>
      <c r="K646" s="220" t="e">
        <f>VLOOKUP(Таблица37[[#This Row],[Оболочки]],'[3]Расчет себес оболочек'!$A$3:$E$35,5,0)</f>
        <v>#N/A</v>
      </c>
    </row>
    <row r="647" spans="1:11" x14ac:dyDescent="0.25">
      <c r="B647" s="350" t="s">
        <v>1811</v>
      </c>
      <c r="C647" s="351" t="s">
        <v>1812</v>
      </c>
      <c r="D647" s="352" t="s">
        <v>640</v>
      </c>
      <c r="E647" s="353">
        <f t="shared" si="12"/>
        <v>188.14</v>
      </c>
      <c r="F647" s="354"/>
      <c r="G647" s="358" t="s">
        <v>2318</v>
      </c>
      <c r="H647" s="359"/>
      <c r="I647" s="356">
        <f>Таблица37[[#This Row],[Цена]]+Таблица37[[#This Row],[Трудозатраты]]</f>
        <v>188.14</v>
      </c>
      <c r="J647" s="357">
        <v>188.14</v>
      </c>
      <c r="K647" s="220" t="e">
        <f>VLOOKUP(Таблица37[[#This Row],[Оболочки]],'[3]Расчет себес оболочек'!$A$3:$E$35,5,0)</f>
        <v>#N/A</v>
      </c>
    </row>
    <row r="648" spans="1:11" x14ac:dyDescent="0.25">
      <c r="B648" s="350" t="s">
        <v>1813</v>
      </c>
      <c r="C648" s="351" t="s">
        <v>1814</v>
      </c>
      <c r="D648" s="352" t="s">
        <v>640</v>
      </c>
      <c r="E648" s="353">
        <f t="shared" si="12"/>
        <v>188.14</v>
      </c>
      <c r="F648" s="354"/>
      <c r="G648" s="358" t="s">
        <v>2318</v>
      </c>
      <c r="H648" s="359"/>
      <c r="I648" s="356">
        <f>Таблица37[[#This Row],[Цена]]+Таблица37[[#This Row],[Трудозатраты]]</f>
        <v>188.14</v>
      </c>
      <c r="J648" s="357">
        <v>188.14</v>
      </c>
      <c r="K648" s="220" t="e">
        <f>VLOOKUP(Таблица37[[#This Row],[Оболочки]],'[3]Расчет себес оболочек'!$A$3:$E$35,5,0)</f>
        <v>#N/A</v>
      </c>
    </row>
    <row r="649" spans="1:11" x14ac:dyDescent="0.25">
      <c r="B649" s="350" t="s">
        <v>1815</v>
      </c>
      <c r="C649" s="351" t="s">
        <v>1816</v>
      </c>
      <c r="D649" s="352" t="s">
        <v>640</v>
      </c>
      <c r="E649" s="353">
        <f t="shared" si="12"/>
        <v>188.14</v>
      </c>
      <c r="F649" s="354"/>
      <c r="G649" s="358" t="s">
        <v>2318</v>
      </c>
      <c r="H649" s="359"/>
      <c r="I649" s="356">
        <f>Таблица37[[#This Row],[Цена]]+Таблица37[[#This Row],[Трудозатраты]]</f>
        <v>188.14</v>
      </c>
      <c r="J649" s="357">
        <v>188.14</v>
      </c>
      <c r="K649" s="220" t="e">
        <f>VLOOKUP(Таблица37[[#This Row],[Оболочки]],'[3]Расчет себес оболочек'!$A$3:$E$35,5,0)</f>
        <v>#N/A</v>
      </c>
    </row>
    <row r="650" spans="1:11" x14ac:dyDescent="0.25">
      <c r="B650" s="350" t="s">
        <v>1817</v>
      </c>
      <c r="C650" s="351" t="s">
        <v>1818</v>
      </c>
      <c r="D650" s="352" t="s">
        <v>640</v>
      </c>
      <c r="E650" s="353">
        <f t="shared" si="12"/>
        <v>188.14</v>
      </c>
      <c r="F650" s="354"/>
      <c r="G650" s="358" t="s">
        <v>2318</v>
      </c>
      <c r="H650" s="359"/>
      <c r="I650" s="356">
        <f>Таблица37[[#This Row],[Цена]]+Таблица37[[#This Row],[Трудозатраты]]</f>
        <v>188.14</v>
      </c>
      <c r="J650" s="357">
        <v>188.14</v>
      </c>
      <c r="K650" s="220" t="e">
        <f>VLOOKUP(Таблица37[[#This Row],[Оболочки]],'[3]Расчет себес оболочек'!$A$3:$E$35,5,0)</f>
        <v>#N/A</v>
      </c>
    </row>
    <row r="651" spans="1:11" x14ac:dyDescent="0.25">
      <c r="A651" s="221">
        <v>16</v>
      </c>
      <c r="B651" s="350" t="s">
        <v>1819</v>
      </c>
      <c r="C651" s="351" t="s">
        <v>1820</v>
      </c>
      <c r="D651" s="352" t="s">
        <v>640</v>
      </c>
      <c r="E651" s="353">
        <f t="shared" si="12"/>
        <v>242.42399999999998</v>
      </c>
      <c r="F651" s="354"/>
      <c r="G651" s="355"/>
      <c r="H651" s="359">
        <f>VLOOKUP(A651,Таблы!$O$265:$S$275,5,0)</f>
        <v>95.04</v>
      </c>
      <c r="I651" s="356">
        <f>Таблица37[[#This Row],[Цена]]+Таблица37[[#This Row],[Трудозатраты]]</f>
        <v>337.464</v>
      </c>
      <c r="J651" s="357">
        <v>242.42399999999998</v>
      </c>
      <c r="K651" s="220" t="e">
        <f>VLOOKUP(Таблица37[[#This Row],[Оболочки]],'[3]Расчет себес оболочек'!$A$3:$E$35,5,0)</f>
        <v>#N/A</v>
      </c>
    </row>
    <row r="652" spans="1:11" x14ac:dyDescent="0.25">
      <c r="A652" s="221">
        <v>20</v>
      </c>
      <c r="B652" s="350" t="s">
        <v>1821</v>
      </c>
      <c r="C652" s="351" t="s">
        <v>1822</v>
      </c>
      <c r="D652" s="352" t="s">
        <v>640</v>
      </c>
      <c r="E652" s="353">
        <f t="shared" si="12"/>
        <v>317.01600000000008</v>
      </c>
      <c r="F652" s="354"/>
      <c r="G652" s="355"/>
      <c r="H652" s="359">
        <f>VLOOKUP(A652,Таблы!$O$265:$S$275,5,0)</f>
        <v>77.759999999999991</v>
      </c>
      <c r="I652" s="356">
        <f>Таблица37[[#This Row],[Цена]]+Таблица37[[#This Row],[Трудозатраты]]</f>
        <v>394.77600000000007</v>
      </c>
      <c r="J652" s="357">
        <v>317.01600000000008</v>
      </c>
      <c r="K652" s="220" t="e">
        <f>VLOOKUP(Таблица37[[#This Row],[Оболочки]],'[3]Расчет себес оболочек'!$A$3:$E$35,5,0)</f>
        <v>#N/A</v>
      </c>
    </row>
    <row r="653" spans="1:11" x14ac:dyDescent="0.25">
      <c r="A653" s="221">
        <v>25</v>
      </c>
      <c r="B653" s="350" t="s">
        <v>1823</v>
      </c>
      <c r="C653" s="351" t="s">
        <v>1824</v>
      </c>
      <c r="D653" s="352" t="s">
        <v>640</v>
      </c>
      <c r="E653" s="353">
        <f t="shared" si="12"/>
        <v>437.19200000000001</v>
      </c>
      <c r="F653" s="354"/>
      <c r="G653" s="355"/>
      <c r="H653" s="359">
        <f>VLOOKUP(A653,Таблы!$O$265:$S$275,5,0)</f>
        <v>129.6</v>
      </c>
      <c r="I653" s="356">
        <f>Таблица37[[#This Row],[Цена]]+Таблица37[[#This Row],[Трудозатраты]]</f>
        <v>566.79200000000003</v>
      </c>
      <c r="J653" s="357">
        <v>437.19200000000001</v>
      </c>
      <c r="K653" s="220" t="e">
        <f>VLOOKUP(Таблица37[[#This Row],[Оболочки]],'[3]Расчет себес оболочек'!$A$3:$E$35,5,0)</f>
        <v>#N/A</v>
      </c>
    </row>
    <row r="654" spans="1:11" x14ac:dyDescent="0.25">
      <c r="A654" s="221">
        <v>32</v>
      </c>
      <c r="B654" s="350" t="s">
        <v>1825</v>
      </c>
      <c r="C654" s="351" t="s">
        <v>1826</v>
      </c>
      <c r="D654" s="352" t="s">
        <v>640</v>
      </c>
      <c r="E654" s="353">
        <f t="shared" si="12"/>
        <v>594.66399999999999</v>
      </c>
      <c r="F654" s="354"/>
      <c r="G654" s="355"/>
      <c r="H654" s="359">
        <f>VLOOKUP(A654,Таблы!$O$265:$S$275,5,0)</f>
        <v>190.08</v>
      </c>
      <c r="I654" s="356">
        <f>Таблица37[[#This Row],[Цена]]+Таблица37[[#This Row],[Трудозатраты]]</f>
        <v>784.74400000000003</v>
      </c>
      <c r="J654" s="357">
        <v>594.66399999999999</v>
      </c>
      <c r="K654" s="220" t="e">
        <f>VLOOKUP(Таблица37[[#This Row],[Оболочки]],'[3]Расчет себес оболочек'!$A$3:$E$35,5,0)</f>
        <v>#N/A</v>
      </c>
    </row>
    <row r="655" spans="1:11" x14ac:dyDescent="0.25">
      <c r="A655" s="221">
        <v>40</v>
      </c>
      <c r="B655" s="350" t="s">
        <v>1827</v>
      </c>
      <c r="C655" s="351" t="s">
        <v>1828</v>
      </c>
      <c r="D655" s="352" t="s">
        <v>640</v>
      </c>
      <c r="E655" s="353">
        <f t="shared" si="12"/>
        <v>875.41999999999985</v>
      </c>
      <c r="F655" s="354"/>
      <c r="G655" s="355"/>
      <c r="H655" s="359">
        <f>VLOOKUP(A655,Таблы!$O$265:$S$275,5,0)</f>
        <v>267.83999999999997</v>
      </c>
      <c r="I655" s="356">
        <f>Таблица37[[#This Row],[Цена]]+Таблица37[[#This Row],[Трудозатраты]]</f>
        <v>1143.2599999999998</v>
      </c>
      <c r="J655" s="357">
        <v>875.41999999999985</v>
      </c>
      <c r="K655" s="220" t="e">
        <f>VLOOKUP(Таблица37[[#This Row],[Оболочки]],'[3]Расчет себес оболочек'!$A$3:$E$35,5,0)</f>
        <v>#N/A</v>
      </c>
    </row>
    <row r="656" spans="1:11" x14ac:dyDescent="0.25">
      <c r="A656" s="221">
        <v>16</v>
      </c>
      <c r="B656" s="350" t="s">
        <v>1829</v>
      </c>
      <c r="C656" s="351" t="s">
        <v>1830</v>
      </c>
      <c r="D656" s="352" t="s">
        <v>640</v>
      </c>
      <c r="E656" s="353">
        <f t="shared" si="12"/>
        <v>457.91200000000003</v>
      </c>
      <c r="F656" s="354"/>
      <c r="G656" s="355"/>
      <c r="H656" s="359">
        <f>VLOOKUP(A656,Таблы!$O$265:$S$275,5,0)</f>
        <v>95.04</v>
      </c>
      <c r="I656" s="356">
        <f>Таблица37[[#This Row],[Цена]]+Таблица37[[#This Row],[Трудозатраты]]</f>
        <v>552.952</v>
      </c>
      <c r="J656" s="357">
        <v>457.91200000000003</v>
      </c>
      <c r="K656" s="220" t="e">
        <f>VLOOKUP(Таблица37[[#This Row],[Оболочки]],'[3]Расчет себес оболочек'!$A$3:$E$35,5,0)</f>
        <v>#N/A</v>
      </c>
    </row>
    <row r="657" spans="1:11" x14ac:dyDescent="0.25">
      <c r="A657" s="221">
        <v>20</v>
      </c>
      <c r="B657" s="350" t="s">
        <v>1831</v>
      </c>
      <c r="C657" s="351" t="s">
        <v>1832</v>
      </c>
      <c r="D657" s="352" t="s">
        <v>640</v>
      </c>
      <c r="E657" s="353">
        <f t="shared" si="12"/>
        <v>572.90800000000002</v>
      </c>
      <c r="F657" s="354"/>
      <c r="G657" s="355"/>
      <c r="H657" s="359">
        <f>VLOOKUP(A657,Таблы!$O$265:$S$275,5,0)</f>
        <v>77.759999999999991</v>
      </c>
      <c r="I657" s="356">
        <f>Таблица37[[#This Row],[Цена]]+Таблица37[[#This Row],[Трудозатраты]]</f>
        <v>650.66800000000001</v>
      </c>
      <c r="J657" s="357">
        <v>572.90800000000002</v>
      </c>
      <c r="K657" s="220" t="e">
        <f>VLOOKUP(Таблица37[[#This Row],[Оболочки]],'[3]Расчет себес оболочек'!$A$3:$E$35,5,0)</f>
        <v>#N/A</v>
      </c>
    </row>
    <row r="658" spans="1:11" x14ac:dyDescent="0.25">
      <c r="A658" s="221">
        <v>20</v>
      </c>
      <c r="B658" s="350" t="s">
        <v>1833</v>
      </c>
      <c r="C658" s="351" t="s">
        <v>1834</v>
      </c>
      <c r="D658" s="352" t="s">
        <v>640</v>
      </c>
      <c r="E658" s="353">
        <f t="shared" ref="E658:E721" si="13">J658</f>
        <v>659.9319999999999</v>
      </c>
      <c r="F658" s="354"/>
      <c r="G658" s="355"/>
      <c r="H658" s="359">
        <f>VLOOKUP(A658,Таблы!$O$265:$S$275,5,0)</f>
        <v>77.759999999999991</v>
      </c>
      <c r="I658" s="356">
        <f>Таблица37[[#This Row],[Цена]]+Таблица37[[#This Row],[Трудозатраты]]</f>
        <v>737.69199999999989</v>
      </c>
      <c r="J658" s="357">
        <v>659.9319999999999</v>
      </c>
      <c r="K658" s="220" t="e">
        <f>VLOOKUP(Таблица37[[#This Row],[Оболочки]],'[3]Расчет себес оболочек'!$A$3:$E$35,5,0)</f>
        <v>#N/A</v>
      </c>
    </row>
    <row r="659" spans="1:11" x14ac:dyDescent="0.25">
      <c r="A659" s="221">
        <v>20</v>
      </c>
      <c r="B659" s="350" t="s">
        <v>1835</v>
      </c>
      <c r="C659" s="351" t="s">
        <v>1836</v>
      </c>
      <c r="D659" s="352" t="s">
        <v>640</v>
      </c>
      <c r="E659" s="353">
        <f t="shared" si="13"/>
        <v>699.3</v>
      </c>
      <c r="F659" s="354"/>
      <c r="G659" s="355"/>
      <c r="H659" s="359">
        <f>VLOOKUP(A659,Таблы!$O$265:$S$275,5,0)</f>
        <v>77.759999999999991</v>
      </c>
      <c r="I659" s="356">
        <f>Таблица37[[#This Row],[Цена]]+Таблица37[[#This Row],[Трудозатраты]]</f>
        <v>777.06</v>
      </c>
      <c r="J659" s="357">
        <v>699.3</v>
      </c>
      <c r="K659" s="220" t="e">
        <f>VLOOKUP(Таблица37[[#This Row],[Оболочки]],'[3]Расчет себес оболочек'!$A$3:$E$35,5,0)</f>
        <v>#N/A</v>
      </c>
    </row>
    <row r="660" spans="1:11" x14ac:dyDescent="0.25">
      <c r="A660" s="221">
        <v>20</v>
      </c>
      <c r="B660" s="350" t="s">
        <v>1837</v>
      </c>
      <c r="C660" s="351" t="s">
        <v>1838</v>
      </c>
      <c r="D660" s="352" t="s">
        <v>640</v>
      </c>
      <c r="E660" s="353">
        <f t="shared" si="13"/>
        <v>786.32400000000007</v>
      </c>
      <c r="F660" s="354"/>
      <c r="G660" s="355"/>
      <c r="H660" s="359">
        <f>VLOOKUP(A660,Таблы!$O$265:$S$275,5,0)</f>
        <v>77.759999999999991</v>
      </c>
      <c r="I660" s="356">
        <f>Таблица37[[#This Row],[Цена]]+Таблица37[[#This Row],[Трудозатраты]]</f>
        <v>864.08400000000006</v>
      </c>
      <c r="J660" s="357">
        <v>786.32400000000007</v>
      </c>
      <c r="K660" s="220" t="e">
        <f>VLOOKUP(Таблица37[[#This Row],[Оболочки]],'[3]Расчет себес оболочек'!$A$3:$E$35,5,0)</f>
        <v>#N/A</v>
      </c>
    </row>
    <row r="661" spans="1:11" x14ac:dyDescent="0.25">
      <c r="A661" s="221">
        <v>25</v>
      </c>
      <c r="B661" s="350" t="s">
        <v>1839</v>
      </c>
      <c r="C661" s="351" t="s">
        <v>1840</v>
      </c>
      <c r="D661" s="352" t="s">
        <v>640</v>
      </c>
      <c r="E661" s="353">
        <f t="shared" si="13"/>
        <v>907.53600000000006</v>
      </c>
      <c r="F661" s="354"/>
      <c r="G661" s="355"/>
      <c r="H661" s="359">
        <f>VLOOKUP(A661,Таблы!$O$265:$S$275,5,0)</f>
        <v>129.6</v>
      </c>
      <c r="I661" s="356">
        <f>Таблица37[[#This Row],[Цена]]+Таблица37[[#This Row],[Трудозатраты]]</f>
        <v>1037.136</v>
      </c>
      <c r="J661" s="357">
        <v>907.53600000000006</v>
      </c>
      <c r="K661" s="220" t="e">
        <f>VLOOKUP(Таблица37[[#This Row],[Оболочки]],'[3]Расчет себес оболочек'!$A$3:$E$35,5,0)</f>
        <v>#N/A</v>
      </c>
    </row>
    <row r="662" spans="1:11" x14ac:dyDescent="0.25">
      <c r="A662" s="221">
        <v>25</v>
      </c>
      <c r="B662" s="350" t="s">
        <v>1841</v>
      </c>
      <c r="C662" s="351" t="s">
        <v>1842</v>
      </c>
      <c r="D662" s="352" t="s">
        <v>640</v>
      </c>
      <c r="E662" s="353">
        <f t="shared" si="13"/>
        <v>1071.2239999999999</v>
      </c>
      <c r="F662" s="354"/>
      <c r="G662" s="355"/>
      <c r="H662" s="359">
        <f>VLOOKUP(A662,Таблы!$O$265:$S$275,5,0)</f>
        <v>129.6</v>
      </c>
      <c r="I662" s="356">
        <f>Таблица37[[#This Row],[Цена]]+Таблица37[[#This Row],[Трудозатраты]]</f>
        <v>1200.8239999999998</v>
      </c>
      <c r="J662" s="357">
        <v>1071.2239999999999</v>
      </c>
      <c r="K662" s="220" t="e">
        <f>VLOOKUP(Таблица37[[#This Row],[Оболочки]],'[3]Расчет себес оболочек'!$A$3:$E$35,5,0)</f>
        <v>#N/A</v>
      </c>
    </row>
    <row r="663" spans="1:11" x14ac:dyDescent="0.25">
      <c r="B663" s="350" t="s">
        <v>1843</v>
      </c>
      <c r="C663" s="351" t="s">
        <v>1844</v>
      </c>
      <c r="D663" s="352" t="s">
        <v>640</v>
      </c>
      <c r="E663" s="353">
        <f t="shared" si="13"/>
        <v>435.12</v>
      </c>
      <c r="F663" s="354"/>
      <c r="G663" s="355"/>
      <c r="H663" s="359"/>
      <c r="I663" s="356">
        <f>Таблица37[[#This Row],[Цена]]+Таблица37[[#This Row],[Трудозатраты]]</f>
        <v>435.12</v>
      </c>
      <c r="J663" s="357">
        <v>435.12</v>
      </c>
      <c r="K663" s="220" t="e">
        <f>VLOOKUP(Таблица37[[#This Row],[Оболочки]],'[3]Расчет себес оболочек'!$A$3:$E$35,5,0)</f>
        <v>#N/A</v>
      </c>
    </row>
    <row r="664" spans="1:11" x14ac:dyDescent="0.25">
      <c r="B664" s="350" t="s">
        <v>1845</v>
      </c>
      <c r="C664" s="351" t="s">
        <v>1846</v>
      </c>
      <c r="D664" s="352" t="s">
        <v>640</v>
      </c>
      <c r="E664" s="353">
        <f t="shared" si="13"/>
        <v>510.74799999999993</v>
      </c>
      <c r="F664" s="354"/>
      <c r="G664" s="355"/>
      <c r="H664" s="359"/>
      <c r="I664" s="356">
        <f>Таблица37[[#This Row],[Цена]]+Таблица37[[#This Row],[Трудозатраты]]</f>
        <v>510.74799999999993</v>
      </c>
      <c r="J664" s="357">
        <v>510.74799999999993</v>
      </c>
      <c r="K664" s="220" t="e">
        <f>VLOOKUP(Таблица37[[#This Row],[Оболочки]],'[3]Расчет себес оболочек'!$A$3:$E$35,5,0)</f>
        <v>#N/A</v>
      </c>
    </row>
    <row r="665" spans="1:11" x14ac:dyDescent="0.25">
      <c r="B665" s="350" t="s">
        <v>1847</v>
      </c>
      <c r="C665" s="351" t="s">
        <v>1848</v>
      </c>
      <c r="D665" s="352" t="s">
        <v>640</v>
      </c>
      <c r="E665" s="353">
        <f t="shared" si="13"/>
        <v>610.20399999999995</v>
      </c>
      <c r="F665" s="354"/>
      <c r="G665" s="355"/>
      <c r="H665" s="359"/>
      <c r="I665" s="356">
        <f>Таблица37[[#This Row],[Цена]]+Таблица37[[#This Row],[Трудозатраты]]</f>
        <v>610.20399999999995</v>
      </c>
      <c r="J665" s="357">
        <v>610.20399999999995</v>
      </c>
      <c r="K665" s="220" t="e">
        <f>VLOOKUP(Таблица37[[#This Row],[Оболочки]],'[3]Расчет себес оболочек'!$A$3:$E$35,5,0)</f>
        <v>#N/A</v>
      </c>
    </row>
    <row r="666" spans="1:11" x14ac:dyDescent="0.25">
      <c r="B666" s="350" t="s">
        <v>1849</v>
      </c>
      <c r="C666" s="351" t="s">
        <v>1850</v>
      </c>
      <c r="D666" s="352" t="s">
        <v>640</v>
      </c>
      <c r="E666" s="353">
        <f t="shared" si="13"/>
        <v>731.41600000000005</v>
      </c>
      <c r="F666" s="354"/>
      <c r="G666" s="355"/>
      <c r="H666" s="359"/>
      <c r="I666" s="356">
        <f>Таблица37[[#This Row],[Цена]]+Таблица37[[#This Row],[Трудозатраты]]</f>
        <v>731.41600000000005</v>
      </c>
      <c r="J666" s="357">
        <v>731.41600000000005</v>
      </c>
      <c r="K666" s="220" t="e">
        <f>VLOOKUP(Таблица37[[#This Row],[Оболочки]],'[3]Расчет себес оболочек'!$A$3:$E$35,5,0)</f>
        <v>#N/A</v>
      </c>
    </row>
    <row r="667" spans="1:11" x14ac:dyDescent="0.25">
      <c r="B667" s="350" t="s">
        <v>1851</v>
      </c>
      <c r="C667" s="351" t="s">
        <v>1852</v>
      </c>
      <c r="D667" s="352" t="s">
        <v>640</v>
      </c>
      <c r="E667" s="353">
        <f t="shared" si="13"/>
        <v>825.69200000000001</v>
      </c>
      <c r="F667" s="354"/>
      <c r="G667" s="355"/>
      <c r="H667" s="359"/>
      <c r="I667" s="356">
        <f>Таблица37[[#This Row],[Цена]]+Таблица37[[#This Row],[Трудозатраты]]</f>
        <v>825.69200000000001</v>
      </c>
      <c r="J667" s="357">
        <v>825.69200000000001</v>
      </c>
      <c r="K667" s="220" t="e">
        <f>VLOOKUP(Таблица37[[#This Row],[Оболочки]],'[3]Расчет себес оболочек'!$A$3:$E$35,5,0)</f>
        <v>#N/A</v>
      </c>
    </row>
    <row r="668" spans="1:11" x14ac:dyDescent="0.25">
      <c r="B668" s="350" t="s">
        <v>1853</v>
      </c>
      <c r="C668" s="351" t="s">
        <v>1854</v>
      </c>
      <c r="D668" s="352" t="s">
        <v>640</v>
      </c>
      <c r="E668" s="353">
        <f t="shared" si="13"/>
        <v>983.16399999999999</v>
      </c>
      <c r="F668" s="354"/>
      <c r="G668" s="355"/>
      <c r="H668" s="359"/>
      <c r="I668" s="356">
        <f>Таблица37[[#This Row],[Цена]]+Таблица37[[#This Row],[Трудозатраты]]</f>
        <v>983.16399999999999</v>
      </c>
      <c r="J668" s="357">
        <v>983.16399999999999</v>
      </c>
      <c r="K668" s="220" t="e">
        <f>VLOOKUP(Таблица37[[#This Row],[Оболочки]],'[3]Расчет себес оболочек'!$A$3:$E$35,5,0)</f>
        <v>#N/A</v>
      </c>
    </row>
    <row r="669" spans="1:11" x14ac:dyDescent="0.25">
      <c r="B669" s="350" t="s">
        <v>1855</v>
      </c>
      <c r="C669" s="351" t="s">
        <v>1856</v>
      </c>
      <c r="D669" s="352" t="s">
        <v>640</v>
      </c>
      <c r="E669" s="353">
        <f t="shared" si="13"/>
        <v>1136.4920000000002</v>
      </c>
      <c r="F669" s="354"/>
      <c r="G669" s="355"/>
      <c r="H669" s="359"/>
      <c r="I669" s="356">
        <f>Таблица37[[#This Row],[Цена]]+Таблица37[[#This Row],[Трудозатраты]]</f>
        <v>1136.4920000000002</v>
      </c>
      <c r="J669" s="357">
        <v>1136.4920000000002</v>
      </c>
      <c r="K669" s="220" t="e">
        <f>VLOOKUP(Таблица37[[#This Row],[Оболочки]],'[3]Расчет себес оболочек'!$A$3:$E$35,5,0)</f>
        <v>#N/A</v>
      </c>
    </row>
    <row r="670" spans="1:11" x14ac:dyDescent="0.25">
      <c r="A670" s="221">
        <v>16</v>
      </c>
      <c r="B670" s="350" t="s">
        <v>1857</v>
      </c>
      <c r="C670" s="351" t="s">
        <v>1858</v>
      </c>
      <c r="D670" s="352" t="s">
        <v>640</v>
      </c>
      <c r="E670" s="353">
        <f t="shared" si="13"/>
        <v>624.70799999999997</v>
      </c>
      <c r="F670" s="354"/>
      <c r="G670" s="355"/>
      <c r="H670" s="359">
        <f>VLOOKUP(A670,Таблы!$O$265:$S$275,5,0)</f>
        <v>95.04</v>
      </c>
      <c r="I670" s="356">
        <f>Таблица37[[#This Row],[Цена]]+Таблица37[[#This Row],[Трудозатраты]]</f>
        <v>719.74799999999993</v>
      </c>
      <c r="J670" s="357">
        <v>624.70799999999997</v>
      </c>
      <c r="K670" s="220" t="e">
        <f>VLOOKUP(Таблица37[[#This Row],[Оболочки]],'[3]Расчет себес оболочек'!$A$3:$E$35,5,0)</f>
        <v>#N/A</v>
      </c>
    </row>
    <row r="671" spans="1:11" x14ac:dyDescent="0.25">
      <c r="A671" s="221">
        <v>20</v>
      </c>
      <c r="B671" s="350" t="s">
        <v>1859</v>
      </c>
      <c r="C671" s="351" t="s">
        <v>1860</v>
      </c>
      <c r="D671" s="352" t="s">
        <v>640</v>
      </c>
      <c r="E671" s="353">
        <f t="shared" si="13"/>
        <v>745.92</v>
      </c>
      <c r="F671" s="354"/>
      <c r="G671" s="355"/>
      <c r="H671" s="359">
        <f>VLOOKUP(A671,Таблы!$O$265:$S$275,5,0)</f>
        <v>77.759999999999991</v>
      </c>
      <c r="I671" s="356">
        <f>Таблица37[[#This Row],[Цена]]+Таблица37[[#This Row],[Трудозатраты]]</f>
        <v>823.68</v>
      </c>
      <c r="J671" s="357">
        <v>745.92</v>
      </c>
      <c r="K671" s="220" t="e">
        <f>VLOOKUP(Таблица37[[#This Row],[Оболочки]],'[3]Расчет себес оболочек'!$A$3:$E$35,5,0)</f>
        <v>#N/A</v>
      </c>
    </row>
    <row r="672" spans="1:11" x14ac:dyDescent="0.25">
      <c r="A672" s="221">
        <v>25</v>
      </c>
      <c r="B672" s="350" t="s">
        <v>1861</v>
      </c>
      <c r="C672" s="351" t="s">
        <v>1862</v>
      </c>
      <c r="D672" s="352" t="s">
        <v>640</v>
      </c>
      <c r="E672" s="353">
        <f t="shared" si="13"/>
        <v>1124.06</v>
      </c>
      <c r="F672" s="354"/>
      <c r="G672" s="355"/>
      <c r="H672" s="359">
        <f>VLOOKUP(A672,Таблы!$O$265:$S$275,5,0)</f>
        <v>129.6</v>
      </c>
      <c r="I672" s="356">
        <f>Таблица37[[#This Row],[Цена]]+Таблица37[[#This Row],[Трудозатраты]]</f>
        <v>1253.6599999999999</v>
      </c>
      <c r="J672" s="357">
        <v>1124.06</v>
      </c>
      <c r="K672" s="220" t="e">
        <f>VLOOKUP(Таблица37[[#This Row],[Оболочки]],'[3]Расчет себес оболочек'!$A$3:$E$35,5,0)</f>
        <v>#N/A</v>
      </c>
    </row>
    <row r="673" spans="1:11" x14ac:dyDescent="0.25">
      <c r="A673" s="221">
        <v>32</v>
      </c>
      <c r="B673" s="350" t="s">
        <v>1863</v>
      </c>
      <c r="C673" s="351" t="s">
        <v>1864</v>
      </c>
      <c r="D673" s="352" t="s">
        <v>640</v>
      </c>
      <c r="E673" s="353">
        <f t="shared" si="13"/>
        <v>1439.0039999999999</v>
      </c>
      <c r="F673" s="354"/>
      <c r="G673" s="355"/>
      <c r="H673" s="359">
        <f>VLOOKUP(A673,Таблы!$O$265:$S$275,5,0)</f>
        <v>190.08</v>
      </c>
      <c r="I673" s="356">
        <f>Таблица37[[#This Row],[Цена]]+Таблица37[[#This Row],[Трудозатраты]]</f>
        <v>1629.0839999999998</v>
      </c>
      <c r="J673" s="357">
        <v>1439.0039999999999</v>
      </c>
      <c r="K673" s="220" t="e">
        <f>VLOOKUP(Таблица37[[#This Row],[Оболочки]],'[3]Расчет себес оболочек'!$A$3:$E$35,5,0)</f>
        <v>#N/A</v>
      </c>
    </row>
    <row r="674" spans="1:11" x14ac:dyDescent="0.25">
      <c r="A674" s="221">
        <v>40</v>
      </c>
      <c r="B674" s="350" t="s">
        <v>1865</v>
      </c>
      <c r="C674" s="351" t="s">
        <v>1866</v>
      </c>
      <c r="D674" s="352" t="s">
        <v>640</v>
      </c>
      <c r="E674" s="353">
        <f t="shared" si="13"/>
        <v>2091.6840000000002</v>
      </c>
      <c r="F674" s="354"/>
      <c r="G674" s="355"/>
      <c r="H674" s="359">
        <f>VLOOKUP(A674,Таблы!$O$265:$S$275,5,0)</f>
        <v>267.83999999999997</v>
      </c>
      <c r="I674" s="356">
        <f>Таблица37[[#This Row],[Цена]]+Таблица37[[#This Row],[Трудозатраты]]</f>
        <v>2359.5240000000003</v>
      </c>
      <c r="J674" s="357">
        <v>2091.6840000000002</v>
      </c>
      <c r="K674" s="220" t="e">
        <f>VLOOKUP(Таблица37[[#This Row],[Оболочки]],'[3]Расчет себес оболочек'!$A$3:$E$35,5,0)</f>
        <v>#N/A</v>
      </c>
    </row>
    <row r="675" spans="1:11" x14ac:dyDescent="0.25">
      <c r="A675" s="221">
        <v>20</v>
      </c>
      <c r="B675" s="350" t="s">
        <v>1867</v>
      </c>
      <c r="C675" s="351" t="s">
        <v>1868</v>
      </c>
      <c r="D675" s="352" t="s">
        <v>640</v>
      </c>
      <c r="E675" s="353">
        <f t="shared" si="13"/>
        <v>839.16</v>
      </c>
      <c r="F675" s="354"/>
      <c r="G675" s="355"/>
      <c r="H675" s="359">
        <f>VLOOKUP(A675,Таблы!$O$265:$S$275,5,0)</f>
        <v>77.759999999999991</v>
      </c>
      <c r="I675" s="356">
        <f>Таблица37[[#This Row],[Цена]]+Таблица37[[#This Row],[Трудозатраты]]</f>
        <v>916.92</v>
      </c>
      <c r="J675" s="357">
        <v>839.16</v>
      </c>
      <c r="K675" s="220" t="e">
        <f>VLOOKUP(Таблица37[[#This Row],[Оболочки]],'[3]Расчет себес оболочек'!$A$3:$E$35,5,0)</f>
        <v>#N/A</v>
      </c>
    </row>
    <row r="676" spans="1:11" x14ac:dyDescent="0.25">
      <c r="A676" s="221">
        <v>25</v>
      </c>
      <c r="B676" s="350" t="s">
        <v>1869</v>
      </c>
      <c r="C676" s="351" t="s">
        <v>1870</v>
      </c>
      <c r="D676" s="352" t="s">
        <v>640</v>
      </c>
      <c r="E676" s="353">
        <f t="shared" si="13"/>
        <v>1144.7800000000002</v>
      </c>
      <c r="F676" s="354"/>
      <c r="G676" s="355"/>
      <c r="H676" s="359">
        <f>VLOOKUP(A676,Таблы!$O$265:$S$275,5,0)</f>
        <v>129.6</v>
      </c>
      <c r="I676" s="356">
        <f>Таблица37[[#This Row],[Цена]]+Таблица37[[#This Row],[Трудозатраты]]</f>
        <v>1274.3800000000001</v>
      </c>
      <c r="J676" s="357">
        <v>1144.7800000000002</v>
      </c>
      <c r="K676" s="220" t="e">
        <f>VLOOKUP(Таблица37[[#This Row],[Оболочки]],'[3]Расчет себес оболочек'!$A$3:$E$35,5,0)</f>
        <v>#N/A</v>
      </c>
    </row>
    <row r="677" spans="1:11" x14ac:dyDescent="0.25">
      <c r="A677" s="221">
        <v>16</v>
      </c>
      <c r="B677" s="350" t="s">
        <v>1871</v>
      </c>
      <c r="C677" s="351" t="s">
        <v>1872</v>
      </c>
      <c r="D677" s="352" t="s">
        <v>640</v>
      </c>
      <c r="E677" s="353">
        <f t="shared" si="13"/>
        <v>122.24799999999999</v>
      </c>
      <c r="F677" s="354"/>
      <c r="G677" s="355"/>
      <c r="H677" s="359">
        <f>VLOOKUP(A677,Таблы!$O$265:$S$275,5,0)</f>
        <v>95.04</v>
      </c>
      <c r="I677" s="356">
        <f>Таблица37[[#This Row],[Цена]]+Таблица37[[#This Row],[Трудозатраты]]</f>
        <v>217.28800000000001</v>
      </c>
      <c r="J677" s="357">
        <v>122.24799999999999</v>
      </c>
      <c r="K677" s="220" t="e">
        <f>VLOOKUP(Таблица37[[#This Row],[Оболочки]],'[3]Расчет себес оболочек'!$A$3:$E$35,5,0)</f>
        <v>#N/A</v>
      </c>
    </row>
    <row r="678" spans="1:11" x14ac:dyDescent="0.25">
      <c r="A678" s="221">
        <v>20</v>
      </c>
      <c r="B678" s="350" t="s">
        <v>1873</v>
      </c>
      <c r="C678" s="351" t="s">
        <v>1874</v>
      </c>
      <c r="D678" s="352" t="s">
        <v>640</v>
      </c>
      <c r="E678" s="353">
        <f t="shared" si="13"/>
        <v>147.11199999999999</v>
      </c>
      <c r="F678" s="354"/>
      <c r="G678" s="355"/>
      <c r="H678" s="359">
        <f>VLOOKUP(A678,Таблы!$O$265:$S$275,5,0)</f>
        <v>77.759999999999991</v>
      </c>
      <c r="I678" s="356">
        <f>Таблица37[[#This Row],[Цена]]+Таблица37[[#This Row],[Трудозатраты]]</f>
        <v>224.87199999999999</v>
      </c>
      <c r="J678" s="357">
        <v>147.11199999999999</v>
      </c>
      <c r="K678" s="220" t="e">
        <f>VLOOKUP(Таблица37[[#This Row],[Оболочки]],'[3]Расчет себес оболочек'!$A$3:$E$35,5,0)</f>
        <v>#N/A</v>
      </c>
    </row>
    <row r="679" spans="1:11" x14ac:dyDescent="0.25">
      <c r="A679" s="221">
        <v>25</v>
      </c>
      <c r="B679" s="350" t="s">
        <v>1875</v>
      </c>
      <c r="C679" s="351" t="s">
        <v>1876</v>
      </c>
      <c r="D679" s="352" t="s">
        <v>640</v>
      </c>
      <c r="E679" s="353">
        <f t="shared" si="13"/>
        <v>223.77600000000001</v>
      </c>
      <c r="F679" s="354"/>
      <c r="G679" s="355"/>
      <c r="H679" s="359">
        <f>VLOOKUP(A679,Таблы!$O$265:$S$275,5,0)</f>
        <v>129.6</v>
      </c>
      <c r="I679" s="356">
        <f>Таблица37[[#This Row],[Цена]]+Таблица37[[#This Row],[Трудозатраты]]</f>
        <v>353.37599999999998</v>
      </c>
      <c r="J679" s="357">
        <v>223.77600000000001</v>
      </c>
      <c r="K679" s="220" t="e">
        <f>VLOOKUP(Таблица37[[#This Row],[Оболочки]],'[3]Расчет себес оболочек'!$A$3:$E$35,5,0)</f>
        <v>#N/A</v>
      </c>
    </row>
    <row r="680" spans="1:11" x14ac:dyDescent="0.25">
      <c r="A680" s="221">
        <v>32</v>
      </c>
      <c r="B680" s="350" t="s">
        <v>1877</v>
      </c>
      <c r="C680" s="351" t="s">
        <v>1878</v>
      </c>
      <c r="D680" s="352" t="s">
        <v>640</v>
      </c>
      <c r="E680" s="353">
        <f t="shared" si="13"/>
        <v>276.61199999999997</v>
      </c>
      <c r="F680" s="354"/>
      <c r="G680" s="355"/>
      <c r="H680" s="359">
        <f>VLOOKUP(A680,Таблы!$O$265:$S$275,5,0)</f>
        <v>190.08</v>
      </c>
      <c r="I680" s="356">
        <f>Таблица37[[#This Row],[Цена]]+Таблица37[[#This Row],[Трудозатраты]]</f>
        <v>466.69200000000001</v>
      </c>
      <c r="J680" s="357">
        <v>276.61199999999997</v>
      </c>
      <c r="K680" s="220" t="e">
        <f>VLOOKUP(Таблица37[[#This Row],[Оболочки]],'[3]Расчет себес оболочек'!$A$3:$E$35,5,0)</f>
        <v>#N/A</v>
      </c>
    </row>
    <row r="681" spans="1:11" x14ac:dyDescent="0.25">
      <c r="A681" s="221">
        <v>40</v>
      </c>
      <c r="B681" s="350" t="s">
        <v>1879</v>
      </c>
      <c r="C681" s="351" t="s">
        <v>1880</v>
      </c>
      <c r="D681" s="352" t="s">
        <v>640</v>
      </c>
      <c r="E681" s="353">
        <f t="shared" si="13"/>
        <v>294.22399999999999</v>
      </c>
      <c r="F681" s="354"/>
      <c r="G681" s="355"/>
      <c r="H681" s="359">
        <f>VLOOKUP(A681,Таблы!$O$265:$S$275,5,0)</f>
        <v>267.83999999999997</v>
      </c>
      <c r="I681" s="356">
        <f>Таблица37[[#This Row],[Цена]]+Таблица37[[#This Row],[Трудозатраты]]</f>
        <v>562.06399999999996</v>
      </c>
      <c r="J681" s="357">
        <v>294.22399999999999</v>
      </c>
      <c r="K681" s="220" t="e">
        <f>VLOOKUP(Таблица37[[#This Row],[Оболочки]],'[3]Расчет себес оболочек'!$A$3:$E$35,5,0)</f>
        <v>#N/A</v>
      </c>
    </row>
    <row r="682" spans="1:11" x14ac:dyDescent="0.25">
      <c r="B682" s="350" t="s">
        <v>1189</v>
      </c>
      <c r="C682" s="351" t="s">
        <v>1190</v>
      </c>
      <c r="D682" s="352" t="s">
        <v>640</v>
      </c>
      <c r="E682" s="353">
        <f t="shared" si="13"/>
        <v>370.88799999999998</v>
      </c>
      <c r="F682" s="354"/>
      <c r="G682" s="355"/>
      <c r="H682" s="359"/>
      <c r="I682" s="356">
        <f>Таблица37[[#This Row],[Цена]]+Таблица37[[#This Row],[Трудозатраты]]</f>
        <v>370.88799999999998</v>
      </c>
      <c r="J682" s="357">
        <v>370.88799999999998</v>
      </c>
      <c r="K682" s="220" t="e">
        <f>VLOOKUP(Таблица37[[#This Row],[Оболочки]],'[3]Расчет себес оболочек'!$A$3:$E$35,5,0)</f>
        <v>#N/A</v>
      </c>
    </row>
    <row r="683" spans="1:11" x14ac:dyDescent="0.25">
      <c r="B683" s="350" t="s">
        <v>1191</v>
      </c>
      <c r="C683" s="351" t="s">
        <v>1192</v>
      </c>
      <c r="D683" s="352" t="s">
        <v>640</v>
      </c>
      <c r="E683" s="353">
        <f t="shared" si="13"/>
        <v>370.37</v>
      </c>
      <c r="F683" s="354"/>
      <c r="G683" s="355"/>
      <c r="H683" s="359"/>
      <c r="I683" s="356">
        <f>Таблица37[[#This Row],[Цена]]+Таблица37[[#This Row],[Трудозатраты]]</f>
        <v>370.37</v>
      </c>
      <c r="J683" s="357">
        <v>370.37</v>
      </c>
      <c r="K683" s="220" t="e">
        <f>VLOOKUP(Таблица37[[#This Row],[Оболочки]],'[3]Расчет себес оболочек'!$A$3:$E$35,5,0)</f>
        <v>#N/A</v>
      </c>
    </row>
    <row r="684" spans="1:11" x14ac:dyDescent="0.25">
      <c r="B684" s="350" t="s">
        <v>1193</v>
      </c>
      <c r="C684" s="351" t="s">
        <v>1194</v>
      </c>
      <c r="D684" s="352" t="s">
        <v>640</v>
      </c>
      <c r="E684" s="353">
        <f t="shared" si="13"/>
        <v>369.5412</v>
      </c>
      <c r="F684" s="354"/>
      <c r="G684" s="355"/>
      <c r="H684" s="359"/>
      <c r="I684" s="356">
        <f>Таблица37[[#This Row],[Цена]]+Таблица37[[#This Row],[Трудозатраты]]</f>
        <v>369.5412</v>
      </c>
      <c r="J684" s="357">
        <v>369.5412</v>
      </c>
      <c r="K684" s="220" t="e">
        <f>VLOOKUP(Таблица37[[#This Row],[Оболочки]],'[3]Расчет себес оболочек'!$A$3:$E$35,5,0)</f>
        <v>#N/A</v>
      </c>
    </row>
    <row r="685" spans="1:11" x14ac:dyDescent="0.25">
      <c r="B685" s="350" t="s">
        <v>1881</v>
      </c>
      <c r="C685" s="351" t="s">
        <v>1882</v>
      </c>
      <c r="D685" s="352" t="s">
        <v>640</v>
      </c>
      <c r="E685" s="353">
        <f t="shared" si="13"/>
        <v>29.525999999999996</v>
      </c>
      <c r="F685" s="354"/>
      <c r="G685" s="355"/>
      <c r="H685" s="359"/>
      <c r="I685" s="356">
        <f>Таблица37[[#This Row],[Цена]]+Таблица37[[#This Row],[Трудозатраты]]</f>
        <v>29.525999999999996</v>
      </c>
      <c r="J685" s="357">
        <v>29.525999999999996</v>
      </c>
      <c r="K685" s="220" t="e">
        <f>VLOOKUP(Таблица37[[#This Row],[Оболочки]],'[3]Расчет себес оболочек'!$A$3:$E$35,5,0)</f>
        <v>#N/A</v>
      </c>
    </row>
    <row r="686" spans="1:11" x14ac:dyDescent="0.25">
      <c r="B686" s="350" t="s">
        <v>1883</v>
      </c>
      <c r="C686" s="351" t="s">
        <v>1884</v>
      </c>
      <c r="D686" s="352" t="s">
        <v>640</v>
      </c>
      <c r="E686" s="353">
        <f t="shared" si="13"/>
        <v>42.372399999999999</v>
      </c>
      <c r="F686" s="354"/>
      <c r="G686" s="355"/>
      <c r="H686" s="359"/>
      <c r="I686" s="356">
        <f>Таблица37[[#This Row],[Цена]]+Таблица37[[#This Row],[Трудозатраты]]</f>
        <v>42.372399999999999</v>
      </c>
      <c r="J686" s="357">
        <v>42.372399999999999</v>
      </c>
      <c r="K686" s="220" t="e">
        <f>VLOOKUP(Таблица37[[#This Row],[Оболочки]],'[3]Расчет себес оболочек'!$A$3:$E$35,5,0)</f>
        <v>#N/A</v>
      </c>
    </row>
    <row r="687" spans="1:11" x14ac:dyDescent="0.25">
      <c r="B687" s="350" t="s">
        <v>1885</v>
      </c>
      <c r="C687" s="351" t="s">
        <v>1886</v>
      </c>
      <c r="D687" s="352" t="s">
        <v>640</v>
      </c>
      <c r="E687" s="353">
        <f t="shared" si="13"/>
        <v>55.218800000000009</v>
      </c>
      <c r="F687" s="354"/>
      <c r="G687" s="355"/>
      <c r="H687" s="359"/>
      <c r="I687" s="356">
        <f>Таблица37[[#This Row],[Цена]]+Таблица37[[#This Row],[Трудозатраты]]</f>
        <v>55.218800000000009</v>
      </c>
      <c r="J687" s="357">
        <v>55.218800000000009</v>
      </c>
      <c r="K687" s="220" t="e">
        <f>VLOOKUP(Таблица37[[#This Row],[Оболочки]],'[3]Расчет себес оболочек'!$A$3:$E$35,5,0)</f>
        <v>#N/A</v>
      </c>
    </row>
    <row r="688" spans="1:11" x14ac:dyDescent="0.25">
      <c r="B688" s="350" t="s">
        <v>1887</v>
      </c>
      <c r="C688" s="351" t="s">
        <v>1888</v>
      </c>
      <c r="D688" s="352" t="s">
        <v>640</v>
      </c>
      <c r="E688" s="353">
        <f t="shared" si="13"/>
        <v>71.587599999999995</v>
      </c>
      <c r="F688" s="354"/>
      <c r="G688" s="355"/>
      <c r="H688" s="359"/>
      <c r="I688" s="356">
        <f>Таблица37[[#This Row],[Цена]]+Таблица37[[#This Row],[Трудозатраты]]</f>
        <v>71.587599999999995</v>
      </c>
      <c r="J688" s="357">
        <v>71.587599999999995</v>
      </c>
      <c r="K688" s="220" t="e">
        <f>VLOOKUP(Таблица37[[#This Row],[Оболочки]],'[3]Расчет себес оболочек'!$A$3:$E$35,5,0)</f>
        <v>#N/A</v>
      </c>
    </row>
    <row r="689" spans="1:11" x14ac:dyDescent="0.25">
      <c r="B689" s="350" t="s">
        <v>1889</v>
      </c>
      <c r="C689" s="351" t="s">
        <v>1890</v>
      </c>
      <c r="D689" s="352" t="s">
        <v>640</v>
      </c>
      <c r="E689" s="353">
        <f t="shared" si="13"/>
        <v>94.483200000000011</v>
      </c>
      <c r="F689" s="354"/>
      <c r="G689" s="355"/>
      <c r="H689" s="359"/>
      <c r="I689" s="356">
        <f>Таблица37[[#This Row],[Цена]]+Таблица37[[#This Row],[Трудозатраты]]</f>
        <v>94.483200000000011</v>
      </c>
      <c r="J689" s="357">
        <v>94.483200000000011</v>
      </c>
      <c r="K689" s="220" t="e">
        <f>VLOOKUP(Таблица37[[#This Row],[Оболочки]],'[3]Расчет себес оболочек'!$A$3:$E$35,5,0)</f>
        <v>#N/A</v>
      </c>
    </row>
    <row r="690" spans="1:11" x14ac:dyDescent="0.25">
      <c r="B690" s="350" t="s">
        <v>1891</v>
      </c>
      <c r="C690" s="351" t="s">
        <v>1892</v>
      </c>
      <c r="D690" s="352" t="s">
        <v>640</v>
      </c>
      <c r="E690" s="353">
        <f t="shared" si="13"/>
        <v>154.7784</v>
      </c>
      <c r="F690" s="354"/>
      <c r="G690" s="355"/>
      <c r="H690" s="359"/>
      <c r="I690" s="356">
        <f>Таблица37[[#This Row],[Цена]]+Таблица37[[#This Row],[Трудозатраты]]</f>
        <v>154.7784</v>
      </c>
      <c r="J690" s="357">
        <v>154.7784</v>
      </c>
      <c r="K690" s="220" t="e">
        <f>VLOOKUP(Таблица37[[#This Row],[Оболочки]],'[3]Расчет себес оболочек'!$A$3:$E$35,5,0)</f>
        <v>#N/A</v>
      </c>
    </row>
    <row r="691" spans="1:11" x14ac:dyDescent="0.25">
      <c r="B691" s="350" t="s">
        <v>1893</v>
      </c>
      <c r="C691" s="351" t="s">
        <v>1894</v>
      </c>
      <c r="D691" s="352" t="s">
        <v>640</v>
      </c>
      <c r="E691" s="353">
        <f t="shared" si="13"/>
        <v>36.156399999999991</v>
      </c>
      <c r="F691" s="354"/>
      <c r="G691" s="355"/>
      <c r="H691" s="359"/>
      <c r="I691" s="356">
        <f>Таблица37[[#This Row],[Цена]]+Таблица37[[#This Row],[Трудозатраты]]</f>
        <v>36.156399999999991</v>
      </c>
      <c r="J691" s="357">
        <v>36.156399999999991</v>
      </c>
      <c r="K691" s="220" t="e">
        <f>VLOOKUP(Таблица37[[#This Row],[Оболочки]],'[3]Расчет себес оболочек'!$A$3:$E$35,5,0)</f>
        <v>#N/A</v>
      </c>
    </row>
    <row r="692" spans="1:11" x14ac:dyDescent="0.25">
      <c r="B692" s="350" t="s">
        <v>1895</v>
      </c>
      <c r="C692" s="351" t="s">
        <v>1896</v>
      </c>
      <c r="D692" s="352" t="s">
        <v>640</v>
      </c>
      <c r="E692" s="353">
        <f t="shared" si="13"/>
        <v>47.759599999999999</v>
      </c>
      <c r="F692" s="354"/>
      <c r="G692" s="355"/>
      <c r="H692" s="359"/>
      <c r="I692" s="356">
        <f>Таблица37[[#This Row],[Цена]]+Таблица37[[#This Row],[Трудозатраты]]</f>
        <v>47.759599999999999</v>
      </c>
      <c r="J692" s="357">
        <v>47.759599999999999</v>
      </c>
      <c r="K692" s="220" t="e">
        <f>VLOOKUP(Таблица37[[#This Row],[Оболочки]],'[3]Расчет себес оболочек'!$A$3:$E$35,5,0)</f>
        <v>#N/A</v>
      </c>
    </row>
    <row r="693" spans="1:11" x14ac:dyDescent="0.25">
      <c r="B693" s="350" t="s">
        <v>1897</v>
      </c>
      <c r="C693" s="351" t="s">
        <v>1898</v>
      </c>
      <c r="D693" s="352" t="s">
        <v>640</v>
      </c>
      <c r="E693" s="353">
        <f t="shared" si="13"/>
        <v>65.475200000000001</v>
      </c>
      <c r="F693" s="354"/>
      <c r="G693" s="355"/>
      <c r="H693" s="359"/>
      <c r="I693" s="356">
        <f>Таблица37[[#This Row],[Цена]]+Таблица37[[#This Row],[Трудозатраты]]</f>
        <v>65.475200000000001</v>
      </c>
      <c r="J693" s="357">
        <v>65.475200000000001</v>
      </c>
      <c r="K693" s="220" t="e">
        <f>VLOOKUP(Таблица37[[#This Row],[Оболочки]],'[3]Расчет себес оболочек'!$A$3:$E$35,5,0)</f>
        <v>#N/A</v>
      </c>
    </row>
    <row r="694" spans="1:11" x14ac:dyDescent="0.25">
      <c r="B694" s="350" t="s">
        <v>1899</v>
      </c>
      <c r="C694" s="351" t="s">
        <v>1900</v>
      </c>
      <c r="D694" s="352" t="s">
        <v>640</v>
      </c>
      <c r="E694" s="353">
        <f t="shared" si="13"/>
        <v>85.055599999999998</v>
      </c>
      <c r="F694" s="354"/>
      <c r="G694" s="355"/>
      <c r="H694" s="359"/>
      <c r="I694" s="356">
        <f>Таблица37[[#This Row],[Цена]]+Таблица37[[#This Row],[Трудозатраты]]</f>
        <v>85.055599999999998</v>
      </c>
      <c r="J694" s="357">
        <v>85.055599999999998</v>
      </c>
      <c r="K694" s="220" t="e">
        <f>VLOOKUP(Таблица37[[#This Row],[Оболочки]],'[3]Расчет себес оболочек'!$A$3:$E$35,5,0)</f>
        <v>#N/A</v>
      </c>
    </row>
    <row r="695" spans="1:11" x14ac:dyDescent="0.25">
      <c r="B695" s="350" t="s">
        <v>1901</v>
      </c>
      <c r="C695" s="351" t="s">
        <v>1902</v>
      </c>
      <c r="D695" s="352" t="s">
        <v>640</v>
      </c>
      <c r="E695" s="353">
        <f t="shared" si="13"/>
        <v>139.96359999999999</v>
      </c>
      <c r="F695" s="354"/>
      <c r="G695" s="355"/>
      <c r="H695" s="359"/>
      <c r="I695" s="356">
        <f>Таблица37[[#This Row],[Цена]]+Таблица37[[#This Row],[Трудозатраты]]</f>
        <v>139.96359999999999</v>
      </c>
      <c r="J695" s="357">
        <v>139.96359999999999</v>
      </c>
      <c r="K695" s="220" t="e">
        <f>VLOOKUP(Таблица37[[#This Row],[Оболочки]],'[3]Расчет себес оболочек'!$A$3:$E$35,5,0)</f>
        <v>#N/A</v>
      </c>
    </row>
    <row r="696" spans="1:11" x14ac:dyDescent="0.25">
      <c r="A696" s="221">
        <v>20</v>
      </c>
      <c r="B696" s="350" t="s">
        <v>1903</v>
      </c>
      <c r="C696" s="351" t="s">
        <v>1904</v>
      </c>
      <c r="D696" s="352" t="s">
        <v>640</v>
      </c>
      <c r="E696" s="353">
        <f t="shared" si="13"/>
        <v>249.15799999999996</v>
      </c>
      <c r="F696" s="354"/>
      <c r="G696" s="355"/>
      <c r="H696" s="359">
        <f>VLOOKUP(A696,Таблы!$O$265:$S$275,5,0)</f>
        <v>77.759999999999991</v>
      </c>
      <c r="I696" s="356">
        <f>Таблица37[[#This Row],[Цена]]+Таблица37[[#This Row],[Трудозатраты]]</f>
        <v>326.91799999999995</v>
      </c>
      <c r="J696" s="357">
        <v>249.15799999999996</v>
      </c>
      <c r="K696" s="220" t="e">
        <f>VLOOKUP(Таблица37[[#This Row],[Оболочки]],'[3]Расчет себес оболочек'!$A$3:$E$35,5,0)</f>
        <v>#N/A</v>
      </c>
    </row>
    <row r="697" spans="1:11" x14ac:dyDescent="0.25">
      <c r="A697" s="221">
        <v>25</v>
      </c>
      <c r="B697" s="350" t="s">
        <v>1905</v>
      </c>
      <c r="C697" s="351" t="s">
        <v>1906</v>
      </c>
      <c r="D697" s="352" t="s">
        <v>640</v>
      </c>
      <c r="E697" s="353">
        <f t="shared" si="13"/>
        <v>341.88</v>
      </c>
      <c r="F697" s="354"/>
      <c r="G697" s="355"/>
      <c r="H697" s="359">
        <f>VLOOKUP(A697,Таблы!$O$265:$S$275,5,0)</f>
        <v>129.6</v>
      </c>
      <c r="I697" s="356">
        <f>Таблица37[[#This Row],[Цена]]+Таблица37[[#This Row],[Трудозатраты]]</f>
        <v>471.48</v>
      </c>
      <c r="J697" s="357">
        <v>341.88</v>
      </c>
      <c r="K697" s="220" t="e">
        <f>VLOOKUP(Таблица37[[#This Row],[Оболочки]],'[3]Расчет себес оболочек'!$A$3:$E$35,5,0)</f>
        <v>#N/A</v>
      </c>
    </row>
    <row r="698" spans="1:11" x14ac:dyDescent="0.25">
      <c r="A698" s="221">
        <v>32</v>
      </c>
      <c r="B698" s="350" t="s">
        <v>1907</v>
      </c>
      <c r="C698" s="351" t="s">
        <v>1908</v>
      </c>
      <c r="D698" s="352" t="s">
        <v>640</v>
      </c>
      <c r="E698" s="353">
        <f t="shared" si="13"/>
        <v>479.77159999999998</v>
      </c>
      <c r="F698" s="354"/>
      <c r="G698" s="355"/>
      <c r="H698" s="359">
        <f>VLOOKUP(A698,Таблы!$O$265:$S$275,5,0)</f>
        <v>190.08</v>
      </c>
      <c r="I698" s="356">
        <f>Таблица37[[#This Row],[Цена]]+Таблица37[[#This Row],[Трудозатраты]]</f>
        <v>669.85159999999996</v>
      </c>
      <c r="J698" s="357">
        <v>479.77159999999998</v>
      </c>
      <c r="K698" s="220" t="e">
        <f>VLOOKUP(Таблица37[[#This Row],[Оболочки]],'[3]Расчет себес оболочек'!$A$3:$E$35,5,0)</f>
        <v>#N/A</v>
      </c>
    </row>
    <row r="699" spans="1:11" x14ac:dyDescent="0.25">
      <c r="A699" s="221">
        <v>40</v>
      </c>
      <c r="B699" s="350" t="s">
        <v>1909</v>
      </c>
      <c r="C699" s="351" t="s">
        <v>1910</v>
      </c>
      <c r="D699" s="352" t="s">
        <v>640</v>
      </c>
      <c r="E699" s="353">
        <f t="shared" si="13"/>
        <v>757.31600000000003</v>
      </c>
      <c r="F699" s="354"/>
      <c r="G699" s="355"/>
      <c r="H699" s="359">
        <f>VLOOKUP(A699,Таблы!$O$265:$S$275,5,0)</f>
        <v>267.83999999999997</v>
      </c>
      <c r="I699" s="356">
        <f>Таблица37[[#This Row],[Цена]]+Таблица37[[#This Row],[Трудозатраты]]</f>
        <v>1025.1559999999999</v>
      </c>
      <c r="J699" s="357">
        <v>757.31600000000003</v>
      </c>
      <c r="K699" s="220" t="e">
        <f>VLOOKUP(Таблица37[[#This Row],[Оболочки]],'[3]Расчет себес оболочек'!$A$3:$E$35,5,0)</f>
        <v>#N/A</v>
      </c>
    </row>
    <row r="700" spans="1:11" x14ac:dyDescent="0.25">
      <c r="B700" s="350" t="s">
        <v>1911</v>
      </c>
      <c r="C700" s="351" t="s">
        <v>1912</v>
      </c>
      <c r="D700" s="352" t="s">
        <v>640</v>
      </c>
      <c r="E700" s="353">
        <f t="shared" si="13"/>
        <v>3.5224000000000002</v>
      </c>
      <c r="F700" s="354"/>
      <c r="G700" s="355"/>
      <c r="H700" s="359"/>
      <c r="I700" s="356">
        <f>Таблица37[[#This Row],[Цена]]+Таблица37[[#This Row],[Трудозатраты]]</f>
        <v>3.5224000000000002</v>
      </c>
      <c r="J700" s="357">
        <v>3.5224000000000002</v>
      </c>
      <c r="K700" s="220" t="e">
        <f>VLOOKUP(Таблица37[[#This Row],[Оболочки]],'[3]Расчет себес оболочек'!$A$3:$E$35,5,0)</f>
        <v>#N/A</v>
      </c>
    </row>
    <row r="701" spans="1:11" x14ac:dyDescent="0.25">
      <c r="B701" s="350" t="s">
        <v>1913</v>
      </c>
      <c r="C701" s="351" t="s">
        <v>1914</v>
      </c>
      <c r="D701" s="352" t="s">
        <v>640</v>
      </c>
      <c r="E701" s="353">
        <f t="shared" si="13"/>
        <v>4.1440000000000001</v>
      </c>
      <c r="F701" s="354"/>
      <c r="G701" s="355"/>
      <c r="H701" s="359"/>
      <c r="I701" s="356">
        <f>Таблица37[[#This Row],[Цена]]+Таблица37[[#This Row],[Трудозатраты]]</f>
        <v>4.1440000000000001</v>
      </c>
      <c r="J701" s="357">
        <v>4.1440000000000001</v>
      </c>
      <c r="K701" s="220" t="e">
        <f>VLOOKUP(Таблица37[[#This Row],[Оболочки]],'[3]Расчет себес оболочек'!$A$3:$E$35,5,0)</f>
        <v>#N/A</v>
      </c>
    </row>
    <row r="702" spans="1:11" x14ac:dyDescent="0.25">
      <c r="B702" s="350" t="s">
        <v>1915</v>
      </c>
      <c r="C702" s="351" t="s">
        <v>1916</v>
      </c>
      <c r="D702" s="352" t="s">
        <v>640</v>
      </c>
      <c r="E702" s="353">
        <f t="shared" si="13"/>
        <v>8.4952000000000005</v>
      </c>
      <c r="F702" s="354"/>
      <c r="G702" s="355"/>
      <c r="H702" s="359"/>
      <c r="I702" s="356">
        <f>Таблица37[[#This Row],[Цена]]+Таблица37[[#This Row],[Трудозатраты]]</f>
        <v>8.4952000000000005</v>
      </c>
      <c r="J702" s="357">
        <v>8.4952000000000005</v>
      </c>
      <c r="K702" s="220" t="e">
        <f>VLOOKUP(Таблица37[[#This Row],[Оболочки]],'[3]Расчет себес оболочек'!$A$3:$E$35,5,0)</f>
        <v>#N/A</v>
      </c>
    </row>
    <row r="703" spans="1:11" x14ac:dyDescent="0.25">
      <c r="B703" s="350" t="s">
        <v>1917</v>
      </c>
      <c r="C703" s="351" t="s">
        <v>1918</v>
      </c>
      <c r="D703" s="352" t="s">
        <v>640</v>
      </c>
      <c r="E703" s="353">
        <f t="shared" si="13"/>
        <v>10.6708</v>
      </c>
      <c r="F703" s="354"/>
      <c r="G703" s="355"/>
      <c r="H703" s="359"/>
      <c r="I703" s="356">
        <f>Таблица37[[#This Row],[Цена]]+Таблица37[[#This Row],[Трудозатраты]]</f>
        <v>10.6708</v>
      </c>
      <c r="J703" s="357">
        <v>10.6708</v>
      </c>
      <c r="K703" s="220" t="e">
        <f>VLOOKUP(Таблица37[[#This Row],[Оболочки]],'[3]Расчет себес оболочек'!$A$3:$E$35,5,0)</f>
        <v>#N/A</v>
      </c>
    </row>
    <row r="704" spans="1:11" x14ac:dyDescent="0.25">
      <c r="B704" s="350" t="s">
        <v>1919</v>
      </c>
      <c r="C704" s="351" t="s">
        <v>1920</v>
      </c>
      <c r="D704" s="352" t="s">
        <v>640</v>
      </c>
      <c r="E704" s="353">
        <f t="shared" si="13"/>
        <v>13.882399999999999</v>
      </c>
      <c r="F704" s="354"/>
      <c r="G704" s="355"/>
      <c r="H704" s="359"/>
      <c r="I704" s="356">
        <f>Таблица37[[#This Row],[Цена]]+Таблица37[[#This Row],[Трудозатраты]]</f>
        <v>13.882399999999999</v>
      </c>
      <c r="J704" s="357">
        <v>13.882399999999999</v>
      </c>
      <c r="K704" s="220" t="e">
        <f>VLOOKUP(Таблица37[[#This Row],[Оболочки]],'[3]Расчет себес оболочек'!$A$3:$E$35,5,0)</f>
        <v>#N/A</v>
      </c>
    </row>
    <row r="705" spans="2:11" x14ac:dyDescent="0.25">
      <c r="B705" s="350" t="s">
        <v>1921</v>
      </c>
      <c r="C705" s="351" t="s">
        <v>1922</v>
      </c>
      <c r="D705" s="352" t="s">
        <v>640</v>
      </c>
      <c r="E705" s="353">
        <f t="shared" si="13"/>
        <v>14.918399999999998</v>
      </c>
      <c r="F705" s="354"/>
      <c r="G705" s="355"/>
      <c r="H705" s="359"/>
      <c r="I705" s="356">
        <f>Таблица37[[#This Row],[Цена]]+Таблица37[[#This Row],[Трудозатраты]]</f>
        <v>14.918399999999998</v>
      </c>
      <c r="J705" s="357">
        <v>14.918399999999998</v>
      </c>
      <c r="K705" s="220" t="e">
        <f>VLOOKUP(Таблица37[[#This Row],[Оболочки]],'[3]Расчет себес оболочек'!$A$3:$E$35,5,0)</f>
        <v>#N/A</v>
      </c>
    </row>
    <row r="706" spans="2:11" x14ac:dyDescent="0.25">
      <c r="B706" s="350" t="s">
        <v>1923</v>
      </c>
      <c r="C706" s="351" t="s">
        <v>1924</v>
      </c>
      <c r="D706" s="352" t="s">
        <v>640</v>
      </c>
      <c r="E706" s="353">
        <f t="shared" si="13"/>
        <v>18.13</v>
      </c>
      <c r="F706" s="354"/>
      <c r="G706" s="355"/>
      <c r="H706" s="359"/>
      <c r="I706" s="356">
        <f>Таблица37[[#This Row],[Цена]]+Таблица37[[#This Row],[Трудозатраты]]</f>
        <v>18.13</v>
      </c>
      <c r="J706" s="357">
        <v>18.13</v>
      </c>
      <c r="K706" s="220" t="e">
        <f>VLOOKUP(Таблица37[[#This Row],[Оболочки]],'[3]Расчет себес оболочек'!$A$3:$E$35,5,0)</f>
        <v>#N/A</v>
      </c>
    </row>
    <row r="707" spans="2:11" x14ac:dyDescent="0.25">
      <c r="B707" s="350" t="s">
        <v>1925</v>
      </c>
      <c r="C707" s="351" t="s">
        <v>1926</v>
      </c>
      <c r="D707" s="352" t="s">
        <v>640</v>
      </c>
      <c r="E707" s="353">
        <f t="shared" si="13"/>
        <v>32.0124</v>
      </c>
      <c r="F707" s="354"/>
      <c r="G707" s="355"/>
      <c r="H707" s="359"/>
      <c r="I707" s="356">
        <f>Таблица37[[#This Row],[Цена]]+Таблица37[[#This Row],[Трудозатраты]]</f>
        <v>32.0124</v>
      </c>
      <c r="J707" s="357">
        <v>32.0124</v>
      </c>
      <c r="K707" s="220" t="e">
        <f>VLOOKUP(Таблица37[[#This Row],[Оболочки]],'[3]Расчет себес оболочек'!$A$3:$E$35,5,0)</f>
        <v>#N/A</v>
      </c>
    </row>
    <row r="708" spans="2:11" x14ac:dyDescent="0.25">
      <c r="B708" s="350" t="s">
        <v>1927</v>
      </c>
      <c r="C708" s="351" t="s">
        <v>1928</v>
      </c>
      <c r="D708" s="352" t="s">
        <v>640</v>
      </c>
      <c r="E708" s="353">
        <f t="shared" si="13"/>
        <v>36.26</v>
      </c>
      <c r="F708" s="354"/>
      <c r="G708" s="355"/>
      <c r="H708" s="359"/>
      <c r="I708" s="356">
        <f>Таблица37[[#This Row],[Цена]]+Таблица37[[#This Row],[Трудозатраты]]</f>
        <v>36.26</v>
      </c>
      <c r="J708" s="357">
        <v>36.26</v>
      </c>
      <c r="K708" s="220" t="e">
        <f>VLOOKUP(Таблица37[[#This Row],[Оболочки]],'[3]Расчет себес оболочек'!$A$3:$E$35,5,0)</f>
        <v>#N/A</v>
      </c>
    </row>
    <row r="709" spans="2:11" x14ac:dyDescent="0.25">
      <c r="B709" s="350" t="s">
        <v>1929</v>
      </c>
      <c r="C709" s="351" t="s">
        <v>1930</v>
      </c>
      <c r="D709" s="352" t="s">
        <v>640</v>
      </c>
      <c r="E709" s="353">
        <f t="shared" si="13"/>
        <v>76.767599999999987</v>
      </c>
      <c r="F709" s="354"/>
      <c r="G709" s="355"/>
      <c r="H709" s="359"/>
      <c r="I709" s="356">
        <f>Таблица37[[#This Row],[Цена]]+Таблица37[[#This Row],[Трудозатраты]]</f>
        <v>76.767599999999987</v>
      </c>
      <c r="J709" s="357">
        <v>76.767599999999987</v>
      </c>
      <c r="K709" s="220" t="e">
        <f>VLOOKUP(Таблица37[[#This Row],[Оболочки]],'[3]Расчет себес оболочек'!$A$3:$E$35,5,0)</f>
        <v>#N/A</v>
      </c>
    </row>
    <row r="710" spans="2:11" x14ac:dyDescent="0.25">
      <c r="B710" s="350" t="s">
        <v>1931</v>
      </c>
      <c r="C710" s="351" t="s">
        <v>1932</v>
      </c>
      <c r="D710" s="352" t="s">
        <v>640</v>
      </c>
      <c r="E710" s="353">
        <f t="shared" si="13"/>
        <v>95.933600000000013</v>
      </c>
      <c r="F710" s="354"/>
      <c r="G710" s="355"/>
      <c r="H710" s="359"/>
      <c r="I710" s="356">
        <f>Таблица37[[#This Row],[Цена]]+Таблица37[[#This Row],[Трудозатраты]]</f>
        <v>95.933600000000013</v>
      </c>
      <c r="J710" s="357">
        <v>95.933600000000013</v>
      </c>
      <c r="K710" s="220" t="e">
        <f>VLOOKUP(Таблица37[[#This Row],[Оболочки]],'[3]Расчет себес оболочек'!$A$3:$E$35,5,0)</f>
        <v>#N/A</v>
      </c>
    </row>
    <row r="711" spans="2:11" x14ac:dyDescent="0.25">
      <c r="B711" s="350" t="s">
        <v>1933</v>
      </c>
      <c r="C711" s="351" t="s">
        <v>1934</v>
      </c>
      <c r="D711" s="352" t="s">
        <v>640</v>
      </c>
      <c r="E711" s="353">
        <f t="shared" si="13"/>
        <v>7.6663999999999994</v>
      </c>
      <c r="F711" s="354"/>
      <c r="G711" s="355"/>
      <c r="H711" s="359"/>
      <c r="I711" s="356">
        <f>Таблица37[[#This Row],[Цена]]+Таблица37[[#This Row],[Трудозатраты]]</f>
        <v>7.6663999999999994</v>
      </c>
      <c r="J711" s="357">
        <v>7.6663999999999994</v>
      </c>
      <c r="K711" s="220" t="e">
        <f>VLOOKUP(Таблица37[[#This Row],[Оболочки]],'[3]Расчет себес оболочек'!$A$3:$E$35,5,0)</f>
        <v>#N/A</v>
      </c>
    </row>
    <row r="712" spans="2:11" x14ac:dyDescent="0.25">
      <c r="B712" s="350" t="s">
        <v>1935</v>
      </c>
      <c r="C712" s="351" t="s">
        <v>1936</v>
      </c>
      <c r="D712" s="352" t="s">
        <v>640</v>
      </c>
      <c r="E712" s="353">
        <f t="shared" si="13"/>
        <v>8.3916000000000004</v>
      </c>
      <c r="F712" s="354"/>
      <c r="G712" s="355"/>
      <c r="H712" s="359"/>
      <c r="I712" s="356">
        <f>Таблица37[[#This Row],[Цена]]+Таблица37[[#This Row],[Трудозатраты]]</f>
        <v>8.3916000000000004</v>
      </c>
      <c r="J712" s="357">
        <v>8.3916000000000004</v>
      </c>
      <c r="K712" s="220" t="e">
        <f>VLOOKUP(Таблица37[[#This Row],[Оболочки]],'[3]Расчет себес оболочек'!$A$3:$E$35,5,0)</f>
        <v>#N/A</v>
      </c>
    </row>
    <row r="713" spans="2:11" x14ac:dyDescent="0.25">
      <c r="B713" s="350" t="s">
        <v>1937</v>
      </c>
      <c r="C713" s="351" t="s">
        <v>1938</v>
      </c>
      <c r="D713" s="352" t="s">
        <v>640</v>
      </c>
      <c r="E713" s="353">
        <f t="shared" si="13"/>
        <v>9.1167999999999996</v>
      </c>
      <c r="F713" s="354"/>
      <c r="G713" s="355"/>
      <c r="H713" s="359"/>
      <c r="I713" s="356">
        <f>Таблица37[[#This Row],[Цена]]+Таблица37[[#This Row],[Трудозатраты]]</f>
        <v>9.1167999999999996</v>
      </c>
      <c r="J713" s="357">
        <v>9.1167999999999996</v>
      </c>
      <c r="K713" s="220" t="e">
        <f>VLOOKUP(Таблица37[[#This Row],[Оболочки]],'[3]Расчет себес оболочек'!$A$3:$E$35,5,0)</f>
        <v>#N/A</v>
      </c>
    </row>
    <row r="714" spans="2:11" x14ac:dyDescent="0.25">
      <c r="B714" s="350" t="s">
        <v>1939</v>
      </c>
      <c r="C714" s="351" t="s">
        <v>1940</v>
      </c>
      <c r="D714" s="352" t="s">
        <v>640</v>
      </c>
      <c r="E714" s="353">
        <f t="shared" si="13"/>
        <v>12.95</v>
      </c>
      <c r="F714" s="354"/>
      <c r="G714" s="355"/>
      <c r="H714" s="359"/>
      <c r="I714" s="356">
        <f>Таблица37[[#This Row],[Цена]]+Таблица37[[#This Row],[Трудозатраты]]</f>
        <v>12.95</v>
      </c>
      <c r="J714" s="357">
        <v>12.95</v>
      </c>
      <c r="K714" s="220" t="e">
        <f>VLOOKUP(Таблица37[[#This Row],[Оболочки]],'[3]Расчет себес оболочек'!$A$3:$E$35,5,0)</f>
        <v>#N/A</v>
      </c>
    </row>
    <row r="715" spans="2:11" x14ac:dyDescent="0.25">
      <c r="B715" s="350" t="s">
        <v>1941</v>
      </c>
      <c r="C715" s="351" t="s">
        <v>1942</v>
      </c>
      <c r="D715" s="352" t="s">
        <v>640</v>
      </c>
      <c r="E715" s="353">
        <f t="shared" si="13"/>
        <v>20.616400000000002</v>
      </c>
      <c r="F715" s="354"/>
      <c r="G715" s="355"/>
      <c r="H715" s="359"/>
      <c r="I715" s="356">
        <f>Таблица37[[#This Row],[Цена]]+Таблица37[[#This Row],[Трудозатраты]]</f>
        <v>20.616400000000002</v>
      </c>
      <c r="J715" s="357">
        <v>20.616400000000002</v>
      </c>
      <c r="K715" s="220" t="e">
        <f>VLOOKUP(Таблица37[[#This Row],[Оболочки]],'[3]Расчет себес оболочек'!$A$3:$E$35,5,0)</f>
        <v>#N/A</v>
      </c>
    </row>
    <row r="716" spans="2:11" x14ac:dyDescent="0.25">
      <c r="B716" s="350" t="s">
        <v>1943</v>
      </c>
      <c r="C716" s="351" t="s">
        <v>1944</v>
      </c>
      <c r="D716" s="352" t="s">
        <v>640</v>
      </c>
      <c r="E716" s="353">
        <f t="shared" si="13"/>
        <v>29.7332</v>
      </c>
      <c r="F716" s="354"/>
      <c r="G716" s="355"/>
      <c r="H716" s="359"/>
      <c r="I716" s="356">
        <f>Таблица37[[#This Row],[Цена]]+Таблица37[[#This Row],[Трудозатраты]]</f>
        <v>29.7332</v>
      </c>
      <c r="J716" s="357">
        <v>29.7332</v>
      </c>
      <c r="K716" s="220" t="e">
        <f>VLOOKUP(Таблица37[[#This Row],[Оболочки]],'[3]Расчет себес оболочек'!$A$3:$E$35,5,0)</f>
        <v>#N/A</v>
      </c>
    </row>
    <row r="717" spans="2:11" x14ac:dyDescent="0.25">
      <c r="B717" s="350" t="s">
        <v>1945</v>
      </c>
      <c r="C717" s="351" t="s">
        <v>1946</v>
      </c>
      <c r="D717" s="352" t="s">
        <v>640</v>
      </c>
      <c r="E717" s="353">
        <f t="shared" si="13"/>
        <v>37.295999999999999</v>
      </c>
      <c r="F717" s="354"/>
      <c r="G717" s="355"/>
      <c r="H717" s="359"/>
      <c r="I717" s="356">
        <f>Таблица37[[#This Row],[Цена]]+Таблица37[[#This Row],[Трудозатраты]]</f>
        <v>37.295999999999999</v>
      </c>
      <c r="J717" s="357">
        <v>37.295999999999999</v>
      </c>
      <c r="K717" s="220" t="e">
        <f>VLOOKUP(Таблица37[[#This Row],[Оболочки]],'[3]Расчет себес оболочек'!$A$3:$E$35,5,0)</f>
        <v>#N/A</v>
      </c>
    </row>
    <row r="718" spans="2:11" x14ac:dyDescent="0.25">
      <c r="B718" s="350" t="s">
        <v>1947</v>
      </c>
      <c r="C718" s="351" t="s">
        <v>1948</v>
      </c>
      <c r="D718" s="352" t="s">
        <v>640</v>
      </c>
      <c r="E718" s="353">
        <f t="shared" si="13"/>
        <v>87.645600000000002</v>
      </c>
      <c r="F718" s="354"/>
      <c r="G718" s="355"/>
      <c r="H718" s="359"/>
      <c r="I718" s="356">
        <f>Таблица37[[#This Row],[Цена]]+Таблица37[[#This Row],[Трудозатраты]]</f>
        <v>87.645600000000002</v>
      </c>
      <c r="J718" s="357">
        <v>87.645600000000002</v>
      </c>
      <c r="K718" s="220" t="e">
        <f>VLOOKUP(Таблица37[[#This Row],[Оболочки]],'[3]Расчет себес оболочек'!$A$3:$E$35,5,0)</f>
        <v>#N/A</v>
      </c>
    </row>
    <row r="719" spans="2:11" x14ac:dyDescent="0.25">
      <c r="B719" s="350" t="s">
        <v>1949</v>
      </c>
      <c r="C719" s="351" t="s">
        <v>1950</v>
      </c>
      <c r="D719" s="352" t="s">
        <v>640</v>
      </c>
      <c r="E719" s="353">
        <f t="shared" si="13"/>
        <v>108.88359999999999</v>
      </c>
      <c r="F719" s="354"/>
      <c r="G719" s="355"/>
      <c r="H719" s="359"/>
      <c r="I719" s="356">
        <f>Таблица37[[#This Row],[Цена]]+Таблица37[[#This Row],[Трудозатраты]]</f>
        <v>108.88359999999999</v>
      </c>
      <c r="J719" s="357">
        <v>108.88359999999999</v>
      </c>
      <c r="K719" s="220" t="e">
        <f>VLOOKUP(Таблица37[[#This Row],[Оболочки]],'[3]Расчет себес оболочек'!$A$3:$E$35,5,0)</f>
        <v>#N/A</v>
      </c>
    </row>
    <row r="720" spans="2:11" x14ac:dyDescent="0.25">
      <c r="B720" s="350" t="s">
        <v>1951</v>
      </c>
      <c r="C720" s="351" t="s">
        <v>1952</v>
      </c>
      <c r="D720" s="352" t="s">
        <v>640</v>
      </c>
      <c r="E720" s="353">
        <f t="shared" si="13"/>
        <v>152.3956</v>
      </c>
      <c r="F720" s="354"/>
      <c r="G720" s="355"/>
      <c r="H720" s="359"/>
      <c r="I720" s="356">
        <f>Таблица37[[#This Row],[Цена]]+Таблица37[[#This Row],[Трудозатраты]]</f>
        <v>152.3956</v>
      </c>
      <c r="J720" s="357">
        <v>152.3956</v>
      </c>
      <c r="K720" s="220" t="e">
        <f>VLOOKUP(Таблица37[[#This Row],[Оболочки]],'[3]Расчет себес оболочек'!$A$3:$E$35,5,0)</f>
        <v>#N/A</v>
      </c>
    </row>
    <row r="721" spans="2:11" x14ac:dyDescent="0.25">
      <c r="B721" s="350" t="s">
        <v>1953</v>
      </c>
      <c r="C721" s="351" t="s">
        <v>1954</v>
      </c>
      <c r="D721" s="352" t="s">
        <v>640</v>
      </c>
      <c r="E721" s="353">
        <f t="shared" si="13"/>
        <v>217.87080000000003</v>
      </c>
      <c r="F721" s="354"/>
      <c r="G721" s="355"/>
      <c r="H721" s="359"/>
      <c r="I721" s="356">
        <f>Таблица37[[#This Row],[Цена]]+Таблица37[[#This Row],[Трудозатраты]]</f>
        <v>217.87080000000003</v>
      </c>
      <c r="J721" s="357">
        <v>217.87080000000003</v>
      </c>
      <c r="K721" s="220" t="e">
        <f>VLOOKUP(Таблица37[[#This Row],[Оболочки]],'[3]Расчет себес оболочек'!$A$3:$E$35,5,0)</f>
        <v>#N/A</v>
      </c>
    </row>
    <row r="722" spans="2:11" x14ac:dyDescent="0.25">
      <c r="B722" s="350" t="s">
        <v>1955</v>
      </c>
      <c r="C722" s="351" t="s">
        <v>1956</v>
      </c>
      <c r="D722" s="352" t="s">
        <v>640</v>
      </c>
      <c r="E722" s="353">
        <f t="shared" ref="E722:E745" si="14">J722</f>
        <v>8.4952000000000005</v>
      </c>
      <c r="F722" s="354"/>
      <c r="G722" s="355"/>
      <c r="H722" s="359"/>
      <c r="I722" s="356">
        <f>Таблица37[[#This Row],[Цена]]+Таблица37[[#This Row],[Трудозатраты]]</f>
        <v>8.4952000000000005</v>
      </c>
      <c r="J722" s="357">
        <v>8.4952000000000005</v>
      </c>
      <c r="K722" s="220" t="e">
        <f>VLOOKUP(Таблица37[[#This Row],[Оболочки]],'[3]Расчет себес оболочек'!$A$3:$E$35,5,0)</f>
        <v>#N/A</v>
      </c>
    </row>
    <row r="723" spans="2:11" x14ac:dyDescent="0.25">
      <c r="B723" s="350" t="s">
        <v>1957</v>
      </c>
      <c r="C723" s="351" t="s">
        <v>1958</v>
      </c>
      <c r="D723" s="352" t="s">
        <v>640</v>
      </c>
      <c r="E723" s="353">
        <f t="shared" si="14"/>
        <v>4.8692000000000002</v>
      </c>
      <c r="F723" s="354"/>
      <c r="G723" s="355"/>
      <c r="H723" s="359"/>
      <c r="I723" s="356">
        <f>Таблица37[[#This Row],[Цена]]+Таблица37[[#This Row],[Трудозатраты]]</f>
        <v>4.8692000000000002</v>
      </c>
      <c r="J723" s="357">
        <v>4.8692000000000002</v>
      </c>
      <c r="K723" s="220" t="e">
        <f>VLOOKUP(Таблица37[[#This Row],[Оболочки]],'[3]Расчет себес оболочек'!$A$3:$E$35,5,0)</f>
        <v>#N/A</v>
      </c>
    </row>
    <row r="724" spans="2:11" x14ac:dyDescent="0.25">
      <c r="B724" s="350" t="s">
        <v>1959</v>
      </c>
      <c r="C724" s="351" t="s">
        <v>1960</v>
      </c>
      <c r="D724" s="352" t="s">
        <v>640</v>
      </c>
      <c r="E724" s="353">
        <f t="shared" si="14"/>
        <v>7.5628000000000002</v>
      </c>
      <c r="F724" s="354"/>
      <c r="G724" s="355"/>
      <c r="H724" s="359"/>
      <c r="I724" s="356">
        <f>Таблица37[[#This Row],[Цена]]+Таблица37[[#This Row],[Трудозатраты]]</f>
        <v>7.5628000000000002</v>
      </c>
      <c r="J724" s="357">
        <v>7.5628000000000002</v>
      </c>
      <c r="K724" s="220" t="e">
        <f>VLOOKUP(Таблица37[[#This Row],[Оболочки]],'[3]Расчет себес оболочек'!$A$3:$E$35,5,0)</f>
        <v>#N/A</v>
      </c>
    </row>
    <row r="725" spans="2:11" x14ac:dyDescent="0.25">
      <c r="B725" s="350" t="s">
        <v>1961</v>
      </c>
      <c r="C725" s="351" t="s">
        <v>1962</v>
      </c>
      <c r="D725" s="352" t="s">
        <v>640</v>
      </c>
      <c r="E725" s="353">
        <f t="shared" si="14"/>
        <v>11.706800000000001</v>
      </c>
      <c r="F725" s="354"/>
      <c r="G725" s="355"/>
      <c r="H725" s="359"/>
      <c r="I725" s="356">
        <f>Таблица37[[#This Row],[Цена]]+Таблица37[[#This Row],[Трудозатраты]]</f>
        <v>11.706800000000001</v>
      </c>
      <c r="J725" s="357">
        <v>11.706800000000001</v>
      </c>
      <c r="K725" s="220" t="e">
        <f>VLOOKUP(Таблица37[[#This Row],[Оболочки]],'[3]Расчет себес оболочек'!$A$3:$E$35,5,0)</f>
        <v>#N/A</v>
      </c>
    </row>
    <row r="726" spans="2:11" x14ac:dyDescent="0.25">
      <c r="B726" s="350" t="s">
        <v>1963</v>
      </c>
      <c r="C726" s="351" t="s">
        <v>1964</v>
      </c>
      <c r="D726" s="352" t="s">
        <v>640</v>
      </c>
      <c r="E726" s="353">
        <f t="shared" si="14"/>
        <v>12.846399999999999</v>
      </c>
      <c r="F726" s="354"/>
      <c r="G726" s="355"/>
      <c r="H726" s="359"/>
      <c r="I726" s="356">
        <f>Таблица37[[#This Row],[Цена]]+Таблица37[[#This Row],[Трудозатраты]]</f>
        <v>12.846399999999999</v>
      </c>
      <c r="J726" s="357">
        <v>12.846399999999999</v>
      </c>
      <c r="K726" s="220" t="e">
        <f>VLOOKUP(Таблица37[[#This Row],[Оболочки]],'[3]Расчет себес оболочек'!$A$3:$E$35,5,0)</f>
        <v>#N/A</v>
      </c>
    </row>
    <row r="727" spans="2:11" x14ac:dyDescent="0.25">
      <c r="B727" s="350" t="s">
        <v>1965</v>
      </c>
      <c r="C727" s="351" t="s">
        <v>1966</v>
      </c>
      <c r="D727" s="352" t="s">
        <v>640</v>
      </c>
      <c r="E727" s="353">
        <f t="shared" si="14"/>
        <v>33.152000000000001</v>
      </c>
      <c r="F727" s="354"/>
      <c r="G727" s="355"/>
      <c r="H727" s="359"/>
      <c r="I727" s="356">
        <f>Таблица37[[#This Row],[Цена]]+Таблица37[[#This Row],[Трудозатраты]]</f>
        <v>33.152000000000001</v>
      </c>
      <c r="J727" s="357">
        <v>33.152000000000001</v>
      </c>
      <c r="K727" s="220" t="e">
        <f>VLOOKUP(Таблица37[[#This Row],[Оболочки]],'[3]Расчет себес оболочек'!$A$3:$E$35,5,0)</f>
        <v>#N/A</v>
      </c>
    </row>
    <row r="728" spans="2:11" x14ac:dyDescent="0.25">
      <c r="B728" s="350" t="s">
        <v>1967</v>
      </c>
      <c r="C728" s="351" t="s">
        <v>1968</v>
      </c>
      <c r="D728" s="352" t="s">
        <v>640</v>
      </c>
      <c r="E728" s="353">
        <f t="shared" si="14"/>
        <v>50.142399999999995</v>
      </c>
      <c r="F728" s="354"/>
      <c r="G728" s="355"/>
      <c r="H728" s="359"/>
      <c r="I728" s="356">
        <f>Таблица37[[#This Row],[Цена]]+Таблица37[[#This Row],[Трудозатраты]]</f>
        <v>50.142399999999995</v>
      </c>
      <c r="J728" s="357">
        <v>50.142399999999995</v>
      </c>
      <c r="K728" s="220" t="e">
        <f>VLOOKUP(Таблица37[[#This Row],[Оболочки]],'[3]Расчет себес оболочек'!$A$3:$E$35,5,0)</f>
        <v>#N/A</v>
      </c>
    </row>
    <row r="729" spans="2:11" x14ac:dyDescent="0.25">
      <c r="B729" s="350" t="s">
        <v>1969</v>
      </c>
      <c r="C729" s="351" t="s">
        <v>1970</v>
      </c>
      <c r="D729" s="352" t="s">
        <v>640</v>
      </c>
      <c r="E729" s="353">
        <f t="shared" si="14"/>
        <v>80.704400000000007</v>
      </c>
      <c r="F729" s="354"/>
      <c r="G729" s="355"/>
      <c r="H729" s="359"/>
      <c r="I729" s="356">
        <f>Таблица37[[#This Row],[Цена]]+Таблица37[[#This Row],[Трудозатраты]]</f>
        <v>80.704400000000007</v>
      </c>
      <c r="J729" s="357">
        <v>80.704400000000007</v>
      </c>
      <c r="K729" s="220" t="e">
        <f>VLOOKUP(Таблица37[[#This Row],[Оболочки]],'[3]Расчет себес оболочек'!$A$3:$E$35,5,0)</f>
        <v>#N/A</v>
      </c>
    </row>
    <row r="730" spans="2:11" x14ac:dyDescent="0.25">
      <c r="B730" s="350" t="s">
        <v>1971</v>
      </c>
      <c r="C730" s="351" t="s">
        <v>1972</v>
      </c>
      <c r="D730" s="352" t="s">
        <v>640</v>
      </c>
      <c r="E730" s="353">
        <f t="shared" si="14"/>
        <v>118.31119999999999</v>
      </c>
      <c r="F730" s="354"/>
      <c r="G730" s="355"/>
      <c r="H730" s="359"/>
      <c r="I730" s="356">
        <f>Таблица37[[#This Row],[Цена]]+Таблица37[[#This Row],[Трудозатраты]]</f>
        <v>118.31119999999999</v>
      </c>
      <c r="J730" s="357">
        <v>118.31119999999999</v>
      </c>
      <c r="K730" s="220" t="e">
        <f>VLOOKUP(Таблица37[[#This Row],[Оболочки]],'[3]Расчет себес оболочек'!$A$3:$E$35,5,0)</f>
        <v>#N/A</v>
      </c>
    </row>
    <row r="731" spans="2:11" x14ac:dyDescent="0.25">
      <c r="B731" s="350" t="s">
        <v>1973</v>
      </c>
      <c r="C731" s="351" t="s">
        <v>1974</v>
      </c>
      <c r="D731" s="352" t="s">
        <v>640</v>
      </c>
      <c r="E731" s="353">
        <f t="shared" si="14"/>
        <v>334.11</v>
      </c>
      <c r="F731" s="354"/>
      <c r="G731" s="355"/>
      <c r="H731" s="359"/>
      <c r="I731" s="356">
        <f>Таблица37[[#This Row],[Цена]]+Таблица37[[#This Row],[Трудозатраты]]</f>
        <v>334.11</v>
      </c>
      <c r="J731" s="357">
        <v>334.11</v>
      </c>
      <c r="K731" s="220" t="e">
        <f>VLOOKUP(Таблица37[[#This Row],[Оболочки]],'[3]Расчет себес оболочек'!$A$3:$E$35,5,0)</f>
        <v>#N/A</v>
      </c>
    </row>
    <row r="732" spans="2:11" x14ac:dyDescent="0.25">
      <c r="B732" s="350" t="s">
        <v>1975</v>
      </c>
      <c r="C732" s="351" t="s">
        <v>1976</v>
      </c>
      <c r="D732" s="352" t="s">
        <v>640</v>
      </c>
      <c r="E732" s="353">
        <f t="shared" si="14"/>
        <v>0</v>
      </c>
      <c r="F732" s="354"/>
      <c r="G732" s="355"/>
      <c r="H732" s="359"/>
      <c r="I732" s="356">
        <f>Таблица37[[#This Row],[Цена]]+Таблица37[[#This Row],[Трудозатраты]]</f>
        <v>0</v>
      </c>
      <c r="J732" s="357">
        <v>0</v>
      </c>
      <c r="K732" s="220" t="e">
        <f>VLOOKUP(Таблица37[[#This Row],[Оболочки]],'[3]Расчет себес оболочек'!$A$3:$E$35,5,0)</f>
        <v>#N/A</v>
      </c>
    </row>
    <row r="733" spans="2:11" x14ac:dyDescent="0.25">
      <c r="B733" s="350" t="s">
        <v>1977</v>
      </c>
      <c r="C733" s="351" t="s">
        <v>1978</v>
      </c>
      <c r="D733" s="352" t="s">
        <v>640</v>
      </c>
      <c r="E733" s="353">
        <f t="shared" si="14"/>
        <v>399.27440000000007</v>
      </c>
      <c r="F733" s="354"/>
      <c r="G733" s="355"/>
      <c r="H733" s="359"/>
      <c r="I733" s="356">
        <f>Таблица37[[#This Row],[Цена]]+Таблица37[[#This Row],[Трудозатраты]]</f>
        <v>399.27440000000007</v>
      </c>
      <c r="J733" s="357">
        <v>399.27440000000007</v>
      </c>
      <c r="K733" s="220" t="e">
        <f>VLOOKUP(Таблица37[[#This Row],[Оболочки]],'[3]Расчет себес оболочек'!$A$3:$E$35,5,0)</f>
        <v>#N/A</v>
      </c>
    </row>
    <row r="734" spans="2:11" x14ac:dyDescent="0.25">
      <c r="B734" s="350" t="s">
        <v>1979</v>
      </c>
      <c r="C734" s="351" t="s">
        <v>1980</v>
      </c>
      <c r="D734" s="352" t="s">
        <v>640</v>
      </c>
      <c r="E734" s="353">
        <f t="shared" si="14"/>
        <v>0</v>
      </c>
      <c r="F734" s="354"/>
      <c r="G734" s="355"/>
      <c r="H734" s="359"/>
      <c r="I734" s="356">
        <f>Таблица37[[#This Row],[Цена]]+Таблица37[[#This Row],[Трудозатраты]]</f>
        <v>0</v>
      </c>
      <c r="J734" s="357"/>
      <c r="K734" s="220" t="e">
        <f>VLOOKUP(Таблица37[[#This Row],[Оболочки]],'[3]Расчет себес оболочек'!$A$3:$E$35,5,0)</f>
        <v>#N/A</v>
      </c>
    </row>
    <row r="735" spans="2:11" x14ac:dyDescent="0.25">
      <c r="B735" s="350" t="s">
        <v>1981</v>
      </c>
      <c r="C735" s="351" t="s">
        <v>1982</v>
      </c>
      <c r="D735" s="352" t="s">
        <v>640</v>
      </c>
      <c r="E735" s="353">
        <f t="shared" si="14"/>
        <v>1.6576000000000002</v>
      </c>
      <c r="F735" s="354"/>
      <c r="G735" s="355"/>
      <c r="H735" s="359"/>
      <c r="I735" s="356">
        <f>Таблица37[[#This Row],[Цена]]+Таблица37[[#This Row],[Трудозатраты]]</f>
        <v>1.6576000000000002</v>
      </c>
      <c r="J735" s="357">
        <v>1.6576000000000002</v>
      </c>
      <c r="K735" s="220" t="e">
        <f>VLOOKUP(Таблица37[[#This Row],[Оболочки]],'[3]Расчет себес оболочек'!$A$3:$E$35,5,0)</f>
        <v>#N/A</v>
      </c>
    </row>
    <row r="736" spans="2:11" x14ac:dyDescent="0.25">
      <c r="B736" s="350" t="s">
        <v>1983</v>
      </c>
      <c r="C736" s="351" t="s">
        <v>1984</v>
      </c>
      <c r="D736" s="352" t="s">
        <v>640</v>
      </c>
      <c r="E736" s="353">
        <f t="shared" si="14"/>
        <v>2.1756000000000002</v>
      </c>
      <c r="F736" s="354"/>
      <c r="G736" s="355"/>
      <c r="H736" s="359"/>
      <c r="I736" s="356">
        <f>Таблица37[[#This Row],[Цена]]+Таблица37[[#This Row],[Трудозатраты]]</f>
        <v>2.1756000000000002</v>
      </c>
      <c r="J736" s="357">
        <v>2.1756000000000002</v>
      </c>
      <c r="K736" s="220" t="e">
        <f>VLOOKUP(Таблица37[[#This Row],[Оболочки]],'[3]Расчет себес оболочек'!$A$3:$E$35,5,0)</f>
        <v>#N/A</v>
      </c>
    </row>
    <row r="737" spans="2:11" x14ac:dyDescent="0.25">
      <c r="B737" s="350" t="s">
        <v>1985</v>
      </c>
      <c r="C737" s="351" t="s">
        <v>1986</v>
      </c>
      <c r="D737" s="352" t="s">
        <v>640</v>
      </c>
      <c r="E737" s="353">
        <f t="shared" si="14"/>
        <v>1.9684000000000001</v>
      </c>
      <c r="F737" s="354"/>
      <c r="G737" s="355"/>
      <c r="H737" s="359"/>
      <c r="I737" s="356">
        <f>Таблица37[[#This Row],[Цена]]+Таблица37[[#This Row],[Трудозатраты]]</f>
        <v>1.9684000000000001</v>
      </c>
      <c r="J737" s="357">
        <v>1.9684000000000001</v>
      </c>
      <c r="K737" s="220" t="e">
        <f>VLOOKUP(Таблица37[[#This Row],[Оболочки]],'[3]Расчет себес оболочек'!$A$3:$E$35,5,0)</f>
        <v>#N/A</v>
      </c>
    </row>
    <row r="738" spans="2:11" x14ac:dyDescent="0.25">
      <c r="B738" s="350" t="s">
        <v>1987</v>
      </c>
      <c r="C738" s="351" t="s">
        <v>1988</v>
      </c>
      <c r="D738" s="352" t="s">
        <v>640</v>
      </c>
      <c r="E738" s="353">
        <f t="shared" si="14"/>
        <v>2.9008000000000003</v>
      </c>
      <c r="F738" s="354"/>
      <c r="G738" s="355"/>
      <c r="H738" s="359"/>
      <c r="I738" s="356">
        <f>Таблица37[[#This Row],[Цена]]+Таблица37[[#This Row],[Трудозатраты]]</f>
        <v>2.9008000000000003</v>
      </c>
      <c r="J738" s="357">
        <v>2.9008000000000003</v>
      </c>
      <c r="K738" s="220" t="e">
        <f>VLOOKUP(Таблица37[[#This Row],[Оболочки]],'[3]Расчет себес оболочек'!$A$3:$E$35,5,0)</f>
        <v>#N/A</v>
      </c>
    </row>
    <row r="739" spans="2:11" x14ac:dyDescent="0.25">
      <c r="B739" s="350" t="s">
        <v>1989</v>
      </c>
      <c r="C739" s="351" t="s">
        <v>1990</v>
      </c>
      <c r="D739" s="352" t="s">
        <v>640</v>
      </c>
      <c r="E739" s="353">
        <f t="shared" si="14"/>
        <v>4.7656000000000001</v>
      </c>
      <c r="F739" s="354"/>
      <c r="G739" s="355"/>
      <c r="H739" s="359"/>
      <c r="I739" s="356">
        <f>Таблица37[[#This Row],[Цена]]+Таблица37[[#This Row],[Трудозатраты]]</f>
        <v>4.7656000000000001</v>
      </c>
      <c r="J739" s="357">
        <v>4.7656000000000001</v>
      </c>
      <c r="K739" s="220" t="e">
        <f>VLOOKUP(Таблица37[[#This Row],[Оболочки]],'[3]Расчет себес оболочек'!$A$3:$E$35,5,0)</f>
        <v>#N/A</v>
      </c>
    </row>
    <row r="740" spans="2:11" x14ac:dyDescent="0.25">
      <c r="B740" s="350" t="s">
        <v>1991</v>
      </c>
      <c r="C740" s="351" t="s">
        <v>1992</v>
      </c>
      <c r="D740" s="352" t="s">
        <v>640</v>
      </c>
      <c r="E740" s="353">
        <f t="shared" si="14"/>
        <v>6.1124000000000009</v>
      </c>
      <c r="F740" s="354"/>
      <c r="G740" s="355"/>
      <c r="H740" s="359"/>
      <c r="I740" s="356">
        <f>Таблица37[[#This Row],[Цена]]+Таблица37[[#This Row],[Трудозатраты]]</f>
        <v>6.1124000000000009</v>
      </c>
      <c r="J740" s="357">
        <v>6.1124000000000009</v>
      </c>
      <c r="K740" s="220" t="e">
        <f>VLOOKUP(Таблица37[[#This Row],[Оболочки]],'[3]Расчет себес оболочек'!$A$3:$E$35,5,0)</f>
        <v>#N/A</v>
      </c>
    </row>
    <row r="741" spans="2:11" x14ac:dyDescent="0.25">
      <c r="B741" s="350" t="s">
        <v>1993</v>
      </c>
      <c r="C741" s="351" t="s">
        <v>1994</v>
      </c>
      <c r="D741" s="352" t="s">
        <v>640</v>
      </c>
      <c r="E741" s="353">
        <f t="shared" si="14"/>
        <v>8.7024000000000008</v>
      </c>
      <c r="F741" s="354"/>
      <c r="G741" s="355"/>
      <c r="H741" s="359"/>
      <c r="I741" s="356">
        <f>Таблица37[[#This Row],[Цена]]+Таблица37[[#This Row],[Трудозатраты]]</f>
        <v>8.7024000000000008</v>
      </c>
      <c r="J741" s="357">
        <v>8.7024000000000008</v>
      </c>
      <c r="K741" s="220" t="e">
        <f>VLOOKUP(Таблица37[[#This Row],[Оболочки]],'[3]Расчет себес оболочек'!$A$3:$E$35,5,0)</f>
        <v>#N/A</v>
      </c>
    </row>
    <row r="742" spans="2:11" x14ac:dyDescent="0.25">
      <c r="B742" s="350" t="s">
        <v>1995</v>
      </c>
      <c r="C742" s="351" t="s">
        <v>1996</v>
      </c>
      <c r="D742" s="352" t="s">
        <v>640</v>
      </c>
      <c r="E742" s="353">
        <f t="shared" si="14"/>
        <v>10.6708</v>
      </c>
      <c r="F742" s="354"/>
      <c r="G742" s="355"/>
      <c r="H742" s="359"/>
      <c r="I742" s="356">
        <f>Таблица37[[#This Row],[Цена]]+Таблица37[[#This Row],[Трудозатраты]]</f>
        <v>10.6708</v>
      </c>
      <c r="J742" s="357">
        <v>10.6708</v>
      </c>
      <c r="K742" s="220" t="e">
        <f>VLOOKUP(Таблица37[[#This Row],[Оболочки]],'[3]Расчет себес оболочек'!$A$3:$E$35,5,0)</f>
        <v>#N/A</v>
      </c>
    </row>
    <row r="743" spans="2:11" x14ac:dyDescent="0.25">
      <c r="B743" s="350" t="s">
        <v>1997</v>
      </c>
      <c r="C743" s="351" t="s">
        <v>1998</v>
      </c>
      <c r="D743" s="352" t="s">
        <v>640</v>
      </c>
      <c r="E743" s="353">
        <f t="shared" si="14"/>
        <v>122.0408</v>
      </c>
      <c r="F743" s="354"/>
      <c r="G743" s="355"/>
      <c r="H743" s="359"/>
      <c r="I743" s="356">
        <f>Таблица37[[#This Row],[Цена]]+Таблица37[[#This Row],[Трудозатраты]]</f>
        <v>122.0408</v>
      </c>
      <c r="J743" s="357">
        <v>122.0408</v>
      </c>
      <c r="K743" s="220" t="e">
        <f>VLOOKUP(Таблица37[[#This Row],[Оболочки]],'[3]Расчет себес оболочек'!$A$3:$E$35,5,0)</f>
        <v>#N/A</v>
      </c>
    </row>
    <row r="744" spans="2:11" x14ac:dyDescent="0.25">
      <c r="B744" s="350" t="s">
        <v>1999</v>
      </c>
      <c r="C744" s="351" t="s">
        <v>2000</v>
      </c>
      <c r="D744" s="352" t="s">
        <v>640</v>
      </c>
      <c r="E744" s="353">
        <f t="shared" si="14"/>
        <v>21.134399999999996</v>
      </c>
      <c r="F744" s="354"/>
      <c r="G744" s="355"/>
      <c r="H744" s="359"/>
      <c r="I744" s="356">
        <f>Таблица37[[#This Row],[Цена]]+Таблица37[[#This Row],[Трудозатраты]]</f>
        <v>21.134399999999996</v>
      </c>
      <c r="J744" s="357">
        <v>21.134399999999996</v>
      </c>
      <c r="K744" s="220" t="e">
        <f>VLOOKUP(Таблица37[[#This Row],[Оболочки]],'[3]Расчет себес оболочек'!$A$3:$E$35,5,0)</f>
        <v>#N/A</v>
      </c>
    </row>
    <row r="745" spans="2:11" x14ac:dyDescent="0.25">
      <c r="B745" s="350" t="s">
        <v>2001</v>
      </c>
      <c r="C745" s="351" t="s">
        <v>2002</v>
      </c>
      <c r="D745" s="352" t="s">
        <v>640</v>
      </c>
      <c r="E745" s="353">
        <f t="shared" si="14"/>
        <v>23.31</v>
      </c>
      <c r="F745" s="354"/>
      <c r="G745" s="355"/>
      <c r="H745" s="359"/>
      <c r="I745" s="356">
        <f>Таблица37[[#This Row],[Цена]]+Таблица37[[#This Row],[Трудозатраты]]</f>
        <v>23.31</v>
      </c>
      <c r="J745" s="357">
        <v>23.31</v>
      </c>
      <c r="K745" s="220" t="e">
        <f>VLOOKUP(Таблица37[[#This Row],[Оболочки]],'[3]Расчет себес оболочек'!$A$3:$E$35,5,0)</f>
        <v>#N/A</v>
      </c>
    </row>
    <row r="746" spans="2:11" x14ac:dyDescent="0.25">
      <c r="B746" s="350" t="s">
        <v>2003</v>
      </c>
      <c r="C746" s="351" t="s">
        <v>2004</v>
      </c>
      <c r="D746" s="352" t="s">
        <v>640</v>
      </c>
      <c r="E746" s="353">
        <f>VLOOKUP(Таблица37[[#This Row],[Оболочки]],'предоставленные цены'!$B$4:$D$328,2,0)</f>
        <v>766.14704099999994</v>
      </c>
      <c r="F746" s="354"/>
      <c r="G746" s="355"/>
      <c r="H746" s="359"/>
      <c r="I746" s="356">
        <f>Таблица37[[#This Row],[Цена]]+Таблица37[[#This Row],[Трудозатраты]]</f>
        <v>766.14704099999994</v>
      </c>
      <c r="J746" s="357">
        <v>292.56639999999999</v>
      </c>
      <c r="K746" s="220" t="e">
        <f>VLOOKUP(Таблица37[[#This Row],[Оболочки]],'[3]Расчет себес оболочек'!$A$3:$E$35,5,0)</f>
        <v>#N/A</v>
      </c>
    </row>
    <row r="747" spans="2:11" x14ac:dyDescent="0.25">
      <c r="B747" s="350" t="s">
        <v>2005</v>
      </c>
      <c r="C747" s="351" t="s">
        <v>2006</v>
      </c>
      <c r="D747" s="352" t="s">
        <v>640</v>
      </c>
      <c r="E747" s="353">
        <f>VLOOKUP(Таблица37[[#This Row],[Оболочки]],'предоставленные цены'!$B$4:$D$328,2,0)</f>
        <v>664.07564099999991</v>
      </c>
      <c r="F747" s="354"/>
      <c r="G747" s="355"/>
      <c r="H747" s="359"/>
      <c r="I747" s="356">
        <f>Таблица37[[#This Row],[Цена]]+Таблица37[[#This Row],[Трудозатраты]]</f>
        <v>664.07564099999991</v>
      </c>
      <c r="J747" s="357">
        <v>116.55000000000001</v>
      </c>
      <c r="K747" s="220" t="e">
        <f>VLOOKUP(Таблица37[[#This Row],[Оболочки]],'[3]Расчет себес оболочек'!$A$3:$E$35,5,0)</f>
        <v>#N/A</v>
      </c>
    </row>
    <row r="748" spans="2:11" x14ac:dyDescent="0.25">
      <c r="B748" s="350" t="s">
        <v>2007</v>
      </c>
      <c r="C748" s="351" t="s">
        <v>2008</v>
      </c>
      <c r="D748" s="352" t="s">
        <v>640</v>
      </c>
      <c r="E748" s="353">
        <f t="shared" ref="E748:E787" si="15">J748</f>
        <v>51.8</v>
      </c>
      <c r="F748" s="354"/>
      <c r="G748" s="355"/>
      <c r="H748" s="359"/>
      <c r="I748" s="356">
        <f>Таблица37[[#This Row],[Цена]]+Таблица37[[#This Row],[Трудозатраты]]</f>
        <v>51.8</v>
      </c>
      <c r="J748" s="357">
        <v>51.8</v>
      </c>
      <c r="K748" s="220" t="e">
        <f>VLOOKUP(Таблица37[[#This Row],[Оболочки]],'[3]Расчет себес оболочек'!$A$3:$E$35,5,0)</f>
        <v>#N/A</v>
      </c>
    </row>
    <row r="749" spans="2:11" x14ac:dyDescent="0.25">
      <c r="B749" s="350" t="s">
        <v>2009</v>
      </c>
      <c r="C749" s="351" t="s">
        <v>2010</v>
      </c>
      <c r="D749" s="352" t="s">
        <v>640</v>
      </c>
      <c r="E749" s="353">
        <f t="shared" si="15"/>
        <v>58.016000000000005</v>
      </c>
      <c r="F749" s="354"/>
      <c r="G749" s="355"/>
      <c r="H749" s="359"/>
      <c r="I749" s="356">
        <f>Таблица37[[#This Row],[Цена]]+Таблица37[[#This Row],[Трудозатраты]]</f>
        <v>58.016000000000005</v>
      </c>
      <c r="J749" s="357">
        <v>58.016000000000005</v>
      </c>
      <c r="K749" s="220" t="e">
        <f>VLOOKUP(Таблица37[[#This Row],[Оболочки]],'[3]Расчет себес оболочек'!$A$3:$E$35,5,0)</f>
        <v>#N/A</v>
      </c>
    </row>
    <row r="750" spans="2:11" x14ac:dyDescent="0.25">
      <c r="B750" s="350" t="s">
        <v>2011</v>
      </c>
      <c r="C750" s="351" t="s">
        <v>2012</v>
      </c>
      <c r="D750" s="352" t="s">
        <v>640</v>
      </c>
      <c r="E750" s="353">
        <f t="shared" si="15"/>
        <v>81.844000000000008</v>
      </c>
      <c r="F750" s="354"/>
      <c r="G750" s="355"/>
      <c r="H750" s="359"/>
      <c r="I750" s="356">
        <f>Таблица37[[#This Row],[Цена]]+Таблица37[[#This Row],[Трудозатраты]]</f>
        <v>81.844000000000008</v>
      </c>
      <c r="J750" s="357">
        <v>81.844000000000008</v>
      </c>
      <c r="K750" s="220" t="e">
        <f>VLOOKUP(Таблица37[[#This Row],[Оболочки]],'[3]Расчет себес оболочек'!$A$3:$E$35,5,0)</f>
        <v>#N/A</v>
      </c>
    </row>
    <row r="751" spans="2:11" x14ac:dyDescent="0.25">
      <c r="B751" s="350" t="s">
        <v>2013</v>
      </c>
      <c r="C751" s="351" t="s">
        <v>2014</v>
      </c>
      <c r="D751" s="352" t="s">
        <v>640</v>
      </c>
      <c r="E751" s="353">
        <f t="shared" si="15"/>
        <v>111.88800000000001</v>
      </c>
      <c r="F751" s="354"/>
      <c r="G751" s="355"/>
      <c r="H751" s="359"/>
      <c r="I751" s="356">
        <f>Таблица37[[#This Row],[Цена]]+Таблица37[[#This Row],[Трудозатраты]]</f>
        <v>111.88800000000001</v>
      </c>
      <c r="J751" s="357">
        <v>111.88800000000001</v>
      </c>
      <c r="K751" s="220" t="e">
        <f>VLOOKUP(Таблица37[[#This Row],[Оболочки]],'[3]Расчет себес оболочек'!$A$3:$E$35,5,0)</f>
        <v>#N/A</v>
      </c>
    </row>
    <row r="752" spans="2:11" x14ac:dyDescent="0.25">
      <c r="B752" s="350" t="s">
        <v>2015</v>
      </c>
      <c r="C752" s="351" t="s">
        <v>2016</v>
      </c>
      <c r="D752" s="352" t="s">
        <v>640</v>
      </c>
      <c r="E752" s="353">
        <f t="shared" si="15"/>
        <v>159.54400000000001</v>
      </c>
      <c r="F752" s="354"/>
      <c r="G752" s="355"/>
      <c r="H752" s="359"/>
      <c r="I752" s="356">
        <f>Таблица37[[#This Row],[Цена]]+Таблица37[[#This Row],[Трудозатраты]]</f>
        <v>159.54400000000001</v>
      </c>
      <c r="J752" s="357">
        <v>159.54400000000001</v>
      </c>
      <c r="K752" s="220" t="e">
        <f>VLOOKUP(Таблица37[[#This Row],[Оболочки]],'[3]Расчет себес оболочек'!$A$3:$E$35,5,0)</f>
        <v>#N/A</v>
      </c>
    </row>
    <row r="753" spans="2:11" x14ac:dyDescent="0.25">
      <c r="B753" s="350" t="s">
        <v>2007</v>
      </c>
      <c r="C753" s="351" t="s">
        <v>2008</v>
      </c>
      <c r="D753" s="352" t="s">
        <v>640</v>
      </c>
      <c r="E753" s="353">
        <f t="shared" si="15"/>
        <v>51.8</v>
      </c>
      <c r="F753" s="354"/>
      <c r="G753" s="355"/>
      <c r="H753" s="359"/>
      <c r="I753" s="356">
        <f>Таблица37[[#This Row],[Цена]]+Таблица37[[#This Row],[Трудозатраты]]</f>
        <v>51.8</v>
      </c>
      <c r="J753" s="357">
        <v>51.8</v>
      </c>
      <c r="K753" s="220" t="e">
        <f>VLOOKUP(Таблица37[[#This Row],[Оболочки]],'[3]Расчет себес оболочек'!$A$3:$E$35,5,0)</f>
        <v>#N/A</v>
      </c>
    </row>
    <row r="754" spans="2:11" x14ac:dyDescent="0.25">
      <c r="B754" s="350" t="s">
        <v>2009</v>
      </c>
      <c r="C754" s="351" t="s">
        <v>2010</v>
      </c>
      <c r="D754" s="352" t="s">
        <v>640</v>
      </c>
      <c r="E754" s="353">
        <f t="shared" si="15"/>
        <v>58.016000000000005</v>
      </c>
      <c r="F754" s="354"/>
      <c r="G754" s="355"/>
      <c r="H754" s="359"/>
      <c r="I754" s="356">
        <f>Таблица37[[#This Row],[Цена]]+Таблица37[[#This Row],[Трудозатраты]]</f>
        <v>58.016000000000005</v>
      </c>
      <c r="J754" s="357">
        <v>58.016000000000005</v>
      </c>
      <c r="K754" s="220" t="e">
        <f>VLOOKUP(Таблица37[[#This Row],[Оболочки]],'[3]Расчет себес оболочек'!$A$3:$E$35,5,0)</f>
        <v>#N/A</v>
      </c>
    </row>
    <row r="755" spans="2:11" x14ac:dyDescent="0.25">
      <c r="B755" s="350" t="s">
        <v>2011</v>
      </c>
      <c r="C755" s="351" t="s">
        <v>2012</v>
      </c>
      <c r="D755" s="352" t="s">
        <v>640</v>
      </c>
      <c r="E755" s="353">
        <f t="shared" si="15"/>
        <v>81.844000000000008</v>
      </c>
      <c r="F755" s="354"/>
      <c r="G755" s="355"/>
      <c r="H755" s="359"/>
      <c r="I755" s="356">
        <f>Таблица37[[#This Row],[Цена]]+Таблица37[[#This Row],[Трудозатраты]]</f>
        <v>81.844000000000008</v>
      </c>
      <c r="J755" s="357">
        <v>81.844000000000008</v>
      </c>
      <c r="K755" s="220" t="e">
        <f>VLOOKUP(Таблица37[[#This Row],[Оболочки]],'[3]Расчет себес оболочек'!$A$3:$E$35,5,0)</f>
        <v>#N/A</v>
      </c>
    </row>
    <row r="756" spans="2:11" x14ac:dyDescent="0.25">
      <c r="B756" s="350" t="s">
        <v>2013</v>
      </c>
      <c r="C756" s="351" t="s">
        <v>2014</v>
      </c>
      <c r="D756" s="352" t="s">
        <v>640</v>
      </c>
      <c r="E756" s="353">
        <f t="shared" si="15"/>
        <v>111.88800000000001</v>
      </c>
      <c r="F756" s="354"/>
      <c r="G756" s="355"/>
      <c r="H756" s="359"/>
      <c r="I756" s="356">
        <f>Таблица37[[#This Row],[Цена]]+Таблица37[[#This Row],[Трудозатраты]]</f>
        <v>111.88800000000001</v>
      </c>
      <c r="J756" s="357">
        <v>111.88800000000001</v>
      </c>
      <c r="K756" s="220" t="e">
        <f>VLOOKUP(Таблица37[[#This Row],[Оболочки]],'[3]Расчет себес оболочек'!$A$3:$E$35,5,0)</f>
        <v>#N/A</v>
      </c>
    </row>
    <row r="757" spans="2:11" x14ac:dyDescent="0.25">
      <c r="B757" s="350" t="s">
        <v>2015</v>
      </c>
      <c r="C757" s="351" t="s">
        <v>2016</v>
      </c>
      <c r="D757" s="352" t="s">
        <v>640</v>
      </c>
      <c r="E757" s="353">
        <f t="shared" si="15"/>
        <v>159.54400000000001</v>
      </c>
      <c r="F757" s="354"/>
      <c r="G757" s="355"/>
      <c r="H757" s="359"/>
      <c r="I757" s="356">
        <f>Таблица37[[#This Row],[Цена]]+Таблица37[[#This Row],[Трудозатраты]]</f>
        <v>159.54400000000001</v>
      </c>
      <c r="J757" s="357">
        <v>159.54400000000001</v>
      </c>
      <c r="K757" s="220" t="e">
        <f>VLOOKUP(Таблица37[[#This Row],[Оболочки]],'[3]Расчет себес оболочек'!$A$3:$E$35,5,0)</f>
        <v>#N/A</v>
      </c>
    </row>
    <row r="758" spans="2:11" x14ac:dyDescent="0.25">
      <c r="B758" s="350" t="s">
        <v>2007</v>
      </c>
      <c r="C758" s="351" t="s">
        <v>2008</v>
      </c>
      <c r="D758" s="352" t="s">
        <v>640</v>
      </c>
      <c r="E758" s="353">
        <f t="shared" si="15"/>
        <v>51.8</v>
      </c>
      <c r="F758" s="354"/>
      <c r="G758" s="355"/>
      <c r="H758" s="359"/>
      <c r="I758" s="356">
        <f>Таблица37[[#This Row],[Цена]]+Таблица37[[#This Row],[Трудозатраты]]</f>
        <v>51.8</v>
      </c>
      <c r="J758" s="357">
        <v>51.8</v>
      </c>
      <c r="K758" s="220" t="e">
        <f>VLOOKUP(Таблица37[[#This Row],[Оболочки]],'[3]Расчет себес оболочек'!$A$3:$E$35,5,0)</f>
        <v>#N/A</v>
      </c>
    </row>
    <row r="759" spans="2:11" x14ac:dyDescent="0.25">
      <c r="B759" s="350" t="s">
        <v>2009</v>
      </c>
      <c r="C759" s="351" t="s">
        <v>2010</v>
      </c>
      <c r="D759" s="352" t="s">
        <v>640</v>
      </c>
      <c r="E759" s="353">
        <f t="shared" si="15"/>
        <v>58.016000000000005</v>
      </c>
      <c r="F759" s="354"/>
      <c r="G759" s="355"/>
      <c r="H759" s="359"/>
      <c r="I759" s="356">
        <f>Таблица37[[#This Row],[Цена]]+Таблица37[[#This Row],[Трудозатраты]]</f>
        <v>58.016000000000005</v>
      </c>
      <c r="J759" s="357">
        <v>58.016000000000005</v>
      </c>
      <c r="K759" s="220" t="e">
        <f>VLOOKUP(Таблица37[[#This Row],[Оболочки]],'[3]Расчет себес оболочек'!$A$3:$E$35,5,0)</f>
        <v>#N/A</v>
      </c>
    </row>
    <row r="760" spans="2:11" x14ac:dyDescent="0.25">
      <c r="B760" s="350" t="s">
        <v>2011</v>
      </c>
      <c r="C760" s="351" t="s">
        <v>2012</v>
      </c>
      <c r="D760" s="352" t="s">
        <v>640</v>
      </c>
      <c r="E760" s="353">
        <f t="shared" si="15"/>
        <v>81.844000000000008</v>
      </c>
      <c r="F760" s="354"/>
      <c r="G760" s="355"/>
      <c r="H760" s="359"/>
      <c r="I760" s="356">
        <f>Таблица37[[#This Row],[Цена]]+Таблица37[[#This Row],[Трудозатраты]]</f>
        <v>81.844000000000008</v>
      </c>
      <c r="J760" s="357">
        <v>81.844000000000008</v>
      </c>
      <c r="K760" s="220" t="e">
        <f>VLOOKUP(Таблица37[[#This Row],[Оболочки]],'[3]Расчет себес оболочек'!$A$3:$E$35,5,0)</f>
        <v>#N/A</v>
      </c>
    </row>
    <row r="761" spans="2:11" x14ac:dyDescent="0.25">
      <c r="B761" s="350" t="s">
        <v>2013</v>
      </c>
      <c r="C761" s="351" t="s">
        <v>2014</v>
      </c>
      <c r="D761" s="352" t="s">
        <v>640</v>
      </c>
      <c r="E761" s="353">
        <f t="shared" si="15"/>
        <v>111.88800000000001</v>
      </c>
      <c r="F761" s="354"/>
      <c r="G761" s="355"/>
      <c r="H761" s="359"/>
      <c r="I761" s="356">
        <f>Таблица37[[#This Row],[Цена]]+Таблица37[[#This Row],[Трудозатраты]]</f>
        <v>111.88800000000001</v>
      </c>
      <c r="J761" s="357">
        <v>111.88800000000001</v>
      </c>
      <c r="K761" s="220" t="e">
        <f>VLOOKUP(Таблица37[[#This Row],[Оболочки]],'[3]Расчет себес оболочек'!$A$3:$E$35,5,0)</f>
        <v>#N/A</v>
      </c>
    </row>
    <row r="762" spans="2:11" x14ac:dyDescent="0.25">
      <c r="B762" s="350" t="s">
        <v>2015</v>
      </c>
      <c r="C762" s="351" t="s">
        <v>2016</v>
      </c>
      <c r="D762" s="352" t="s">
        <v>640</v>
      </c>
      <c r="E762" s="353">
        <f t="shared" si="15"/>
        <v>159.54400000000001</v>
      </c>
      <c r="F762" s="354"/>
      <c r="G762" s="355"/>
      <c r="H762" s="359"/>
      <c r="I762" s="356">
        <f>Таблица37[[#This Row],[Цена]]+Таблица37[[#This Row],[Трудозатраты]]</f>
        <v>159.54400000000001</v>
      </c>
      <c r="J762" s="357">
        <v>159.54400000000001</v>
      </c>
      <c r="K762" s="220" t="e">
        <f>VLOOKUP(Таблица37[[#This Row],[Оболочки]],'[3]Расчет себес оболочек'!$A$3:$E$35,5,0)</f>
        <v>#N/A</v>
      </c>
    </row>
    <row r="763" spans="2:11" x14ac:dyDescent="0.25">
      <c r="B763" s="350" t="s">
        <v>2017</v>
      </c>
      <c r="C763" s="351" t="s">
        <v>2018</v>
      </c>
      <c r="D763" s="352" t="s">
        <v>640</v>
      </c>
      <c r="E763" s="353">
        <f t="shared" si="15"/>
        <v>0</v>
      </c>
      <c r="F763" s="354"/>
      <c r="G763" s="355"/>
      <c r="H763" s="359"/>
      <c r="I763" s="356">
        <f>Таблица37[[#This Row],[Цена]]+Таблица37[[#This Row],[Трудозатраты]]</f>
        <v>0</v>
      </c>
      <c r="J763" s="357"/>
      <c r="K763" s="220" t="e">
        <f>VLOOKUP(Таблица37[[#This Row],[Оболочки]],'[3]Расчет себес оболочек'!$A$3:$E$35,5,0)</f>
        <v>#N/A</v>
      </c>
    </row>
    <row r="764" spans="2:11" x14ac:dyDescent="0.25">
      <c r="B764" s="350" t="s">
        <v>2019</v>
      </c>
      <c r="C764" s="351" t="s">
        <v>2020</v>
      </c>
      <c r="D764" s="352" t="s">
        <v>640</v>
      </c>
      <c r="E764" s="353">
        <f t="shared" si="15"/>
        <v>0</v>
      </c>
      <c r="F764" s="354"/>
      <c r="G764" s="355"/>
      <c r="H764" s="359"/>
      <c r="I764" s="356">
        <f>Таблица37[[#This Row],[Цена]]+Таблица37[[#This Row],[Трудозатраты]]</f>
        <v>0</v>
      </c>
      <c r="J764" s="357"/>
      <c r="K764" s="220" t="e">
        <f>VLOOKUP(Таблица37[[#This Row],[Оболочки]],'[3]Расчет себес оболочек'!$A$3:$E$35,5,0)</f>
        <v>#N/A</v>
      </c>
    </row>
    <row r="765" spans="2:11" x14ac:dyDescent="0.25">
      <c r="B765" s="350" t="s">
        <v>2021</v>
      </c>
      <c r="C765" s="351" t="s">
        <v>2022</v>
      </c>
      <c r="D765" s="352" t="s">
        <v>640</v>
      </c>
      <c r="E765" s="353">
        <f t="shared" si="15"/>
        <v>0</v>
      </c>
      <c r="F765" s="354"/>
      <c r="G765" s="355"/>
      <c r="H765" s="359"/>
      <c r="I765" s="356">
        <f>Таблица37[[#This Row],[Цена]]+Таблица37[[#This Row],[Трудозатраты]]</f>
        <v>0</v>
      </c>
      <c r="J765" s="357"/>
      <c r="K765" s="220" t="e">
        <f>VLOOKUP(Таблица37[[#This Row],[Оболочки]],'[3]Расчет себес оболочек'!$A$3:$E$35,5,0)</f>
        <v>#N/A</v>
      </c>
    </row>
    <row r="766" spans="2:11" x14ac:dyDescent="0.25">
      <c r="B766" s="350" t="s">
        <v>2023</v>
      </c>
      <c r="C766" s="351" t="s">
        <v>2024</v>
      </c>
      <c r="D766" s="352" t="s">
        <v>640</v>
      </c>
      <c r="E766" s="353">
        <f t="shared" si="15"/>
        <v>0</v>
      </c>
      <c r="F766" s="354"/>
      <c r="G766" s="355"/>
      <c r="H766" s="359"/>
      <c r="I766" s="356">
        <f>Таблица37[[#This Row],[Цена]]+Таблица37[[#This Row],[Трудозатраты]]</f>
        <v>0</v>
      </c>
      <c r="J766" s="357"/>
      <c r="K766" s="220" t="e">
        <f>VLOOKUP(Таблица37[[#This Row],[Оболочки]],'[3]Расчет себес оболочек'!$A$3:$E$35,5,0)</f>
        <v>#N/A</v>
      </c>
    </row>
    <row r="767" spans="2:11" x14ac:dyDescent="0.25">
      <c r="B767" s="350" t="s">
        <v>2025</v>
      </c>
      <c r="C767" s="351" t="s">
        <v>2026</v>
      </c>
      <c r="D767" s="352" t="s">
        <v>640</v>
      </c>
      <c r="E767" s="353">
        <f t="shared" si="15"/>
        <v>0</v>
      </c>
      <c r="F767" s="354"/>
      <c r="G767" s="355"/>
      <c r="H767" s="359"/>
      <c r="I767" s="356">
        <f>Таблица37[[#This Row],[Цена]]+Таблица37[[#This Row],[Трудозатраты]]</f>
        <v>0</v>
      </c>
      <c r="J767" s="357"/>
      <c r="K767" s="220" t="e">
        <f>VLOOKUP(Таблица37[[#This Row],[Оболочки]],'[3]Расчет себес оболочек'!$A$3:$E$35,5,0)</f>
        <v>#N/A</v>
      </c>
    </row>
    <row r="768" spans="2:11" x14ac:dyDescent="0.25">
      <c r="B768" s="350" t="s">
        <v>2027</v>
      </c>
      <c r="C768" s="351" t="s">
        <v>2028</v>
      </c>
      <c r="D768" s="352" t="s">
        <v>640</v>
      </c>
      <c r="E768" s="353">
        <f t="shared" si="15"/>
        <v>0</v>
      </c>
      <c r="F768" s="354"/>
      <c r="G768" s="355"/>
      <c r="H768" s="359"/>
      <c r="I768" s="356">
        <f>Таблица37[[#This Row],[Цена]]+Таблица37[[#This Row],[Трудозатраты]]</f>
        <v>0</v>
      </c>
      <c r="J768" s="357"/>
      <c r="K768" s="220" t="e">
        <f>VLOOKUP(Таблица37[[#This Row],[Оболочки]],'[3]Расчет себес оболочек'!$A$3:$E$35,5,0)</f>
        <v>#N/A</v>
      </c>
    </row>
    <row r="769" spans="2:11" x14ac:dyDescent="0.25">
      <c r="B769" s="350" t="s">
        <v>2029</v>
      </c>
      <c r="C769" s="351" t="s">
        <v>2030</v>
      </c>
      <c r="D769" s="352" t="s">
        <v>640</v>
      </c>
      <c r="E769" s="353">
        <f t="shared" si="15"/>
        <v>0</v>
      </c>
      <c r="F769" s="354"/>
      <c r="G769" s="355"/>
      <c r="H769" s="359"/>
      <c r="I769" s="356">
        <f>Таблица37[[#This Row],[Цена]]+Таблица37[[#This Row],[Трудозатраты]]</f>
        <v>0</v>
      </c>
      <c r="J769" s="357"/>
      <c r="K769" s="220" t="e">
        <f>VLOOKUP(Таблица37[[#This Row],[Оболочки]],'[3]Расчет себес оболочек'!$A$3:$E$35,5,0)</f>
        <v>#N/A</v>
      </c>
    </row>
    <row r="770" spans="2:11" x14ac:dyDescent="0.25">
      <c r="B770" s="350" t="s">
        <v>2031</v>
      </c>
      <c r="C770" s="351" t="s">
        <v>2032</v>
      </c>
      <c r="D770" s="352" t="s">
        <v>640</v>
      </c>
      <c r="E770" s="353">
        <f t="shared" si="15"/>
        <v>0</v>
      </c>
      <c r="F770" s="354"/>
      <c r="G770" s="355"/>
      <c r="H770" s="359"/>
      <c r="I770" s="356">
        <f>Таблица37[[#This Row],[Цена]]+Таблица37[[#This Row],[Трудозатраты]]</f>
        <v>0</v>
      </c>
      <c r="J770" s="357"/>
      <c r="K770" s="220" t="e">
        <f>VLOOKUP(Таблица37[[#This Row],[Оболочки]],'[3]Расчет себес оболочек'!$A$3:$E$35,5,0)</f>
        <v>#N/A</v>
      </c>
    </row>
    <row r="771" spans="2:11" x14ac:dyDescent="0.25">
      <c r="B771" s="350" t="s">
        <v>2033</v>
      </c>
      <c r="C771" s="351" t="s">
        <v>2034</v>
      </c>
      <c r="D771" s="352" t="s">
        <v>640</v>
      </c>
      <c r="E771" s="353">
        <f t="shared" si="15"/>
        <v>0</v>
      </c>
      <c r="F771" s="354"/>
      <c r="G771" s="355"/>
      <c r="H771" s="359"/>
      <c r="I771" s="356">
        <f>Таблица37[[#This Row],[Цена]]+Таблица37[[#This Row],[Трудозатраты]]</f>
        <v>0</v>
      </c>
      <c r="J771" s="357"/>
      <c r="K771" s="220" t="e">
        <f>VLOOKUP(Таблица37[[#This Row],[Оболочки]],'[3]Расчет себес оболочек'!$A$3:$E$35,5,0)</f>
        <v>#N/A</v>
      </c>
    </row>
    <row r="772" spans="2:11" x14ac:dyDescent="0.25">
      <c r="B772" s="350" t="s">
        <v>2035</v>
      </c>
      <c r="C772" s="351" t="s">
        <v>2036</v>
      </c>
      <c r="D772" s="352" t="s">
        <v>640</v>
      </c>
      <c r="E772" s="353">
        <f t="shared" si="15"/>
        <v>0</v>
      </c>
      <c r="F772" s="354"/>
      <c r="G772" s="355"/>
      <c r="H772" s="359"/>
      <c r="I772" s="356">
        <f>Таблица37[[#This Row],[Цена]]+Таблица37[[#This Row],[Трудозатраты]]</f>
        <v>0</v>
      </c>
      <c r="J772" s="357"/>
      <c r="K772" s="220" t="e">
        <f>VLOOKUP(Таблица37[[#This Row],[Оболочки]],'[3]Расчет себес оболочек'!$A$3:$E$35,5,0)</f>
        <v>#N/A</v>
      </c>
    </row>
    <row r="773" spans="2:11" x14ac:dyDescent="0.25">
      <c r="B773" s="350" t="s">
        <v>2037</v>
      </c>
      <c r="C773" s="351" t="s">
        <v>2038</v>
      </c>
      <c r="D773" s="352" t="s">
        <v>640</v>
      </c>
      <c r="E773" s="353">
        <f t="shared" si="15"/>
        <v>0</v>
      </c>
      <c r="F773" s="354"/>
      <c r="G773" s="355"/>
      <c r="H773" s="359"/>
      <c r="I773" s="356">
        <f>Таблица37[[#This Row],[Цена]]+Таблица37[[#This Row],[Трудозатраты]]</f>
        <v>0</v>
      </c>
      <c r="J773" s="357"/>
      <c r="K773" s="220" t="e">
        <f>VLOOKUP(Таблица37[[#This Row],[Оболочки]],'[3]Расчет себес оболочек'!$A$3:$E$35,5,0)</f>
        <v>#N/A</v>
      </c>
    </row>
    <row r="774" spans="2:11" x14ac:dyDescent="0.25">
      <c r="B774" s="350" t="s">
        <v>2039</v>
      </c>
      <c r="C774" s="351" t="s">
        <v>2040</v>
      </c>
      <c r="D774" s="352" t="s">
        <v>640</v>
      </c>
      <c r="E774" s="353">
        <f t="shared" si="15"/>
        <v>0</v>
      </c>
      <c r="F774" s="354"/>
      <c r="G774" s="355"/>
      <c r="H774" s="359"/>
      <c r="I774" s="356">
        <f>Таблица37[[#This Row],[Цена]]+Таблица37[[#This Row],[Трудозатраты]]</f>
        <v>0</v>
      </c>
      <c r="J774" s="357"/>
      <c r="K774" s="220" t="e">
        <f>VLOOKUP(Таблица37[[#This Row],[Оболочки]],'[3]Расчет себес оболочек'!$A$3:$E$35,5,0)</f>
        <v>#N/A</v>
      </c>
    </row>
    <row r="775" spans="2:11" x14ac:dyDescent="0.25">
      <c r="B775" s="350" t="s">
        <v>2041</v>
      </c>
      <c r="C775" s="351" t="s">
        <v>2042</v>
      </c>
      <c r="D775" s="352" t="s">
        <v>640</v>
      </c>
      <c r="E775" s="353">
        <f t="shared" si="15"/>
        <v>0</v>
      </c>
      <c r="F775" s="354"/>
      <c r="G775" s="355"/>
      <c r="H775" s="359"/>
      <c r="I775" s="356">
        <f>Таблица37[[#This Row],[Цена]]+Таблица37[[#This Row],[Трудозатраты]]</f>
        <v>0</v>
      </c>
      <c r="J775" s="357"/>
      <c r="K775" s="220" t="e">
        <f>VLOOKUP(Таблица37[[#This Row],[Оболочки]],'[3]Расчет себес оболочек'!$A$3:$E$35,5,0)</f>
        <v>#N/A</v>
      </c>
    </row>
    <row r="776" spans="2:11" x14ac:dyDescent="0.25">
      <c r="B776" s="350" t="s">
        <v>2043</v>
      </c>
      <c r="C776" s="351" t="s">
        <v>2044</v>
      </c>
      <c r="D776" s="352" t="s">
        <v>640</v>
      </c>
      <c r="E776" s="353">
        <f t="shared" si="15"/>
        <v>0</v>
      </c>
      <c r="F776" s="354"/>
      <c r="G776" s="355"/>
      <c r="H776" s="359"/>
      <c r="I776" s="356">
        <f>Таблица37[[#This Row],[Цена]]+Таблица37[[#This Row],[Трудозатраты]]</f>
        <v>0</v>
      </c>
      <c r="J776" s="357"/>
      <c r="K776" s="220" t="e">
        <f>VLOOKUP(Таблица37[[#This Row],[Оболочки]],'[3]Расчет себес оболочек'!$A$3:$E$35,5,0)</f>
        <v>#N/A</v>
      </c>
    </row>
    <row r="777" spans="2:11" x14ac:dyDescent="0.25">
      <c r="B777" s="350" t="s">
        <v>2045</v>
      </c>
      <c r="C777" s="351" t="s">
        <v>2046</v>
      </c>
      <c r="D777" s="352" t="s">
        <v>640</v>
      </c>
      <c r="E777" s="353">
        <f t="shared" si="15"/>
        <v>0</v>
      </c>
      <c r="F777" s="354"/>
      <c r="G777" s="355"/>
      <c r="H777" s="359"/>
      <c r="I777" s="356">
        <f>Таблица37[[#This Row],[Цена]]+Таблица37[[#This Row],[Трудозатраты]]</f>
        <v>0</v>
      </c>
      <c r="J777" s="357"/>
      <c r="K777" s="220" t="e">
        <f>VLOOKUP(Таблица37[[#This Row],[Оболочки]],'[3]Расчет себес оболочек'!$A$3:$E$35,5,0)</f>
        <v>#N/A</v>
      </c>
    </row>
    <row r="778" spans="2:11" x14ac:dyDescent="0.25">
      <c r="B778" s="350" t="s">
        <v>2047</v>
      </c>
      <c r="C778" s="351" t="s">
        <v>2048</v>
      </c>
      <c r="D778" s="352" t="s">
        <v>640</v>
      </c>
      <c r="E778" s="353">
        <f t="shared" si="15"/>
        <v>0</v>
      </c>
      <c r="F778" s="354"/>
      <c r="G778" s="355"/>
      <c r="H778" s="359"/>
      <c r="I778" s="356">
        <f>Таблица37[[#This Row],[Цена]]+Таблица37[[#This Row],[Трудозатраты]]</f>
        <v>0</v>
      </c>
      <c r="J778" s="357"/>
      <c r="K778" s="220" t="e">
        <f>VLOOKUP(Таблица37[[#This Row],[Оболочки]],'[3]Расчет себес оболочек'!$A$3:$E$35,5,0)</f>
        <v>#N/A</v>
      </c>
    </row>
    <row r="779" spans="2:11" x14ac:dyDescent="0.25">
      <c r="B779" s="350" t="s">
        <v>2049</v>
      </c>
      <c r="C779" s="351" t="s">
        <v>2050</v>
      </c>
      <c r="D779" s="352" t="s">
        <v>640</v>
      </c>
      <c r="E779" s="353">
        <f t="shared" si="15"/>
        <v>0</v>
      </c>
      <c r="F779" s="354"/>
      <c r="G779" s="355"/>
      <c r="H779" s="359"/>
      <c r="I779" s="356">
        <f>Таблица37[[#This Row],[Цена]]+Таблица37[[#This Row],[Трудозатраты]]</f>
        <v>0</v>
      </c>
      <c r="J779" s="357"/>
      <c r="K779" s="220" t="e">
        <f>VLOOKUP(Таблица37[[#This Row],[Оболочки]],'[3]Расчет себес оболочек'!$A$3:$E$35,5,0)</f>
        <v>#N/A</v>
      </c>
    </row>
    <row r="780" spans="2:11" x14ac:dyDescent="0.25">
      <c r="B780" s="350" t="s">
        <v>2051</v>
      </c>
      <c r="C780" s="351" t="s">
        <v>2052</v>
      </c>
      <c r="D780" s="352" t="s">
        <v>640</v>
      </c>
      <c r="E780" s="353">
        <f t="shared" si="15"/>
        <v>0</v>
      </c>
      <c r="F780" s="354"/>
      <c r="G780" s="355"/>
      <c r="H780" s="359"/>
      <c r="I780" s="356">
        <f>Таблица37[[#This Row],[Цена]]+Таблица37[[#This Row],[Трудозатраты]]</f>
        <v>0</v>
      </c>
      <c r="J780" s="357"/>
      <c r="K780" s="220" t="e">
        <f>VLOOKUP(Таблица37[[#This Row],[Оболочки]],'[3]Расчет себес оболочек'!$A$3:$E$35,5,0)</f>
        <v>#N/A</v>
      </c>
    </row>
    <row r="781" spans="2:11" x14ac:dyDescent="0.25">
      <c r="B781" s="350" t="s">
        <v>2053</v>
      </c>
      <c r="C781" s="351" t="s">
        <v>2054</v>
      </c>
      <c r="D781" s="352" t="s">
        <v>640</v>
      </c>
      <c r="E781" s="353">
        <f t="shared" si="15"/>
        <v>0</v>
      </c>
      <c r="F781" s="354"/>
      <c r="G781" s="355"/>
      <c r="H781" s="359"/>
      <c r="I781" s="356">
        <f>Таблица37[[#This Row],[Цена]]+Таблица37[[#This Row],[Трудозатраты]]</f>
        <v>0</v>
      </c>
      <c r="J781" s="357"/>
      <c r="K781" s="220" t="e">
        <f>VLOOKUP(Таблица37[[#This Row],[Оболочки]],'[3]Расчет себес оболочек'!$A$3:$E$35,5,0)</f>
        <v>#N/A</v>
      </c>
    </row>
    <row r="782" spans="2:11" x14ac:dyDescent="0.25">
      <c r="B782" s="350" t="s">
        <v>2055</v>
      </c>
      <c r="C782" s="351" t="s">
        <v>2056</v>
      </c>
      <c r="D782" s="352" t="s">
        <v>640</v>
      </c>
      <c r="E782" s="353">
        <f t="shared" si="15"/>
        <v>0</v>
      </c>
      <c r="F782" s="354"/>
      <c r="G782" s="355"/>
      <c r="H782" s="359"/>
      <c r="I782" s="356">
        <f>Таблица37[[#This Row],[Цена]]+Таблица37[[#This Row],[Трудозатраты]]</f>
        <v>0</v>
      </c>
      <c r="J782" s="357"/>
      <c r="K782" s="220" t="e">
        <f>VLOOKUP(Таблица37[[#This Row],[Оболочки]],'[3]Расчет себес оболочек'!$A$3:$E$35,5,0)</f>
        <v>#N/A</v>
      </c>
    </row>
    <row r="783" spans="2:11" x14ac:dyDescent="0.25">
      <c r="B783" s="350" t="s">
        <v>2057</v>
      </c>
      <c r="C783" s="351" t="s">
        <v>2058</v>
      </c>
      <c r="D783" s="352" t="s">
        <v>640</v>
      </c>
      <c r="E783" s="353">
        <f t="shared" si="15"/>
        <v>0</v>
      </c>
      <c r="F783" s="354"/>
      <c r="G783" s="355"/>
      <c r="H783" s="359"/>
      <c r="I783" s="356">
        <f>Таблица37[[#This Row],[Цена]]+Таблица37[[#This Row],[Трудозатраты]]</f>
        <v>0</v>
      </c>
      <c r="J783" s="357"/>
      <c r="K783" s="220" t="e">
        <f>VLOOKUP(Таблица37[[#This Row],[Оболочки]],'[3]Расчет себес оболочек'!$A$3:$E$35,5,0)</f>
        <v>#N/A</v>
      </c>
    </row>
    <row r="784" spans="2:11" x14ac:dyDescent="0.25">
      <c r="B784" s="350" t="s">
        <v>2059</v>
      </c>
      <c r="C784" s="351" t="s">
        <v>2060</v>
      </c>
      <c r="D784" s="352" t="s">
        <v>640</v>
      </c>
      <c r="E784" s="353">
        <f t="shared" si="15"/>
        <v>0</v>
      </c>
      <c r="F784" s="354"/>
      <c r="G784" s="355"/>
      <c r="H784" s="359"/>
      <c r="I784" s="356">
        <f>Таблица37[[#This Row],[Цена]]+Таблица37[[#This Row],[Трудозатраты]]</f>
        <v>0</v>
      </c>
      <c r="J784" s="357"/>
      <c r="K784" s="220" t="e">
        <f>VLOOKUP(Таблица37[[#This Row],[Оболочки]],'[3]Расчет себес оболочек'!$A$3:$E$35,5,0)</f>
        <v>#N/A</v>
      </c>
    </row>
    <row r="785" spans="2:11" x14ac:dyDescent="0.25">
      <c r="B785" s="350" t="s">
        <v>2061</v>
      </c>
      <c r="C785" s="351" t="s">
        <v>2062</v>
      </c>
      <c r="D785" s="352" t="s">
        <v>640</v>
      </c>
      <c r="E785" s="353">
        <f t="shared" si="15"/>
        <v>0</v>
      </c>
      <c r="F785" s="354"/>
      <c r="G785" s="355"/>
      <c r="H785" s="359"/>
      <c r="I785" s="356">
        <f>Таблица37[[#This Row],[Цена]]+Таблица37[[#This Row],[Трудозатраты]]</f>
        <v>0</v>
      </c>
      <c r="J785" s="357"/>
      <c r="K785" s="220" t="e">
        <f>VLOOKUP(Таблица37[[#This Row],[Оболочки]],'[3]Расчет себес оболочек'!$A$3:$E$35,5,0)</f>
        <v>#N/A</v>
      </c>
    </row>
    <row r="786" spans="2:11" x14ac:dyDescent="0.25">
      <c r="B786" s="350" t="s">
        <v>2063</v>
      </c>
      <c r="C786" s="351" t="s">
        <v>2064</v>
      </c>
      <c r="D786" s="352" t="s">
        <v>640</v>
      </c>
      <c r="E786" s="353">
        <f t="shared" si="15"/>
        <v>0</v>
      </c>
      <c r="F786" s="354"/>
      <c r="G786" s="355"/>
      <c r="H786" s="359"/>
      <c r="I786" s="356">
        <f>Таблица37[[#This Row],[Цена]]+Таблица37[[#This Row],[Трудозатраты]]</f>
        <v>0</v>
      </c>
      <c r="J786" s="357"/>
      <c r="K786" s="220" t="e">
        <f>VLOOKUP(Таблица37[[#This Row],[Оболочки]],'[3]Расчет себес оболочек'!$A$3:$E$35,5,0)</f>
        <v>#N/A</v>
      </c>
    </row>
    <row r="787" spans="2:11" x14ac:dyDescent="0.25">
      <c r="B787" s="350" t="s">
        <v>2065</v>
      </c>
      <c r="C787" s="351" t="s">
        <v>2066</v>
      </c>
      <c r="D787" s="352" t="s">
        <v>640</v>
      </c>
      <c r="E787" s="353">
        <f t="shared" si="15"/>
        <v>0</v>
      </c>
      <c r="F787" s="354"/>
      <c r="G787" s="355"/>
      <c r="H787" s="359"/>
      <c r="I787" s="356">
        <f>Таблица37[[#This Row],[Цена]]+Таблица37[[#This Row],[Трудозатраты]]</f>
        <v>0</v>
      </c>
      <c r="J787" s="357"/>
      <c r="K787" s="220" t="e">
        <f>VLOOKUP(Таблица37[[#This Row],[Оболочки]],'[3]Расчет себес оболочек'!$A$3:$E$35,5,0)</f>
        <v>#N/A</v>
      </c>
    </row>
    <row r="788" spans="2:11" x14ac:dyDescent="0.25">
      <c r="B788" s="350" t="s">
        <v>2067</v>
      </c>
      <c r="C788" s="361" t="s">
        <v>2068</v>
      </c>
      <c r="D788" s="352"/>
      <c r="E788" s="353">
        <v>846.98555999999996</v>
      </c>
      <c r="F788" s="354"/>
      <c r="G788" s="358" t="s">
        <v>2318</v>
      </c>
      <c r="H788" s="359">
        <v>159</v>
      </c>
      <c r="I788" s="356">
        <f>Таблица37[[#This Row],[Цена]]+Таблица37[[#This Row],[Трудозатраты]]</f>
        <v>1005.98556</v>
      </c>
      <c r="J788" s="357">
        <v>315</v>
      </c>
      <c r="K788" s="220" t="e">
        <f>VLOOKUP(Таблица37[[#This Row],[Оболочки]],'[3]Расчет себес оболочек'!$A$3:$E$35,5,0)</f>
        <v>#N/A</v>
      </c>
    </row>
    <row r="789" spans="2:11" x14ac:dyDescent="0.25">
      <c r="B789" s="350" t="s">
        <v>499</v>
      </c>
      <c r="C789" s="361" t="s">
        <v>500</v>
      </c>
      <c r="D789" s="352"/>
      <c r="E789" s="353">
        <v>846.98555999999996</v>
      </c>
      <c r="F789" s="354"/>
      <c r="G789" s="358" t="s">
        <v>2318</v>
      </c>
      <c r="H789" s="359">
        <v>159</v>
      </c>
      <c r="I789" s="356">
        <f>Таблица37[[#This Row],[Цена]]+Таблица37[[#This Row],[Трудозатраты]]</f>
        <v>1005.98556</v>
      </c>
      <c r="J789" s="357">
        <v>315</v>
      </c>
      <c r="K789" s="220" t="e">
        <f>VLOOKUP(Таблица37[[#This Row],[Оболочки]],'[3]Расчет себес оболочек'!$A$3:$E$35,5,0)</f>
        <v>#N/A</v>
      </c>
    </row>
    <row r="790" spans="2:11" x14ac:dyDescent="0.25">
      <c r="B790" s="350" t="s">
        <v>2069</v>
      </c>
      <c r="C790" s="361" t="s">
        <v>2070</v>
      </c>
      <c r="D790" s="352"/>
      <c r="E790" s="353">
        <v>846.98555999999996</v>
      </c>
      <c r="F790" s="354"/>
      <c r="G790" s="358" t="s">
        <v>2318</v>
      </c>
      <c r="H790" s="359">
        <v>159</v>
      </c>
      <c r="I790" s="356">
        <f>Таблица37[[#This Row],[Цена]]+Таблица37[[#This Row],[Трудозатраты]]</f>
        <v>1005.98556</v>
      </c>
      <c r="J790" s="357">
        <v>315</v>
      </c>
      <c r="K790" s="220" t="e">
        <f>VLOOKUP(Таблица37[[#This Row],[Оболочки]],'[3]Расчет себес оболочек'!$A$3:$E$35,5,0)</f>
        <v>#N/A</v>
      </c>
    </row>
    <row r="791" spans="2:11" x14ac:dyDescent="0.25">
      <c r="B791" s="350" t="s">
        <v>2071</v>
      </c>
      <c r="C791" s="361" t="s">
        <v>2072</v>
      </c>
      <c r="D791" s="352"/>
      <c r="E791" s="353">
        <v>846.98555999999996</v>
      </c>
      <c r="F791" s="354"/>
      <c r="G791" s="358" t="s">
        <v>2318</v>
      </c>
      <c r="H791" s="359">
        <v>159</v>
      </c>
      <c r="I791" s="356">
        <f>Таблица37[[#This Row],[Цена]]+Таблица37[[#This Row],[Трудозатраты]]</f>
        <v>1005.98556</v>
      </c>
      <c r="J791" s="357">
        <v>315</v>
      </c>
      <c r="K791" s="220" t="e">
        <f>VLOOKUP(Таблица37[[#This Row],[Оболочки]],'[3]Расчет себес оболочек'!$A$3:$E$35,5,0)</f>
        <v>#N/A</v>
      </c>
    </row>
    <row r="792" spans="2:11" x14ac:dyDescent="0.25">
      <c r="B792" s="350" t="s">
        <v>501</v>
      </c>
      <c r="C792" s="361" t="s">
        <v>502</v>
      </c>
      <c r="D792" s="352"/>
      <c r="E792" s="353">
        <v>846.98555999999996</v>
      </c>
      <c r="F792" s="354"/>
      <c r="G792" s="358" t="s">
        <v>2318</v>
      </c>
      <c r="H792" s="359">
        <v>159</v>
      </c>
      <c r="I792" s="356">
        <f>Таблица37[[#This Row],[Цена]]+Таблица37[[#This Row],[Трудозатраты]]</f>
        <v>1005.98556</v>
      </c>
      <c r="J792" s="357">
        <v>315</v>
      </c>
      <c r="K792" s="220" t="e">
        <f>VLOOKUP(Таблица37[[#This Row],[Оболочки]],'[3]Расчет себес оболочек'!$A$3:$E$35,5,0)</f>
        <v>#N/A</v>
      </c>
    </row>
    <row r="793" spans="2:11" x14ac:dyDescent="0.25">
      <c r="B793" s="350" t="s">
        <v>2073</v>
      </c>
      <c r="C793" s="361" t="s">
        <v>2074</v>
      </c>
      <c r="D793" s="352"/>
      <c r="E793" s="353">
        <v>846.98555999999996</v>
      </c>
      <c r="F793" s="354"/>
      <c r="G793" s="358" t="s">
        <v>2318</v>
      </c>
      <c r="H793" s="359">
        <v>159</v>
      </c>
      <c r="I793" s="356">
        <f>Таблица37[[#This Row],[Цена]]+Таблица37[[#This Row],[Трудозатраты]]</f>
        <v>1005.98556</v>
      </c>
      <c r="J793" s="357">
        <v>315</v>
      </c>
      <c r="K793" s="220" t="e">
        <f>VLOOKUP(Таблица37[[#This Row],[Оболочки]],'[3]Расчет себес оболочек'!$A$3:$E$35,5,0)</f>
        <v>#N/A</v>
      </c>
    </row>
    <row r="794" spans="2:11" x14ac:dyDescent="0.25">
      <c r="B794" s="350" t="s">
        <v>504</v>
      </c>
      <c r="C794" s="361" t="s">
        <v>505</v>
      </c>
      <c r="D794" s="352"/>
      <c r="E794" s="353">
        <v>846.98555999999996</v>
      </c>
      <c r="F794" s="354"/>
      <c r="G794" s="358" t="s">
        <v>2318</v>
      </c>
      <c r="H794" s="359">
        <v>159</v>
      </c>
      <c r="I794" s="356">
        <f>Таблица37[[#This Row],[Цена]]+Таблица37[[#This Row],[Трудозатраты]]</f>
        <v>1005.98556</v>
      </c>
      <c r="J794" s="357">
        <v>315</v>
      </c>
      <c r="K794" s="220" t="e">
        <f>VLOOKUP(Таблица37[[#This Row],[Оболочки]],'[3]Расчет себес оболочек'!$A$3:$E$35,5,0)</f>
        <v>#N/A</v>
      </c>
    </row>
    <row r="795" spans="2:11" x14ac:dyDescent="0.25">
      <c r="B795" s="350" t="s">
        <v>2075</v>
      </c>
      <c r="C795" s="361" t="s">
        <v>2076</v>
      </c>
      <c r="D795" s="352"/>
      <c r="E795" s="353">
        <v>846.98555999999996</v>
      </c>
      <c r="F795" s="354"/>
      <c r="G795" s="358" t="s">
        <v>2318</v>
      </c>
      <c r="H795" s="359">
        <v>159</v>
      </c>
      <c r="I795" s="356">
        <f>Таблица37[[#This Row],[Цена]]+Таблица37[[#This Row],[Трудозатраты]]</f>
        <v>1005.98556</v>
      </c>
      <c r="J795" s="357">
        <v>315</v>
      </c>
      <c r="K795" s="220" t="e">
        <f>VLOOKUP(Таблица37[[#This Row],[Оболочки]],'[3]Расчет себес оболочек'!$A$3:$E$35,5,0)</f>
        <v>#N/A</v>
      </c>
    </row>
    <row r="796" spans="2:11" x14ac:dyDescent="0.25">
      <c r="B796" s="350" t="s">
        <v>2077</v>
      </c>
      <c r="C796" s="361" t="s">
        <v>2078</v>
      </c>
      <c r="D796" s="352"/>
      <c r="E796" s="353">
        <v>846.98555999999996</v>
      </c>
      <c r="F796" s="354"/>
      <c r="G796" s="358" t="s">
        <v>2318</v>
      </c>
      <c r="H796" s="359">
        <v>159</v>
      </c>
      <c r="I796" s="356">
        <f>Таблица37[[#This Row],[Цена]]+Таблица37[[#This Row],[Трудозатраты]]</f>
        <v>1005.98556</v>
      </c>
      <c r="J796" s="357">
        <v>315</v>
      </c>
      <c r="K796" s="220" t="e">
        <f>VLOOKUP(Таблица37[[#This Row],[Оболочки]],'[3]Расчет себес оболочек'!$A$3:$E$35,5,0)</f>
        <v>#N/A</v>
      </c>
    </row>
    <row r="797" spans="2:11" x14ac:dyDescent="0.25">
      <c r="B797" s="350" t="s">
        <v>512</v>
      </c>
      <c r="C797" s="361" t="s">
        <v>513</v>
      </c>
      <c r="D797" s="352"/>
      <c r="E797" s="353">
        <v>846.98555999999996</v>
      </c>
      <c r="F797" s="354"/>
      <c r="G797" s="358" t="s">
        <v>2318</v>
      </c>
      <c r="H797" s="359">
        <v>159</v>
      </c>
      <c r="I797" s="356">
        <f>Таблица37[[#This Row],[Цена]]+Таблица37[[#This Row],[Трудозатраты]]</f>
        <v>1005.98556</v>
      </c>
      <c r="J797" s="357">
        <v>315</v>
      </c>
      <c r="K797" s="220" t="e">
        <f>VLOOKUP(Таблица37[[#This Row],[Оболочки]],'[3]Расчет себес оболочек'!$A$3:$E$35,5,0)</f>
        <v>#N/A</v>
      </c>
    </row>
    <row r="798" spans="2:11" x14ac:dyDescent="0.25">
      <c r="B798" s="350" t="s">
        <v>2079</v>
      </c>
      <c r="C798" s="361" t="s">
        <v>2080</v>
      </c>
      <c r="D798" s="352"/>
      <c r="E798" s="353">
        <v>846.98555999999996</v>
      </c>
      <c r="F798" s="354"/>
      <c r="G798" s="358" t="s">
        <v>2318</v>
      </c>
      <c r="H798" s="359">
        <v>159</v>
      </c>
      <c r="I798" s="356">
        <f>Таблица37[[#This Row],[Цена]]+Таблица37[[#This Row],[Трудозатраты]]</f>
        <v>1005.98556</v>
      </c>
      <c r="J798" s="357">
        <v>315</v>
      </c>
      <c r="K798" s="220" t="e">
        <f>VLOOKUP(Таблица37[[#This Row],[Оболочки]],'[3]Расчет себес оболочек'!$A$3:$E$35,5,0)</f>
        <v>#N/A</v>
      </c>
    </row>
    <row r="799" spans="2:11" x14ac:dyDescent="0.25">
      <c r="B799" s="350" t="s">
        <v>506</v>
      </c>
      <c r="C799" s="361" t="s">
        <v>507</v>
      </c>
      <c r="D799" s="352"/>
      <c r="E799" s="353">
        <v>846.98555999999996</v>
      </c>
      <c r="F799" s="354"/>
      <c r="G799" s="358" t="s">
        <v>2318</v>
      </c>
      <c r="H799" s="359">
        <v>159</v>
      </c>
      <c r="I799" s="356">
        <f>Таблица37[[#This Row],[Цена]]+Таблица37[[#This Row],[Трудозатраты]]</f>
        <v>1005.98556</v>
      </c>
      <c r="J799" s="357">
        <v>315</v>
      </c>
      <c r="K799" s="220" t="e">
        <f>VLOOKUP(Таблица37[[#This Row],[Оболочки]],'[3]Расчет себес оболочек'!$A$3:$E$35,5,0)</f>
        <v>#N/A</v>
      </c>
    </row>
    <row r="800" spans="2:11" x14ac:dyDescent="0.25">
      <c r="B800" s="350" t="s">
        <v>2081</v>
      </c>
      <c r="C800" s="361" t="s">
        <v>2082</v>
      </c>
      <c r="D800" s="352"/>
      <c r="E800" s="353">
        <v>846.98555999999996</v>
      </c>
      <c r="F800" s="354"/>
      <c r="G800" s="358" t="s">
        <v>2318</v>
      </c>
      <c r="H800" s="359">
        <v>159</v>
      </c>
      <c r="I800" s="356">
        <f>Таблица37[[#This Row],[Цена]]+Таблица37[[#This Row],[Трудозатраты]]</f>
        <v>1005.98556</v>
      </c>
      <c r="J800" s="357">
        <v>315</v>
      </c>
      <c r="K800" s="220" t="e">
        <f>VLOOKUP(Таблица37[[#This Row],[Оболочки]],'[3]Расчет себес оболочек'!$A$3:$E$35,5,0)</f>
        <v>#N/A</v>
      </c>
    </row>
    <row r="801" spans="2:11" x14ac:dyDescent="0.25">
      <c r="B801" s="350" t="s">
        <v>2083</v>
      </c>
      <c r="C801" s="361" t="s">
        <v>2084</v>
      </c>
      <c r="D801" s="352"/>
      <c r="E801" s="353">
        <v>846.98555999999996</v>
      </c>
      <c r="F801" s="354"/>
      <c r="G801" s="358" t="s">
        <v>2318</v>
      </c>
      <c r="H801" s="359">
        <v>159</v>
      </c>
      <c r="I801" s="356">
        <f>Таблица37[[#This Row],[Цена]]+Таблица37[[#This Row],[Трудозатраты]]</f>
        <v>1005.98556</v>
      </c>
      <c r="J801" s="357">
        <v>315</v>
      </c>
      <c r="K801" s="220" t="e">
        <f>VLOOKUP(Таблица37[[#This Row],[Оболочки]],'[3]Расчет себес оболочек'!$A$3:$E$35,5,0)</f>
        <v>#N/A</v>
      </c>
    </row>
    <row r="802" spans="2:11" x14ac:dyDescent="0.25">
      <c r="B802" s="350" t="s">
        <v>514</v>
      </c>
      <c r="C802" s="361" t="s">
        <v>515</v>
      </c>
      <c r="D802" s="352"/>
      <c r="E802" s="353">
        <v>846.98555999999996</v>
      </c>
      <c r="F802" s="354"/>
      <c r="G802" s="358" t="s">
        <v>2318</v>
      </c>
      <c r="H802" s="359">
        <v>159</v>
      </c>
      <c r="I802" s="356">
        <f>Таблица37[[#This Row],[Цена]]+Таблица37[[#This Row],[Трудозатраты]]</f>
        <v>1005.98556</v>
      </c>
      <c r="J802" s="357">
        <v>315</v>
      </c>
      <c r="K802" s="220" t="e">
        <f>VLOOKUP(Таблица37[[#This Row],[Оболочки]],'[3]Расчет себес оболочек'!$A$3:$E$35,5,0)</f>
        <v>#N/A</v>
      </c>
    </row>
    <row r="803" spans="2:11" x14ac:dyDescent="0.25">
      <c r="B803" s="350" t="s">
        <v>2085</v>
      </c>
      <c r="C803" s="361" t="s">
        <v>2086</v>
      </c>
      <c r="D803" s="352"/>
      <c r="E803" s="353">
        <v>846.98555999999996</v>
      </c>
      <c r="F803" s="354"/>
      <c r="G803" s="358" t="s">
        <v>2318</v>
      </c>
      <c r="H803" s="359">
        <v>159</v>
      </c>
      <c r="I803" s="356">
        <f>Таблица37[[#This Row],[Цена]]+Таблица37[[#This Row],[Трудозатраты]]</f>
        <v>1005.98556</v>
      </c>
      <c r="J803" s="357">
        <v>315</v>
      </c>
      <c r="K803" s="220" t="e">
        <f>VLOOKUP(Таблица37[[#This Row],[Оболочки]],'[3]Расчет себес оболочек'!$A$3:$E$35,5,0)</f>
        <v>#N/A</v>
      </c>
    </row>
    <row r="804" spans="2:11" x14ac:dyDescent="0.25">
      <c r="B804" s="350" t="s">
        <v>508</v>
      </c>
      <c r="C804" s="361" t="s">
        <v>509</v>
      </c>
      <c r="D804" s="352"/>
      <c r="E804" s="353">
        <v>846.98555999999996</v>
      </c>
      <c r="F804" s="354"/>
      <c r="G804" s="358" t="s">
        <v>2318</v>
      </c>
      <c r="H804" s="359">
        <v>159</v>
      </c>
      <c r="I804" s="356">
        <f>Таблица37[[#This Row],[Цена]]+Таблица37[[#This Row],[Трудозатраты]]</f>
        <v>1005.98556</v>
      </c>
      <c r="J804" s="357">
        <v>315</v>
      </c>
      <c r="K804" s="220" t="e">
        <f>VLOOKUP(Таблица37[[#This Row],[Оболочки]],'[3]Расчет себес оболочек'!$A$3:$E$35,5,0)</f>
        <v>#N/A</v>
      </c>
    </row>
    <row r="805" spans="2:11" x14ac:dyDescent="0.25">
      <c r="B805" s="350" t="s">
        <v>2087</v>
      </c>
      <c r="C805" s="361" t="s">
        <v>2088</v>
      </c>
      <c r="D805" s="352"/>
      <c r="E805" s="353">
        <v>846.98555999999996</v>
      </c>
      <c r="F805" s="354"/>
      <c r="G805" s="358" t="s">
        <v>2318</v>
      </c>
      <c r="H805" s="359">
        <v>159</v>
      </c>
      <c r="I805" s="356">
        <f>Таблица37[[#This Row],[Цена]]+Таблица37[[#This Row],[Трудозатраты]]</f>
        <v>1005.98556</v>
      </c>
      <c r="J805" s="357">
        <v>315</v>
      </c>
      <c r="K805" s="220" t="e">
        <f>VLOOKUP(Таблица37[[#This Row],[Оболочки]],'[3]Расчет себес оболочек'!$A$3:$E$35,5,0)</f>
        <v>#N/A</v>
      </c>
    </row>
    <row r="806" spans="2:11" x14ac:dyDescent="0.25">
      <c r="B806" s="350" t="s">
        <v>2089</v>
      </c>
      <c r="C806" s="361" t="s">
        <v>2090</v>
      </c>
      <c r="D806" s="352"/>
      <c r="E806" s="353">
        <v>846.98555999999996</v>
      </c>
      <c r="F806" s="354"/>
      <c r="G806" s="358" t="s">
        <v>2318</v>
      </c>
      <c r="H806" s="359">
        <v>159</v>
      </c>
      <c r="I806" s="356">
        <f>Таблица37[[#This Row],[Цена]]+Таблица37[[#This Row],[Трудозатраты]]</f>
        <v>1005.98556</v>
      </c>
      <c r="J806" s="357">
        <v>315</v>
      </c>
      <c r="K806" s="220" t="e">
        <f>VLOOKUP(Таблица37[[#This Row],[Оболочки]],'[3]Расчет себес оболочек'!$A$3:$E$35,5,0)</f>
        <v>#N/A</v>
      </c>
    </row>
    <row r="807" spans="2:11" x14ac:dyDescent="0.25">
      <c r="B807" s="350" t="s">
        <v>516</v>
      </c>
      <c r="C807" s="361" t="s">
        <v>517</v>
      </c>
      <c r="D807" s="352"/>
      <c r="E807" s="353">
        <v>846.98555999999996</v>
      </c>
      <c r="F807" s="354"/>
      <c r="G807" s="358" t="s">
        <v>2318</v>
      </c>
      <c r="H807" s="359">
        <v>159</v>
      </c>
      <c r="I807" s="356">
        <f>Таблица37[[#This Row],[Цена]]+Таблица37[[#This Row],[Трудозатраты]]</f>
        <v>1005.98556</v>
      </c>
      <c r="J807" s="357">
        <v>315</v>
      </c>
      <c r="K807" s="220" t="e">
        <f>VLOOKUP(Таблица37[[#This Row],[Оболочки]],'[3]Расчет себес оболочек'!$A$3:$E$35,5,0)</f>
        <v>#N/A</v>
      </c>
    </row>
    <row r="808" spans="2:11" x14ac:dyDescent="0.25">
      <c r="B808" s="350" t="s">
        <v>2091</v>
      </c>
      <c r="C808" s="361" t="s">
        <v>2092</v>
      </c>
      <c r="D808" s="352"/>
      <c r="E808" s="353">
        <v>846.98555999999996</v>
      </c>
      <c r="F808" s="354"/>
      <c r="G808" s="358" t="s">
        <v>2318</v>
      </c>
      <c r="H808" s="359">
        <v>159</v>
      </c>
      <c r="I808" s="356">
        <f>Таблица37[[#This Row],[Цена]]+Таблица37[[#This Row],[Трудозатраты]]</f>
        <v>1005.98556</v>
      </c>
      <c r="J808" s="357">
        <v>315</v>
      </c>
      <c r="K808" s="220" t="e">
        <f>VLOOKUP(Таблица37[[#This Row],[Оболочки]],'[3]Расчет себес оболочек'!$A$3:$E$35,5,0)</f>
        <v>#N/A</v>
      </c>
    </row>
    <row r="809" spans="2:11" x14ac:dyDescent="0.25">
      <c r="B809" s="350" t="s">
        <v>510</v>
      </c>
      <c r="C809" s="361" t="s">
        <v>511</v>
      </c>
      <c r="D809" s="352"/>
      <c r="E809" s="353">
        <v>846.98555999999996</v>
      </c>
      <c r="F809" s="354"/>
      <c r="G809" s="358" t="s">
        <v>2318</v>
      </c>
      <c r="H809" s="359">
        <v>159</v>
      </c>
      <c r="I809" s="356">
        <f>Таблица37[[#This Row],[Цена]]+Таблица37[[#This Row],[Трудозатраты]]</f>
        <v>1005.98556</v>
      </c>
      <c r="J809" s="357">
        <v>315</v>
      </c>
      <c r="K809" s="220" t="e">
        <f>VLOOKUP(Таблица37[[#This Row],[Оболочки]],'[3]Расчет себес оболочек'!$A$3:$E$35,5,0)</f>
        <v>#N/A</v>
      </c>
    </row>
    <row r="810" spans="2:11" x14ac:dyDescent="0.25">
      <c r="B810" s="350" t="s">
        <v>2093</v>
      </c>
      <c r="C810" s="361" t="s">
        <v>2094</v>
      </c>
      <c r="D810" s="352"/>
      <c r="E810" s="353">
        <v>846.98555999999996</v>
      </c>
      <c r="F810" s="354"/>
      <c r="G810" s="358" t="s">
        <v>2318</v>
      </c>
      <c r="H810" s="359">
        <v>159</v>
      </c>
      <c r="I810" s="356">
        <f>Таблица37[[#This Row],[Цена]]+Таблица37[[#This Row],[Трудозатраты]]</f>
        <v>1005.98556</v>
      </c>
      <c r="J810" s="357">
        <v>315</v>
      </c>
      <c r="K810" s="220" t="e">
        <f>VLOOKUP(Таблица37[[#This Row],[Оболочки]],'[3]Расчет себес оболочек'!$A$3:$E$35,5,0)</f>
        <v>#N/A</v>
      </c>
    </row>
    <row r="811" spans="2:11" x14ac:dyDescent="0.25">
      <c r="B811" s="350" t="s">
        <v>2095</v>
      </c>
      <c r="C811" s="361" t="s">
        <v>2096</v>
      </c>
      <c r="D811" s="352"/>
      <c r="E811" s="353">
        <v>846.98555999999996</v>
      </c>
      <c r="F811" s="354"/>
      <c r="G811" s="358" t="s">
        <v>2318</v>
      </c>
      <c r="H811" s="359">
        <v>159</v>
      </c>
      <c r="I811" s="356">
        <f>Таблица37[[#This Row],[Цена]]+Таблица37[[#This Row],[Трудозатраты]]</f>
        <v>1005.98556</v>
      </c>
      <c r="J811" s="357">
        <v>315</v>
      </c>
      <c r="K811" s="220" t="e">
        <f>VLOOKUP(Таблица37[[#This Row],[Оболочки]],'[3]Расчет себес оболочек'!$A$3:$E$35,5,0)</f>
        <v>#N/A</v>
      </c>
    </row>
    <row r="812" spans="2:11" x14ac:dyDescent="0.25">
      <c r="B812" s="350" t="s">
        <v>518</v>
      </c>
      <c r="C812" s="361" t="s">
        <v>519</v>
      </c>
      <c r="D812" s="352"/>
      <c r="E812" s="353">
        <v>846.98555999999996</v>
      </c>
      <c r="F812" s="354"/>
      <c r="G812" s="358" t="s">
        <v>2318</v>
      </c>
      <c r="H812" s="359">
        <v>159</v>
      </c>
      <c r="I812" s="356">
        <f>Таблица37[[#This Row],[Цена]]+Таблица37[[#This Row],[Трудозатраты]]</f>
        <v>1005.98556</v>
      </c>
      <c r="J812" s="357">
        <v>315</v>
      </c>
      <c r="K812" s="220" t="e">
        <f>VLOOKUP(Таблица37[[#This Row],[Оболочки]],'[3]Расчет себес оболочек'!$A$3:$E$35,5,0)</f>
        <v>#N/A</v>
      </c>
    </row>
    <row r="813" spans="2:11" x14ac:dyDescent="0.25">
      <c r="B813" s="350" t="s">
        <v>546</v>
      </c>
      <c r="C813" s="361" t="s">
        <v>547</v>
      </c>
      <c r="D813" s="352"/>
      <c r="E813" s="353">
        <f t="shared" ref="E813:E871" si="16">J813</f>
        <v>1345</v>
      </c>
      <c r="F813" s="354"/>
      <c r="G813" s="358" t="s">
        <v>2317</v>
      </c>
      <c r="H813" s="359">
        <v>159</v>
      </c>
      <c r="I813" s="356">
        <f>Таблица37[[#This Row],[Цена]]+Таблица37[[#This Row],[Трудозатраты]]</f>
        <v>1504</v>
      </c>
      <c r="J813" s="357">
        <v>1345</v>
      </c>
      <c r="K813" s="220" t="e">
        <f>VLOOKUP(Таблица37[[#This Row],[Оболочки]],'[3]Расчет себес оболочек'!$A$3:$E$35,5,0)</f>
        <v>#N/A</v>
      </c>
    </row>
    <row r="814" spans="2:11" x14ac:dyDescent="0.25">
      <c r="B814" s="350" t="s">
        <v>548</v>
      </c>
      <c r="C814" s="361" t="s">
        <v>549</v>
      </c>
      <c r="D814" s="352"/>
      <c r="E814" s="353">
        <f t="shared" si="16"/>
        <v>1345</v>
      </c>
      <c r="F814" s="354"/>
      <c r="G814" s="358" t="s">
        <v>2317</v>
      </c>
      <c r="H814" s="359">
        <v>159</v>
      </c>
      <c r="I814" s="356">
        <f>Таблица37[[#This Row],[Цена]]+Таблица37[[#This Row],[Трудозатраты]]</f>
        <v>1504</v>
      </c>
      <c r="J814" s="357">
        <v>1345</v>
      </c>
      <c r="K814" s="220" t="e">
        <f>VLOOKUP(Таблица37[[#This Row],[Оболочки]],'[3]Расчет себес оболочек'!$A$3:$E$35,5,0)</f>
        <v>#N/A</v>
      </c>
    </row>
    <row r="815" spans="2:11" x14ac:dyDescent="0.25">
      <c r="B815" s="350" t="s">
        <v>550</v>
      </c>
      <c r="C815" s="361" t="s">
        <v>551</v>
      </c>
      <c r="D815" s="352"/>
      <c r="E815" s="353">
        <f t="shared" si="16"/>
        <v>1345</v>
      </c>
      <c r="F815" s="354"/>
      <c r="G815" s="358" t="s">
        <v>2317</v>
      </c>
      <c r="H815" s="359">
        <v>159</v>
      </c>
      <c r="I815" s="356">
        <f>Таблица37[[#This Row],[Цена]]+Таблица37[[#This Row],[Трудозатраты]]</f>
        <v>1504</v>
      </c>
      <c r="J815" s="357">
        <v>1345</v>
      </c>
      <c r="K815" s="220" t="e">
        <f>VLOOKUP(Таблица37[[#This Row],[Оболочки]],'[3]Расчет себес оболочек'!$A$3:$E$35,5,0)</f>
        <v>#N/A</v>
      </c>
    </row>
    <row r="816" spans="2:11" x14ac:dyDescent="0.25">
      <c r="B816" s="350" t="s">
        <v>552</v>
      </c>
      <c r="C816" s="361" t="s">
        <v>553</v>
      </c>
      <c r="D816" s="352"/>
      <c r="E816" s="353">
        <f t="shared" si="16"/>
        <v>1195</v>
      </c>
      <c r="F816" s="354"/>
      <c r="G816" s="358" t="s">
        <v>2317</v>
      </c>
      <c r="H816" s="359">
        <v>159</v>
      </c>
      <c r="I816" s="356">
        <f>Таблица37[[#This Row],[Цена]]+Таблица37[[#This Row],[Трудозатраты]]</f>
        <v>1354</v>
      </c>
      <c r="J816" s="357">
        <v>1195</v>
      </c>
      <c r="K816" s="220" t="e">
        <f>VLOOKUP(Таблица37[[#This Row],[Оболочки]],'[3]Расчет себес оболочек'!$A$3:$E$35,5,0)</f>
        <v>#N/A</v>
      </c>
    </row>
    <row r="817" spans="2:11" x14ac:dyDescent="0.25">
      <c r="B817" s="350" t="s">
        <v>554</v>
      </c>
      <c r="C817" s="361" t="s">
        <v>555</v>
      </c>
      <c r="D817" s="352"/>
      <c r="E817" s="353">
        <f t="shared" si="16"/>
        <v>1195</v>
      </c>
      <c r="F817" s="354"/>
      <c r="G817" s="358" t="s">
        <v>2317</v>
      </c>
      <c r="H817" s="359">
        <v>159</v>
      </c>
      <c r="I817" s="356">
        <f>Таблица37[[#This Row],[Цена]]+Таблица37[[#This Row],[Трудозатраты]]</f>
        <v>1354</v>
      </c>
      <c r="J817" s="357">
        <v>1195</v>
      </c>
      <c r="K817" s="220" t="e">
        <f>VLOOKUP(Таблица37[[#This Row],[Оболочки]],'[3]Расчет себес оболочек'!$A$3:$E$35,5,0)</f>
        <v>#N/A</v>
      </c>
    </row>
    <row r="818" spans="2:11" x14ac:dyDescent="0.25">
      <c r="B818" s="350" t="s">
        <v>556</v>
      </c>
      <c r="C818" s="361" t="s">
        <v>557</v>
      </c>
      <c r="D818" s="352"/>
      <c r="E818" s="353">
        <f t="shared" si="16"/>
        <v>1345</v>
      </c>
      <c r="F818" s="354"/>
      <c r="G818" s="358" t="s">
        <v>2317</v>
      </c>
      <c r="H818" s="359">
        <v>159</v>
      </c>
      <c r="I818" s="356">
        <f>Таблица37[[#This Row],[Цена]]+Таблица37[[#This Row],[Трудозатраты]]</f>
        <v>1504</v>
      </c>
      <c r="J818" s="357">
        <v>1345</v>
      </c>
      <c r="K818" s="220" t="e">
        <f>VLOOKUP(Таблица37[[#This Row],[Оболочки]],'[3]Расчет себес оболочек'!$A$3:$E$35,5,0)</f>
        <v>#N/A</v>
      </c>
    </row>
    <row r="819" spans="2:11" x14ac:dyDescent="0.25">
      <c r="B819" s="350" t="s">
        <v>558</v>
      </c>
      <c r="C819" s="361" t="s">
        <v>559</v>
      </c>
      <c r="D819" s="352"/>
      <c r="E819" s="353">
        <f t="shared" si="16"/>
        <v>1345</v>
      </c>
      <c r="F819" s="354"/>
      <c r="G819" s="358" t="s">
        <v>2317</v>
      </c>
      <c r="H819" s="359">
        <v>159</v>
      </c>
      <c r="I819" s="356">
        <f>Таблица37[[#This Row],[Цена]]+Таблица37[[#This Row],[Трудозатраты]]</f>
        <v>1504</v>
      </c>
      <c r="J819" s="357">
        <v>1345</v>
      </c>
      <c r="K819" s="220" t="e">
        <f>VLOOKUP(Таблица37[[#This Row],[Оболочки]],'[3]Расчет себес оболочек'!$A$3:$E$35,5,0)</f>
        <v>#N/A</v>
      </c>
    </row>
    <row r="820" spans="2:11" x14ac:dyDescent="0.25">
      <c r="B820" s="350" t="s">
        <v>560</v>
      </c>
      <c r="C820" s="361" t="s">
        <v>561</v>
      </c>
      <c r="D820" s="352"/>
      <c r="E820" s="353">
        <f t="shared" si="16"/>
        <v>1345</v>
      </c>
      <c r="F820" s="354"/>
      <c r="G820" s="358" t="s">
        <v>2317</v>
      </c>
      <c r="H820" s="359">
        <v>159</v>
      </c>
      <c r="I820" s="356">
        <f>Таблица37[[#This Row],[Цена]]+Таблица37[[#This Row],[Трудозатраты]]</f>
        <v>1504</v>
      </c>
      <c r="J820" s="357">
        <v>1345</v>
      </c>
      <c r="K820" s="220" t="e">
        <f>VLOOKUP(Таблица37[[#This Row],[Оболочки]],'[3]Расчет себес оболочек'!$A$3:$E$35,5,0)</f>
        <v>#N/A</v>
      </c>
    </row>
    <row r="821" spans="2:11" x14ac:dyDescent="0.25">
      <c r="B821" s="350" t="s">
        <v>562</v>
      </c>
      <c r="C821" s="361" t="s">
        <v>563</v>
      </c>
      <c r="D821" s="352"/>
      <c r="E821" s="353">
        <f t="shared" si="16"/>
        <v>1195</v>
      </c>
      <c r="F821" s="354"/>
      <c r="G821" s="358" t="s">
        <v>2317</v>
      </c>
      <c r="H821" s="359">
        <v>159</v>
      </c>
      <c r="I821" s="356">
        <f>Таблица37[[#This Row],[Цена]]+Таблица37[[#This Row],[Трудозатраты]]</f>
        <v>1354</v>
      </c>
      <c r="J821" s="357">
        <v>1195</v>
      </c>
      <c r="K821" s="220" t="e">
        <f>VLOOKUP(Таблица37[[#This Row],[Оболочки]],'[3]Расчет себес оболочек'!$A$3:$E$35,5,0)</f>
        <v>#N/A</v>
      </c>
    </row>
    <row r="822" spans="2:11" x14ac:dyDescent="0.25">
      <c r="B822" s="350" t="s">
        <v>564</v>
      </c>
      <c r="C822" s="361" t="s">
        <v>565</v>
      </c>
      <c r="D822" s="352"/>
      <c r="E822" s="353">
        <f t="shared" si="16"/>
        <v>1195</v>
      </c>
      <c r="F822" s="354"/>
      <c r="G822" s="358" t="s">
        <v>2317</v>
      </c>
      <c r="H822" s="359">
        <v>159</v>
      </c>
      <c r="I822" s="356">
        <f>Таблица37[[#This Row],[Цена]]+Таблица37[[#This Row],[Трудозатраты]]</f>
        <v>1354</v>
      </c>
      <c r="J822" s="357">
        <v>1195</v>
      </c>
      <c r="K822" s="220" t="e">
        <f>VLOOKUP(Таблица37[[#This Row],[Оболочки]],'[3]Расчет себес оболочек'!$A$3:$E$35,5,0)</f>
        <v>#N/A</v>
      </c>
    </row>
    <row r="823" spans="2:11" x14ac:dyDescent="0.25">
      <c r="B823" s="350" t="s">
        <v>566</v>
      </c>
      <c r="C823" s="361" t="s">
        <v>567</v>
      </c>
      <c r="D823" s="352"/>
      <c r="E823" s="353">
        <f t="shared" si="16"/>
        <v>1345</v>
      </c>
      <c r="F823" s="354"/>
      <c r="G823" s="358" t="s">
        <v>2317</v>
      </c>
      <c r="H823" s="359">
        <v>159</v>
      </c>
      <c r="I823" s="356">
        <f>Таблица37[[#This Row],[Цена]]+Таблица37[[#This Row],[Трудозатраты]]</f>
        <v>1504</v>
      </c>
      <c r="J823" s="357">
        <v>1345</v>
      </c>
      <c r="K823" s="220" t="e">
        <f>VLOOKUP(Таблица37[[#This Row],[Оболочки]],'[3]Расчет себес оболочек'!$A$3:$E$35,5,0)</f>
        <v>#N/A</v>
      </c>
    </row>
    <row r="824" spans="2:11" x14ac:dyDescent="0.25">
      <c r="B824" s="350" t="s">
        <v>568</v>
      </c>
      <c r="C824" s="361" t="s">
        <v>569</v>
      </c>
      <c r="D824" s="352"/>
      <c r="E824" s="353">
        <f t="shared" si="16"/>
        <v>1345</v>
      </c>
      <c r="F824" s="354"/>
      <c r="G824" s="358" t="s">
        <v>2317</v>
      </c>
      <c r="H824" s="359">
        <v>159</v>
      </c>
      <c r="I824" s="356">
        <f>Таблица37[[#This Row],[Цена]]+Таблица37[[#This Row],[Трудозатраты]]</f>
        <v>1504</v>
      </c>
      <c r="J824" s="357">
        <v>1345</v>
      </c>
      <c r="K824" s="220" t="e">
        <f>VLOOKUP(Таблица37[[#This Row],[Оболочки]],'[3]Расчет себес оболочек'!$A$3:$E$35,5,0)</f>
        <v>#N/A</v>
      </c>
    </row>
    <row r="825" spans="2:11" x14ac:dyDescent="0.25">
      <c r="B825" s="350" t="s">
        <v>570</v>
      </c>
      <c r="C825" s="361" t="s">
        <v>571</v>
      </c>
      <c r="D825" s="352"/>
      <c r="E825" s="353">
        <f t="shared" si="16"/>
        <v>1345</v>
      </c>
      <c r="F825" s="354"/>
      <c r="G825" s="358" t="s">
        <v>2317</v>
      </c>
      <c r="H825" s="359">
        <v>159</v>
      </c>
      <c r="I825" s="356">
        <f>Таблица37[[#This Row],[Цена]]+Таблица37[[#This Row],[Трудозатраты]]</f>
        <v>1504</v>
      </c>
      <c r="J825" s="357">
        <v>1345</v>
      </c>
      <c r="K825" s="220" t="e">
        <f>VLOOKUP(Таблица37[[#This Row],[Оболочки]],'[3]Расчет себес оболочек'!$A$3:$E$35,5,0)</f>
        <v>#N/A</v>
      </c>
    </row>
    <row r="826" spans="2:11" x14ac:dyDescent="0.25">
      <c r="B826" s="350" t="s">
        <v>572</v>
      </c>
      <c r="C826" s="361" t="s">
        <v>573</v>
      </c>
      <c r="D826" s="352"/>
      <c r="E826" s="353">
        <f t="shared" si="16"/>
        <v>1195</v>
      </c>
      <c r="F826" s="354"/>
      <c r="G826" s="358" t="s">
        <v>2317</v>
      </c>
      <c r="H826" s="359">
        <v>159</v>
      </c>
      <c r="I826" s="356">
        <f>Таблица37[[#This Row],[Цена]]+Таблица37[[#This Row],[Трудозатраты]]</f>
        <v>1354</v>
      </c>
      <c r="J826" s="357">
        <v>1195</v>
      </c>
      <c r="K826" s="220" t="e">
        <f>VLOOKUP(Таблица37[[#This Row],[Оболочки]],'[3]Расчет себес оболочек'!$A$3:$E$35,5,0)</f>
        <v>#N/A</v>
      </c>
    </row>
    <row r="827" spans="2:11" x14ac:dyDescent="0.25">
      <c r="B827" s="350" t="s">
        <v>574</v>
      </c>
      <c r="C827" s="361" t="s">
        <v>575</v>
      </c>
      <c r="D827" s="352"/>
      <c r="E827" s="353">
        <f t="shared" si="16"/>
        <v>1195</v>
      </c>
      <c r="F827" s="354"/>
      <c r="G827" s="358" t="s">
        <v>2317</v>
      </c>
      <c r="H827" s="359">
        <v>159</v>
      </c>
      <c r="I827" s="356">
        <f>Таблица37[[#This Row],[Цена]]+Таблица37[[#This Row],[Трудозатраты]]</f>
        <v>1354</v>
      </c>
      <c r="J827" s="357">
        <v>1195</v>
      </c>
      <c r="K827" s="220" t="e">
        <f>VLOOKUP(Таблица37[[#This Row],[Оболочки]],'[3]Расчет себес оболочек'!$A$3:$E$35,5,0)</f>
        <v>#N/A</v>
      </c>
    </row>
    <row r="828" spans="2:11" x14ac:dyDescent="0.25">
      <c r="B828" s="350" t="s">
        <v>576</v>
      </c>
      <c r="C828" s="361" t="s">
        <v>577</v>
      </c>
      <c r="D828" s="352"/>
      <c r="E828" s="353">
        <f t="shared" si="16"/>
        <v>1345</v>
      </c>
      <c r="F828" s="354"/>
      <c r="G828" s="358" t="s">
        <v>2317</v>
      </c>
      <c r="H828" s="359">
        <v>159</v>
      </c>
      <c r="I828" s="356">
        <f>Таблица37[[#This Row],[Цена]]+Таблица37[[#This Row],[Трудозатраты]]</f>
        <v>1504</v>
      </c>
      <c r="J828" s="357">
        <v>1345</v>
      </c>
      <c r="K828" s="220" t="e">
        <f>VLOOKUP(Таблица37[[#This Row],[Оболочки]],'[3]Расчет себес оболочек'!$A$3:$E$35,5,0)</f>
        <v>#N/A</v>
      </c>
    </row>
    <row r="829" spans="2:11" x14ac:dyDescent="0.25">
      <c r="B829" s="350" t="s">
        <v>578</v>
      </c>
      <c r="C829" s="361" t="s">
        <v>579</v>
      </c>
      <c r="D829" s="352"/>
      <c r="E829" s="353">
        <f t="shared" si="16"/>
        <v>1345</v>
      </c>
      <c r="F829" s="354"/>
      <c r="G829" s="358" t="s">
        <v>2317</v>
      </c>
      <c r="H829" s="359">
        <v>159</v>
      </c>
      <c r="I829" s="356">
        <f>Таблица37[[#This Row],[Цена]]+Таблица37[[#This Row],[Трудозатраты]]</f>
        <v>1504</v>
      </c>
      <c r="J829" s="357">
        <v>1345</v>
      </c>
      <c r="K829" s="220" t="e">
        <f>VLOOKUP(Таблица37[[#This Row],[Оболочки]],'[3]Расчет себес оболочек'!$A$3:$E$35,5,0)</f>
        <v>#N/A</v>
      </c>
    </row>
    <row r="830" spans="2:11" x14ac:dyDescent="0.25">
      <c r="B830" s="350" t="s">
        <v>580</v>
      </c>
      <c r="C830" s="361" t="s">
        <v>581</v>
      </c>
      <c r="D830" s="352"/>
      <c r="E830" s="353">
        <f t="shared" si="16"/>
        <v>1345</v>
      </c>
      <c r="F830" s="354"/>
      <c r="G830" s="358" t="s">
        <v>2317</v>
      </c>
      <c r="H830" s="359">
        <v>159</v>
      </c>
      <c r="I830" s="356">
        <f>Таблица37[[#This Row],[Цена]]+Таблица37[[#This Row],[Трудозатраты]]</f>
        <v>1504</v>
      </c>
      <c r="J830" s="357">
        <v>1345</v>
      </c>
      <c r="K830" s="220" t="e">
        <f>VLOOKUP(Таблица37[[#This Row],[Оболочки]],'[3]Расчет себес оболочек'!$A$3:$E$35,5,0)</f>
        <v>#N/A</v>
      </c>
    </row>
    <row r="831" spans="2:11" x14ac:dyDescent="0.25">
      <c r="B831" s="350" t="s">
        <v>582</v>
      </c>
      <c r="C831" s="361" t="s">
        <v>583</v>
      </c>
      <c r="D831" s="352"/>
      <c r="E831" s="353">
        <f t="shared" si="16"/>
        <v>1195</v>
      </c>
      <c r="F831" s="354"/>
      <c r="G831" s="358" t="s">
        <v>2317</v>
      </c>
      <c r="H831" s="359">
        <v>159</v>
      </c>
      <c r="I831" s="356">
        <f>Таблица37[[#This Row],[Цена]]+Таблица37[[#This Row],[Трудозатраты]]</f>
        <v>1354</v>
      </c>
      <c r="J831" s="357">
        <v>1195</v>
      </c>
      <c r="K831" s="220" t="e">
        <f>VLOOKUP(Таблица37[[#This Row],[Оболочки]],'[3]Расчет себес оболочек'!$A$3:$E$35,5,0)</f>
        <v>#N/A</v>
      </c>
    </row>
    <row r="832" spans="2:11" x14ac:dyDescent="0.25">
      <c r="B832" s="350" t="s">
        <v>584</v>
      </c>
      <c r="C832" s="361" t="s">
        <v>585</v>
      </c>
      <c r="D832" s="352"/>
      <c r="E832" s="353">
        <f t="shared" si="16"/>
        <v>1195</v>
      </c>
      <c r="F832" s="354"/>
      <c r="G832" s="358" t="s">
        <v>2317</v>
      </c>
      <c r="H832" s="359">
        <v>159</v>
      </c>
      <c r="I832" s="356">
        <f>Таблица37[[#This Row],[Цена]]+Таблица37[[#This Row],[Трудозатраты]]</f>
        <v>1354</v>
      </c>
      <c r="J832" s="357">
        <v>1195</v>
      </c>
      <c r="K832" s="220" t="e">
        <f>VLOOKUP(Таблица37[[#This Row],[Оболочки]],'[3]Расчет себес оболочек'!$A$3:$E$35,5,0)</f>
        <v>#N/A</v>
      </c>
    </row>
    <row r="833" spans="2:11" x14ac:dyDescent="0.25">
      <c r="B833" s="350" t="s">
        <v>586</v>
      </c>
      <c r="C833" s="361" t="s">
        <v>587</v>
      </c>
      <c r="D833" s="352"/>
      <c r="E833" s="353">
        <f t="shared" si="16"/>
        <v>1345</v>
      </c>
      <c r="F833" s="354"/>
      <c r="G833" s="358" t="s">
        <v>2317</v>
      </c>
      <c r="H833" s="359">
        <v>159</v>
      </c>
      <c r="I833" s="356">
        <f>Таблица37[[#This Row],[Цена]]+Таблица37[[#This Row],[Трудозатраты]]</f>
        <v>1504</v>
      </c>
      <c r="J833" s="357">
        <v>1345</v>
      </c>
      <c r="K833" s="220" t="e">
        <f>VLOOKUP(Таблица37[[#This Row],[Оболочки]],'[3]Расчет себес оболочек'!$A$3:$E$35,5,0)</f>
        <v>#N/A</v>
      </c>
    </row>
    <row r="834" spans="2:11" x14ac:dyDescent="0.25">
      <c r="B834" s="350" t="s">
        <v>588</v>
      </c>
      <c r="C834" s="361" t="s">
        <v>589</v>
      </c>
      <c r="D834" s="352"/>
      <c r="E834" s="353">
        <f t="shared" si="16"/>
        <v>1345</v>
      </c>
      <c r="F834" s="354"/>
      <c r="G834" s="358" t="s">
        <v>2317</v>
      </c>
      <c r="H834" s="359">
        <v>159</v>
      </c>
      <c r="I834" s="356">
        <f>Таблица37[[#This Row],[Цена]]+Таблица37[[#This Row],[Трудозатраты]]</f>
        <v>1504</v>
      </c>
      <c r="J834" s="357">
        <v>1345</v>
      </c>
      <c r="K834" s="220" t="e">
        <f>VLOOKUP(Таблица37[[#This Row],[Оболочки]],'[3]Расчет себес оболочек'!$A$3:$E$35,5,0)</f>
        <v>#N/A</v>
      </c>
    </row>
    <row r="835" spans="2:11" x14ac:dyDescent="0.25">
      <c r="B835" s="350" t="s">
        <v>590</v>
      </c>
      <c r="C835" s="361" t="s">
        <v>591</v>
      </c>
      <c r="D835" s="352"/>
      <c r="E835" s="353">
        <f t="shared" si="16"/>
        <v>1345</v>
      </c>
      <c r="F835" s="354"/>
      <c r="G835" s="358" t="s">
        <v>2317</v>
      </c>
      <c r="H835" s="359">
        <v>159</v>
      </c>
      <c r="I835" s="356">
        <f>Таблица37[[#This Row],[Цена]]+Таблица37[[#This Row],[Трудозатраты]]</f>
        <v>1504</v>
      </c>
      <c r="J835" s="357">
        <v>1345</v>
      </c>
      <c r="K835" s="220" t="e">
        <f>VLOOKUP(Таблица37[[#This Row],[Оболочки]],'[3]Расчет себес оболочек'!$A$3:$E$35,5,0)</f>
        <v>#N/A</v>
      </c>
    </row>
    <row r="836" spans="2:11" x14ac:dyDescent="0.25">
      <c r="B836" s="350" t="s">
        <v>592</v>
      </c>
      <c r="C836" s="361" t="s">
        <v>593</v>
      </c>
      <c r="D836" s="352"/>
      <c r="E836" s="353">
        <f t="shared" si="16"/>
        <v>1195</v>
      </c>
      <c r="F836" s="354"/>
      <c r="G836" s="358" t="s">
        <v>2317</v>
      </c>
      <c r="H836" s="359">
        <v>159</v>
      </c>
      <c r="I836" s="356">
        <f>Таблица37[[#This Row],[Цена]]+Таблица37[[#This Row],[Трудозатраты]]</f>
        <v>1354</v>
      </c>
      <c r="J836" s="357">
        <v>1195</v>
      </c>
      <c r="K836" s="220" t="e">
        <f>VLOOKUP(Таблица37[[#This Row],[Оболочки]],'[3]Расчет себес оболочек'!$A$3:$E$35,5,0)</f>
        <v>#N/A</v>
      </c>
    </row>
    <row r="837" spans="2:11" x14ac:dyDescent="0.25">
      <c r="B837" s="350" t="s">
        <v>594</v>
      </c>
      <c r="C837" s="361" t="s">
        <v>595</v>
      </c>
      <c r="D837" s="352"/>
      <c r="E837" s="353">
        <f t="shared" si="16"/>
        <v>1195</v>
      </c>
      <c r="F837" s="354"/>
      <c r="G837" s="358" t="s">
        <v>2317</v>
      </c>
      <c r="H837" s="359">
        <v>159</v>
      </c>
      <c r="I837" s="356">
        <f>Таблица37[[#This Row],[Цена]]+Таблица37[[#This Row],[Трудозатраты]]</f>
        <v>1354</v>
      </c>
      <c r="J837" s="357">
        <v>1195</v>
      </c>
      <c r="K837" s="220" t="e">
        <f>VLOOKUP(Таблица37[[#This Row],[Оболочки]],'[3]Расчет себес оболочек'!$A$3:$E$35,5,0)</f>
        <v>#N/A</v>
      </c>
    </row>
    <row r="838" spans="2:11" x14ac:dyDescent="0.25">
      <c r="B838" s="350" t="s">
        <v>596</v>
      </c>
      <c r="C838" s="361" t="s">
        <v>597</v>
      </c>
      <c r="D838" s="352"/>
      <c r="E838" s="353">
        <f t="shared" si="16"/>
        <v>2066</v>
      </c>
      <c r="F838" s="354"/>
      <c r="G838" s="358" t="s">
        <v>2317</v>
      </c>
      <c r="H838" s="359">
        <v>159</v>
      </c>
      <c r="I838" s="356">
        <f>Таблица37[[#This Row],[Цена]]+Таблица37[[#This Row],[Трудозатраты]]</f>
        <v>2225</v>
      </c>
      <c r="J838" s="357">
        <v>2066</v>
      </c>
      <c r="K838" s="220" t="e">
        <f>VLOOKUP(Таблица37[[#This Row],[Оболочки]],'[3]Расчет себес оболочек'!$A$3:$E$35,5,0)</f>
        <v>#N/A</v>
      </c>
    </row>
    <row r="839" spans="2:11" x14ac:dyDescent="0.25">
      <c r="B839" s="350" t="s">
        <v>598</v>
      </c>
      <c r="C839" s="361" t="s">
        <v>599</v>
      </c>
      <c r="D839" s="352"/>
      <c r="E839" s="353">
        <f t="shared" si="16"/>
        <v>2066</v>
      </c>
      <c r="F839" s="354"/>
      <c r="G839" s="358" t="s">
        <v>2317</v>
      </c>
      <c r="H839" s="359">
        <v>159</v>
      </c>
      <c r="I839" s="356">
        <f>Таблица37[[#This Row],[Цена]]+Таблица37[[#This Row],[Трудозатраты]]</f>
        <v>2225</v>
      </c>
      <c r="J839" s="357">
        <v>2066</v>
      </c>
      <c r="K839" s="220" t="e">
        <f>VLOOKUP(Таблица37[[#This Row],[Оболочки]],'[3]Расчет себес оболочек'!$A$3:$E$35,5,0)</f>
        <v>#N/A</v>
      </c>
    </row>
    <row r="840" spans="2:11" x14ac:dyDescent="0.25">
      <c r="B840" s="350" t="s">
        <v>600</v>
      </c>
      <c r="C840" s="361" t="s">
        <v>601</v>
      </c>
      <c r="D840" s="352"/>
      <c r="E840" s="353">
        <f t="shared" si="16"/>
        <v>2066</v>
      </c>
      <c r="F840" s="354"/>
      <c r="G840" s="358" t="s">
        <v>2317</v>
      </c>
      <c r="H840" s="359">
        <v>159</v>
      </c>
      <c r="I840" s="356">
        <f>Таблица37[[#This Row],[Цена]]+Таблица37[[#This Row],[Трудозатраты]]</f>
        <v>2225</v>
      </c>
      <c r="J840" s="357">
        <v>2066</v>
      </c>
      <c r="K840" s="220" t="e">
        <f>VLOOKUP(Таблица37[[#This Row],[Оболочки]],'[3]Расчет себес оболочек'!$A$3:$E$35,5,0)</f>
        <v>#N/A</v>
      </c>
    </row>
    <row r="841" spans="2:11" x14ac:dyDescent="0.25">
      <c r="B841" s="350" t="s">
        <v>602</v>
      </c>
      <c r="C841" s="361" t="s">
        <v>603</v>
      </c>
      <c r="D841" s="352"/>
      <c r="E841" s="353">
        <f t="shared" si="16"/>
        <v>1917</v>
      </c>
      <c r="F841" s="354"/>
      <c r="G841" s="358" t="s">
        <v>2317</v>
      </c>
      <c r="H841" s="359">
        <v>159</v>
      </c>
      <c r="I841" s="356">
        <f>Таблица37[[#This Row],[Цена]]+Таблица37[[#This Row],[Трудозатраты]]</f>
        <v>2076</v>
      </c>
      <c r="J841" s="357">
        <v>1917</v>
      </c>
      <c r="K841" s="220" t="e">
        <f>VLOOKUP(Таблица37[[#This Row],[Оболочки]],'[3]Расчет себес оболочек'!$A$3:$E$35,5,0)</f>
        <v>#N/A</v>
      </c>
    </row>
    <row r="842" spans="2:11" x14ac:dyDescent="0.25">
      <c r="B842" s="350" t="s">
        <v>604</v>
      </c>
      <c r="C842" s="361" t="s">
        <v>605</v>
      </c>
      <c r="D842" s="352"/>
      <c r="E842" s="353">
        <f t="shared" si="16"/>
        <v>1917</v>
      </c>
      <c r="F842" s="354"/>
      <c r="G842" s="358" t="s">
        <v>2317</v>
      </c>
      <c r="H842" s="359">
        <v>159</v>
      </c>
      <c r="I842" s="356">
        <f>Таблица37[[#This Row],[Цена]]+Таблица37[[#This Row],[Трудозатраты]]</f>
        <v>2076</v>
      </c>
      <c r="J842" s="357">
        <v>1917</v>
      </c>
      <c r="K842" s="220" t="e">
        <f>VLOOKUP(Таблица37[[#This Row],[Оболочки]],'[3]Расчет себес оболочек'!$A$3:$E$35,5,0)</f>
        <v>#N/A</v>
      </c>
    </row>
    <row r="843" spans="2:11" x14ac:dyDescent="0.25">
      <c r="B843" s="350" t="s">
        <v>2097</v>
      </c>
      <c r="C843" s="361" t="s">
        <v>2098</v>
      </c>
      <c r="D843" s="352"/>
      <c r="E843" s="353">
        <f t="shared" si="16"/>
        <v>1150</v>
      </c>
      <c r="F843" s="354"/>
      <c r="G843" s="358" t="s">
        <v>2317</v>
      </c>
      <c r="H843" s="359">
        <v>159</v>
      </c>
      <c r="I843" s="356">
        <f>Таблица37[[#This Row],[Цена]]+Таблица37[[#This Row],[Трудозатраты]]</f>
        <v>1309</v>
      </c>
      <c r="J843" s="357">
        <v>1150</v>
      </c>
      <c r="K843" s="220" t="e">
        <f>VLOOKUP(Таблица37[[#This Row],[Оболочки]],'[3]Расчет себес оболочек'!$A$3:$E$35,5,0)</f>
        <v>#N/A</v>
      </c>
    </row>
    <row r="844" spans="2:11" x14ac:dyDescent="0.25">
      <c r="B844" s="350" t="s">
        <v>2099</v>
      </c>
      <c r="C844" s="361" t="s">
        <v>2100</v>
      </c>
      <c r="D844" s="352"/>
      <c r="E844" s="353">
        <f t="shared" si="16"/>
        <v>1135</v>
      </c>
      <c r="F844" s="354"/>
      <c r="G844" s="358" t="s">
        <v>2317</v>
      </c>
      <c r="H844" s="359">
        <v>159</v>
      </c>
      <c r="I844" s="356">
        <f>Таблица37[[#This Row],[Цена]]+Таблица37[[#This Row],[Трудозатраты]]</f>
        <v>1294</v>
      </c>
      <c r="J844" s="357">
        <v>1135</v>
      </c>
      <c r="K844" s="220" t="e">
        <f>VLOOKUP(Таблица37[[#This Row],[Оболочки]],'[3]Расчет себес оболочек'!$A$3:$E$35,5,0)</f>
        <v>#N/A</v>
      </c>
    </row>
    <row r="845" spans="2:11" x14ac:dyDescent="0.25">
      <c r="B845" s="350"/>
      <c r="C845" s="361"/>
      <c r="D845" s="352"/>
      <c r="E845" s="353">
        <f t="shared" si="16"/>
        <v>0</v>
      </c>
      <c r="F845" s="354"/>
      <c r="G845" s="358"/>
      <c r="H845" s="359"/>
      <c r="I845" s="356"/>
      <c r="J845" s="357"/>
      <c r="K845" s="220" t="e">
        <f>VLOOKUP(Таблица37[[#This Row],[Оболочки]],'[3]Расчет себес оболочек'!$A$3:$E$35,5,0)</f>
        <v>#N/A</v>
      </c>
    </row>
    <row r="846" spans="2:11" x14ac:dyDescent="0.25">
      <c r="B846" s="350"/>
      <c r="C846" s="361"/>
      <c r="D846" s="352"/>
      <c r="E846" s="353">
        <f t="shared" si="16"/>
        <v>0</v>
      </c>
      <c r="F846" s="354"/>
      <c r="G846" s="358"/>
      <c r="H846" s="359"/>
      <c r="I846" s="356"/>
      <c r="J846" s="357"/>
      <c r="K846" s="220" t="e">
        <f>VLOOKUP(Таблица37[[#This Row],[Оболочки]],'[3]Расчет себес оболочек'!$A$3:$E$35,5,0)</f>
        <v>#N/A</v>
      </c>
    </row>
    <row r="847" spans="2:11" x14ac:dyDescent="0.25">
      <c r="B847" s="350" t="s">
        <v>2101</v>
      </c>
      <c r="C847" s="361" t="s">
        <v>2102</v>
      </c>
      <c r="D847" s="352"/>
      <c r="E847" s="353">
        <f t="shared" si="16"/>
        <v>806.4</v>
      </c>
      <c r="F847" s="354"/>
      <c r="G847" s="358" t="s">
        <v>2317</v>
      </c>
      <c r="H847" s="359">
        <v>159</v>
      </c>
      <c r="I847" s="356">
        <f>Таблица37[[#This Row],[Цена]]+Таблица37[[#This Row],[Трудозатраты]]</f>
        <v>965.4</v>
      </c>
      <c r="J847" s="357">
        <v>806.4</v>
      </c>
      <c r="K847" s="220" t="e">
        <f>VLOOKUP(Таблица37[[#This Row],[Оболочки]],'[3]Расчет себес оболочек'!$A$3:$E$35,5,0)</f>
        <v>#N/A</v>
      </c>
    </row>
    <row r="848" spans="2:11" x14ac:dyDescent="0.25">
      <c r="B848" s="350" t="s">
        <v>2103</v>
      </c>
      <c r="C848" s="361" t="s">
        <v>2104</v>
      </c>
      <c r="D848" s="352"/>
      <c r="E848" s="353">
        <f t="shared" si="16"/>
        <v>806.4</v>
      </c>
      <c r="F848" s="354"/>
      <c r="G848" s="358" t="s">
        <v>2317</v>
      </c>
      <c r="H848" s="359">
        <v>159</v>
      </c>
      <c r="I848" s="356">
        <f>Таблица37[[#This Row],[Цена]]+Таблица37[[#This Row],[Трудозатраты]]</f>
        <v>965.4</v>
      </c>
      <c r="J848" s="357">
        <v>806.4</v>
      </c>
      <c r="K848" s="220" t="e">
        <f>VLOOKUP(Таблица37[[#This Row],[Оболочки]],'[3]Расчет себес оболочек'!$A$3:$E$35,5,0)</f>
        <v>#N/A</v>
      </c>
    </row>
    <row r="849" spans="2:11" x14ac:dyDescent="0.25">
      <c r="B849" s="350" t="s">
        <v>2105</v>
      </c>
      <c r="C849" s="361" t="s">
        <v>2106</v>
      </c>
      <c r="D849" s="352"/>
      <c r="E849" s="353">
        <f t="shared" si="16"/>
        <v>806.4</v>
      </c>
      <c r="F849" s="354"/>
      <c r="G849" s="358" t="s">
        <v>2317</v>
      </c>
      <c r="H849" s="359">
        <v>159</v>
      </c>
      <c r="I849" s="356">
        <f>Таблица37[[#This Row],[Цена]]+Таблица37[[#This Row],[Трудозатраты]]</f>
        <v>965.4</v>
      </c>
      <c r="J849" s="357">
        <v>806.4</v>
      </c>
      <c r="K849" s="220" t="e">
        <f>VLOOKUP(Таблица37[[#This Row],[Оболочки]],'[3]Расчет себес оболочек'!$A$3:$E$35,5,0)</f>
        <v>#N/A</v>
      </c>
    </row>
    <row r="850" spans="2:11" x14ac:dyDescent="0.25">
      <c r="B850" s="350" t="s">
        <v>2107</v>
      </c>
      <c r="C850" s="361" t="s">
        <v>2108</v>
      </c>
      <c r="D850" s="352"/>
      <c r="E850" s="353">
        <f t="shared" si="16"/>
        <v>806.4</v>
      </c>
      <c r="F850" s="354"/>
      <c r="G850" s="358" t="s">
        <v>2317</v>
      </c>
      <c r="H850" s="359">
        <v>159</v>
      </c>
      <c r="I850" s="356">
        <f>Таблица37[[#This Row],[Цена]]+Таблица37[[#This Row],[Трудозатраты]]</f>
        <v>965.4</v>
      </c>
      <c r="J850" s="357">
        <v>806.4</v>
      </c>
      <c r="K850" s="220" t="e">
        <f>VLOOKUP(Таблица37[[#This Row],[Оболочки]],'[3]Расчет себес оболочек'!$A$3:$E$35,5,0)</f>
        <v>#N/A</v>
      </c>
    </row>
    <row r="851" spans="2:11" x14ac:dyDescent="0.25">
      <c r="B851" s="350" t="s">
        <v>2109</v>
      </c>
      <c r="C851" s="361" t="s">
        <v>2110</v>
      </c>
      <c r="D851" s="352"/>
      <c r="E851" s="353">
        <f t="shared" si="16"/>
        <v>806.4</v>
      </c>
      <c r="F851" s="354"/>
      <c r="G851" s="358" t="s">
        <v>2317</v>
      </c>
      <c r="H851" s="359">
        <v>159</v>
      </c>
      <c r="I851" s="356">
        <f>Таблица37[[#This Row],[Цена]]+Таблица37[[#This Row],[Трудозатраты]]</f>
        <v>965.4</v>
      </c>
      <c r="J851" s="357">
        <v>806.4</v>
      </c>
      <c r="K851" s="220" t="e">
        <f>VLOOKUP(Таблица37[[#This Row],[Оболочки]],'[3]Расчет себес оболочек'!$A$3:$E$35,5,0)</f>
        <v>#N/A</v>
      </c>
    </row>
    <row r="852" spans="2:11" x14ac:dyDescent="0.25">
      <c r="B852" s="350" t="s">
        <v>2111</v>
      </c>
      <c r="C852" s="361" t="s">
        <v>2112</v>
      </c>
      <c r="D852" s="352"/>
      <c r="E852" s="353">
        <f t="shared" si="16"/>
        <v>806.4</v>
      </c>
      <c r="F852" s="354"/>
      <c r="G852" s="358" t="s">
        <v>2317</v>
      </c>
      <c r="H852" s="359">
        <v>159</v>
      </c>
      <c r="I852" s="356">
        <f>Таблица37[[#This Row],[Цена]]+Таблица37[[#This Row],[Трудозатраты]]</f>
        <v>965.4</v>
      </c>
      <c r="J852" s="357">
        <v>806.4</v>
      </c>
      <c r="K852" s="220" t="e">
        <f>VLOOKUP(Таблица37[[#This Row],[Оболочки]],'[3]Расчет себес оболочек'!$A$3:$E$35,5,0)</f>
        <v>#N/A</v>
      </c>
    </row>
    <row r="853" spans="2:11" x14ac:dyDescent="0.25">
      <c r="B853" s="350" t="s">
        <v>2113</v>
      </c>
      <c r="C853" s="361" t="s">
        <v>2114</v>
      </c>
      <c r="D853" s="352"/>
      <c r="E853" s="353">
        <f t="shared" si="16"/>
        <v>806.4</v>
      </c>
      <c r="F853" s="354"/>
      <c r="G853" s="358" t="s">
        <v>2317</v>
      </c>
      <c r="H853" s="359">
        <v>159</v>
      </c>
      <c r="I853" s="356">
        <f>Таблица37[[#This Row],[Цена]]+Таблица37[[#This Row],[Трудозатраты]]</f>
        <v>965.4</v>
      </c>
      <c r="J853" s="357">
        <v>806.4</v>
      </c>
      <c r="K853" s="220" t="e">
        <f>VLOOKUP(Таблица37[[#This Row],[Оболочки]],'[3]Расчет себес оболочек'!$A$3:$E$35,5,0)</f>
        <v>#N/A</v>
      </c>
    </row>
    <row r="854" spans="2:11" x14ac:dyDescent="0.25">
      <c r="B854" s="350" t="s">
        <v>2115</v>
      </c>
      <c r="C854" s="361" t="s">
        <v>2116</v>
      </c>
      <c r="D854" s="352"/>
      <c r="E854" s="353">
        <f t="shared" si="16"/>
        <v>806.4</v>
      </c>
      <c r="F854" s="354"/>
      <c r="G854" s="358" t="s">
        <v>2317</v>
      </c>
      <c r="H854" s="359">
        <v>159</v>
      </c>
      <c r="I854" s="356">
        <f>Таблица37[[#This Row],[Цена]]+Таблица37[[#This Row],[Трудозатраты]]</f>
        <v>965.4</v>
      </c>
      <c r="J854" s="357">
        <v>806.4</v>
      </c>
      <c r="K854" s="220" t="e">
        <f>VLOOKUP(Таблица37[[#This Row],[Оболочки]],'[3]Расчет себес оболочек'!$A$3:$E$35,5,0)</f>
        <v>#N/A</v>
      </c>
    </row>
    <row r="855" spans="2:11" x14ac:dyDescent="0.25">
      <c r="B855" s="350" t="s">
        <v>2117</v>
      </c>
      <c r="C855" s="361" t="s">
        <v>2118</v>
      </c>
      <c r="D855" s="352"/>
      <c r="E855" s="353">
        <f t="shared" si="16"/>
        <v>806.4</v>
      </c>
      <c r="F855" s="354"/>
      <c r="G855" s="358" t="s">
        <v>2317</v>
      </c>
      <c r="H855" s="359">
        <v>159</v>
      </c>
      <c r="I855" s="356">
        <f>Таблица37[[#This Row],[Цена]]+Таблица37[[#This Row],[Трудозатраты]]</f>
        <v>965.4</v>
      </c>
      <c r="J855" s="357">
        <v>806.4</v>
      </c>
      <c r="K855" s="220" t="e">
        <f>VLOOKUP(Таблица37[[#This Row],[Оболочки]],'[3]Расчет себес оболочек'!$A$3:$E$35,5,0)</f>
        <v>#N/A</v>
      </c>
    </row>
    <row r="856" spans="2:11" x14ac:dyDescent="0.25">
      <c r="B856" s="350" t="s">
        <v>2119</v>
      </c>
      <c r="C856" s="361" t="s">
        <v>2120</v>
      </c>
      <c r="D856" s="352"/>
      <c r="E856" s="353">
        <f t="shared" si="16"/>
        <v>806.4</v>
      </c>
      <c r="F856" s="354"/>
      <c r="G856" s="358" t="s">
        <v>2317</v>
      </c>
      <c r="H856" s="359">
        <v>159</v>
      </c>
      <c r="I856" s="356">
        <f>Таблица37[[#This Row],[Цена]]+Таблица37[[#This Row],[Трудозатраты]]</f>
        <v>965.4</v>
      </c>
      <c r="J856" s="357">
        <v>806.4</v>
      </c>
      <c r="K856" s="220" t="e">
        <f>VLOOKUP(Таблица37[[#This Row],[Оболочки]],'[3]Расчет себес оболочек'!$A$3:$E$35,5,0)</f>
        <v>#N/A</v>
      </c>
    </row>
    <row r="857" spans="2:11" x14ac:dyDescent="0.25">
      <c r="B857" s="350" t="s">
        <v>2121</v>
      </c>
      <c r="C857" s="361" t="s">
        <v>2122</v>
      </c>
      <c r="D857" s="352"/>
      <c r="E857" s="353">
        <f t="shared" si="16"/>
        <v>652.79999999999995</v>
      </c>
      <c r="F857" s="354"/>
      <c r="G857" s="358" t="s">
        <v>2317</v>
      </c>
      <c r="H857" s="359">
        <v>159</v>
      </c>
      <c r="I857" s="356">
        <f>Таблица37[[#This Row],[Цена]]+Таблица37[[#This Row],[Трудозатраты]]</f>
        <v>811.8</v>
      </c>
      <c r="J857" s="357">
        <v>652.79999999999995</v>
      </c>
      <c r="K857" s="220" t="e">
        <f>VLOOKUP(Таблица37[[#This Row],[Оболочки]],'[3]Расчет себес оболочек'!$A$3:$E$35,5,0)</f>
        <v>#N/A</v>
      </c>
    </row>
    <row r="858" spans="2:11" x14ac:dyDescent="0.25">
      <c r="B858" s="350" t="s">
        <v>2123</v>
      </c>
      <c r="C858" s="361" t="s">
        <v>2124</v>
      </c>
      <c r="D858" s="352"/>
      <c r="E858" s="353">
        <f t="shared" si="16"/>
        <v>652.79999999999995</v>
      </c>
      <c r="F858" s="354"/>
      <c r="G858" s="358" t="s">
        <v>2317</v>
      </c>
      <c r="H858" s="359">
        <v>159</v>
      </c>
      <c r="I858" s="356">
        <f>Таблица37[[#This Row],[Цена]]+Таблица37[[#This Row],[Трудозатраты]]</f>
        <v>811.8</v>
      </c>
      <c r="J858" s="357">
        <v>652.79999999999995</v>
      </c>
      <c r="K858" s="220" t="e">
        <f>VLOOKUP(Таблица37[[#This Row],[Оболочки]],'[3]Расчет себес оболочек'!$A$3:$E$35,5,0)</f>
        <v>#N/A</v>
      </c>
    </row>
    <row r="859" spans="2:11" x14ac:dyDescent="0.25">
      <c r="B859" s="350" t="s">
        <v>2125</v>
      </c>
      <c r="C859" s="361" t="s">
        <v>2126</v>
      </c>
      <c r="D859" s="352"/>
      <c r="E859" s="353">
        <f t="shared" si="16"/>
        <v>652.79999999999995</v>
      </c>
      <c r="F859" s="354"/>
      <c r="G859" s="358" t="s">
        <v>2317</v>
      </c>
      <c r="H859" s="359">
        <v>159</v>
      </c>
      <c r="I859" s="356">
        <f>Таблица37[[#This Row],[Цена]]+Таблица37[[#This Row],[Трудозатраты]]</f>
        <v>811.8</v>
      </c>
      <c r="J859" s="357">
        <v>652.79999999999995</v>
      </c>
      <c r="K859" s="220" t="e">
        <f>VLOOKUP(Таблица37[[#This Row],[Оболочки]],'[3]Расчет себес оболочек'!$A$3:$E$35,5,0)</f>
        <v>#N/A</v>
      </c>
    </row>
    <row r="860" spans="2:11" x14ac:dyDescent="0.25">
      <c r="B860" s="350" t="s">
        <v>2127</v>
      </c>
      <c r="C860" s="361" t="s">
        <v>2128</v>
      </c>
      <c r="D860" s="352"/>
      <c r="E860" s="353">
        <f t="shared" si="16"/>
        <v>652.79999999999995</v>
      </c>
      <c r="F860" s="354"/>
      <c r="G860" s="358" t="s">
        <v>2317</v>
      </c>
      <c r="H860" s="359">
        <v>159</v>
      </c>
      <c r="I860" s="356">
        <f>Таблица37[[#This Row],[Цена]]+Таблица37[[#This Row],[Трудозатраты]]</f>
        <v>811.8</v>
      </c>
      <c r="J860" s="357">
        <v>652.79999999999995</v>
      </c>
      <c r="K860" s="220" t="e">
        <f>VLOOKUP(Таблица37[[#This Row],[Оболочки]],'[3]Расчет себес оболочек'!$A$3:$E$35,5,0)</f>
        <v>#N/A</v>
      </c>
    </row>
    <row r="861" spans="2:11" x14ac:dyDescent="0.25">
      <c r="B861" s="350" t="s">
        <v>2129</v>
      </c>
      <c r="C861" s="361" t="s">
        <v>2130</v>
      </c>
      <c r="D861" s="352"/>
      <c r="E861" s="353">
        <f t="shared" si="16"/>
        <v>652.79999999999995</v>
      </c>
      <c r="F861" s="354"/>
      <c r="G861" s="358" t="s">
        <v>2317</v>
      </c>
      <c r="H861" s="359">
        <v>159</v>
      </c>
      <c r="I861" s="356">
        <f>Таблица37[[#This Row],[Цена]]+Таблица37[[#This Row],[Трудозатраты]]</f>
        <v>811.8</v>
      </c>
      <c r="J861" s="357">
        <v>652.79999999999995</v>
      </c>
      <c r="K861" s="220" t="e">
        <f>VLOOKUP(Таблица37[[#This Row],[Оболочки]],'[3]Расчет себес оболочек'!$A$3:$E$35,5,0)</f>
        <v>#N/A</v>
      </c>
    </row>
    <row r="862" spans="2:11" x14ac:dyDescent="0.25">
      <c r="B862" s="350" t="s">
        <v>2131</v>
      </c>
      <c r="C862" s="361" t="s">
        <v>2132</v>
      </c>
      <c r="D862" s="352"/>
      <c r="E862" s="353">
        <f t="shared" si="16"/>
        <v>652.79999999999995</v>
      </c>
      <c r="F862" s="354"/>
      <c r="G862" s="358" t="s">
        <v>2317</v>
      </c>
      <c r="H862" s="359">
        <v>159</v>
      </c>
      <c r="I862" s="356">
        <f>Таблица37[[#This Row],[Цена]]+Таблица37[[#This Row],[Трудозатраты]]</f>
        <v>811.8</v>
      </c>
      <c r="J862" s="357">
        <v>652.79999999999995</v>
      </c>
      <c r="K862" s="220" t="e">
        <f>VLOOKUP(Таблица37[[#This Row],[Оболочки]],'[3]Расчет себес оболочек'!$A$3:$E$35,5,0)</f>
        <v>#N/A</v>
      </c>
    </row>
    <row r="863" spans="2:11" x14ac:dyDescent="0.25">
      <c r="B863" s="350" t="s">
        <v>2133</v>
      </c>
      <c r="C863" s="361" t="s">
        <v>2134</v>
      </c>
      <c r="D863" s="352"/>
      <c r="E863" s="353">
        <f t="shared" si="16"/>
        <v>652.79999999999995</v>
      </c>
      <c r="F863" s="354"/>
      <c r="G863" s="358" t="s">
        <v>2317</v>
      </c>
      <c r="H863" s="359">
        <v>159</v>
      </c>
      <c r="I863" s="356">
        <f>Таблица37[[#This Row],[Цена]]+Таблица37[[#This Row],[Трудозатраты]]</f>
        <v>811.8</v>
      </c>
      <c r="J863" s="357">
        <v>652.79999999999995</v>
      </c>
      <c r="K863" s="220" t="e">
        <f>VLOOKUP(Таблица37[[#This Row],[Оболочки]],'[3]Расчет себес оболочек'!$A$3:$E$35,5,0)</f>
        <v>#N/A</v>
      </c>
    </row>
    <row r="864" spans="2:11" x14ac:dyDescent="0.25">
      <c r="B864" s="350" t="s">
        <v>2135</v>
      </c>
      <c r="C864" s="361" t="s">
        <v>2136</v>
      </c>
      <c r="D864" s="352"/>
      <c r="E864" s="353">
        <f t="shared" si="16"/>
        <v>652.79999999999995</v>
      </c>
      <c r="F864" s="354"/>
      <c r="G864" s="358" t="s">
        <v>2317</v>
      </c>
      <c r="H864" s="359">
        <v>159</v>
      </c>
      <c r="I864" s="356">
        <f>Таблица37[[#This Row],[Цена]]+Таблица37[[#This Row],[Трудозатраты]]</f>
        <v>811.8</v>
      </c>
      <c r="J864" s="357">
        <v>652.79999999999995</v>
      </c>
      <c r="K864" s="220" t="e">
        <f>VLOOKUP(Таблица37[[#This Row],[Оболочки]],'[3]Расчет себес оболочек'!$A$3:$E$35,5,0)</f>
        <v>#N/A</v>
      </c>
    </row>
    <row r="865" spans="2:11" x14ac:dyDescent="0.25">
      <c r="B865" s="350" t="s">
        <v>2137</v>
      </c>
      <c r="C865" s="361" t="s">
        <v>2138</v>
      </c>
      <c r="D865" s="352"/>
      <c r="E865" s="353">
        <f t="shared" si="16"/>
        <v>1830.4</v>
      </c>
      <c r="F865" s="354"/>
      <c r="G865" s="358" t="s">
        <v>2317</v>
      </c>
      <c r="H865" s="359">
        <v>159</v>
      </c>
      <c r="I865" s="356">
        <f>Таблица37[[#This Row],[Цена]]+Таблица37[[#This Row],[Трудозатраты]]</f>
        <v>1989.4</v>
      </c>
      <c r="J865" s="357">
        <v>1830.4</v>
      </c>
      <c r="K865" s="220" t="e">
        <f>VLOOKUP(Таблица37[[#This Row],[Оболочки]],'[3]Расчет себес оболочек'!$A$3:$E$35,5,0)</f>
        <v>#N/A</v>
      </c>
    </row>
    <row r="866" spans="2:11" x14ac:dyDescent="0.25">
      <c r="B866" s="350" t="s">
        <v>2139</v>
      </c>
      <c r="C866" s="361" t="s">
        <v>2140</v>
      </c>
      <c r="D866" s="352"/>
      <c r="E866" s="353">
        <f t="shared" si="16"/>
        <v>1830.4</v>
      </c>
      <c r="F866" s="354"/>
      <c r="G866" s="358" t="s">
        <v>2317</v>
      </c>
      <c r="H866" s="359">
        <v>159</v>
      </c>
      <c r="I866" s="356">
        <f>Таблица37[[#This Row],[Цена]]+Таблица37[[#This Row],[Трудозатраты]]</f>
        <v>1989.4</v>
      </c>
      <c r="J866" s="357">
        <v>1830.4</v>
      </c>
      <c r="K866" s="220" t="e">
        <f>VLOOKUP(Таблица37[[#This Row],[Оболочки]],'[3]Расчет себес оболочек'!$A$3:$E$35,5,0)</f>
        <v>#N/A</v>
      </c>
    </row>
    <row r="867" spans="2:11" x14ac:dyDescent="0.25">
      <c r="B867" s="350" t="s">
        <v>2141</v>
      </c>
      <c r="C867" s="361" t="s">
        <v>2142</v>
      </c>
      <c r="D867" s="352"/>
      <c r="E867" s="353">
        <f t="shared" si="16"/>
        <v>1830.4</v>
      </c>
      <c r="F867" s="354"/>
      <c r="G867" s="358" t="s">
        <v>2317</v>
      </c>
      <c r="H867" s="359">
        <v>159</v>
      </c>
      <c r="I867" s="356">
        <f>Таблица37[[#This Row],[Цена]]+Таблица37[[#This Row],[Трудозатраты]]</f>
        <v>1989.4</v>
      </c>
      <c r="J867" s="357">
        <v>1830.4</v>
      </c>
      <c r="K867" s="220" t="e">
        <f>VLOOKUP(Таблица37[[#This Row],[Оболочки]],'[3]Расчет себес оболочек'!$A$3:$E$35,5,0)</f>
        <v>#N/A</v>
      </c>
    </row>
    <row r="868" spans="2:11" x14ac:dyDescent="0.25">
      <c r="B868" s="350" t="s">
        <v>2143</v>
      </c>
      <c r="C868" s="361" t="s">
        <v>2144</v>
      </c>
      <c r="D868" s="352"/>
      <c r="E868" s="353">
        <f t="shared" si="16"/>
        <v>908.8</v>
      </c>
      <c r="F868" s="354"/>
      <c r="G868" s="358" t="s">
        <v>2317</v>
      </c>
      <c r="H868" s="359">
        <v>159</v>
      </c>
      <c r="I868" s="356">
        <f>Таблица37[[#This Row],[Цена]]+Таблица37[[#This Row],[Трудозатраты]]</f>
        <v>1067.8</v>
      </c>
      <c r="J868" s="357">
        <v>908.8</v>
      </c>
      <c r="K868" s="220" t="e">
        <f>VLOOKUP(Таблица37[[#This Row],[Оболочки]],'[3]Расчет себес оболочек'!$A$3:$E$35,5,0)</f>
        <v>#N/A</v>
      </c>
    </row>
    <row r="869" spans="2:11" x14ac:dyDescent="0.25">
      <c r="B869" s="350" t="s">
        <v>2145</v>
      </c>
      <c r="C869" s="361" t="s">
        <v>2146</v>
      </c>
      <c r="D869" s="352"/>
      <c r="E869" s="353">
        <f t="shared" si="16"/>
        <v>1075.2</v>
      </c>
      <c r="F869" s="354"/>
      <c r="G869" s="358" t="s">
        <v>2317</v>
      </c>
      <c r="H869" s="359"/>
      <c r="I869" s="356">
        <f>Таблица37[[#This Row],[Цена]]+Таблица37[[#This Row],[Трудозатраты]]</f>
        <v>1075.2</v>
      </c>
      <c r="J869" s="357">
        <v>1075.2</v>
      </c>
      <c r="K869" s="220" t="e">
        <f>VLOOKUP(Таблица37[[#This Row],[Оболочки]],'[3]Расчет себес оболочек'!$A$3:$E$35,5,0)</f>
        <v>#N/A</v>
      </c>
    </row>
    <row r="870" spans="2:11" x14ac:dyDescent="0.25">
      <c r="B870" s="350" t="s">
        <v>2147</v>
      </c>
      <c r="C870" s="361" t="s">
        <v>2148</v>
      </c>
      <c r="D870" s="352"/>
      <c r="E870" s="353">
        <f t="shared" si="16"/>
        <v>1075.2</v>
      </c>
      <c r="F870" s="354"/>
      <c r="G870" s="358" t="s">
        <v>2317</v>
      </c>
      <c r="H870" s="359">
        <v>159</v>
      </c>
      <c r="I870" s="356">
        <f>Таблица37[[#This Row],[Цена]]+Таблица37[[#This Row],[Трудозатраты]]</f>
        <v>1234.2</v>
      </c>
      <c r="J870" s="357">
        <v>1075.2</v>
      </c>
      <c r="K870" s="220" t="e">
        <f>VLOOKUP(Таблица37[[#This Row],[Оболочки]],'[3]Расчет себес оболочек'!$A$3:$E$35,5,0)</f>
        <v>#N/A</v>
      </c>
    </row>
    <row r="871" spans="2:11" x14ac:dyDescent="0.25">
      <c r="B871" s="350" t="s">
        <v>2149</v>
      </c>
      <c r="C871" s="361" t="s">
        <v>2150</v>
      </c>
      <c r="D871" s="352"/>
      <c r="E871" s="353">
        <f t="shared" si="16"/>
        <v>1689.6</v>
      </c>
      <c r="F871" s="354"/>
      <c r="G871" s="358" t="s">
        <v>2317</v>
      </c>
      <c r="H871" s="359">
        <v>159</v>
      </c>
      <c r="I871" s="356">
        <f>Таблица37[[#This Row],[Цена]]+Таблица37[[#This Row],[Трудозатраты]]</f>
        <v>1848.6</v>
      </c>
      <c r="J871" s="357">
        <v>1689.6</v>
      </c>
      <c r="K871" s="220" t="e">
        <f>VLOOKUP(Таблица37[[#This Row],[Оболочки]],'[3]Расчет себес оболочек'!$A$3:$E$35,5,0)</f>
        <v>#N/A</v>
      </c>
    </row>
    <row r="872" spans="2:11" x14ac:dyDescent="0.25">
      <c r="B872" s="350" t="s">
        <v>2151</v>
      </c>
      <c r="C872" s="361" t="s">
        <v>2152</v>
      </c>
      <c r="D872" s="352"/>
      <c r="E872" s="353">
        <v>846.98555999999996</v>
      </c>
      <c r="F872" s="354"/>
      <c r="G872" s="358" t="s">
        <v>2317</v>
      </c>
      <c r="H872" s="359">
        <v>159</v>
      </c>
      <c r="I872" s="356">
        <f>Таблица37[[#This Row],[Цена]]+Таблица37[[#This Row],[Трудозатраты]]</f>
        <v>1005.98556</v>
      </c>
      <c r="J872" s="357">
        <v>806.4</v>
      </c>
      <c r="K872" s="220" t="e">
        <f>VLOOKUP(Таблица37[[#This Row],[Оболочки]],'[3]Расчет себес оболочек'!$A$3:$E$35,5,0)</f>
        <v>#N/A</v>
      </c>
    </row>
    <row r="873" spans="2:11" x14ac:dyDescent="0.25">
      <c r="B873" s="350" t="s">
        <v>2153</v>
      </c>
      <c r="C873" s="361" t="s">
        <v>2154</v>
      </c>
      <c r="D873" s="352"/>
      <c r="E873" s="353">
        <v>846.98555999999996</v>
      </c>
      <c r="F873" s="354"/>
      <c r="G873" s="358" t="s">
        <v>2317</v>
      </c>
      <c r="H873" s="359">
        <v>159</v>
      </c>
      <c r="I873" s="356">
        <f>Таблица37[[#This Row],[Цена]]+Таблица37[[#This Row],[Трудозатраты]]</f>
        <v>1005.98556</v>
      </c>
      <c r="J873" s="357">
        <v>806.4</v>
      </c>
      <c r="K873" s="220" t="e">
        <f>VLOOKUP(Таблица37[[#This Row],[Оболочки]],'[3]Расчет себес оболочек'!$A$3:$E$35,5,0)</f>
        <v>#N/A</v>
      </c>
    </row>
    <row r="874" spans="2:11" x14ac:dyDescent="0.25">
      <c r="B874" s="350" t="s">
        <v>2155</v>
      </c>
      <c r="C874" s="361" t="s">
        <v>2156</v>
      </c>
      <c r="D874" s="352"/>
      <c r="E874" s="353">
        <v>846.98555999999996</v>
      </c>
      <c r="F874" s="354"/>
      <c r="G874" s="358" t="s">
        <v>2317</v>
      </c>
      <c r="H874" s="359">
        <v>159</v>
      </c>
      <c r="I874" s="356">
        <f>Таблица37[[#This Row],[Цена]]+Таблица37[[#This Row],[Трудозатраты]]</f>
        <v>1005.98556</v>
      </c>
      <c r="J874" s="357">
        <v>806.4</v>
      </c>
      <c r="K874" s="220" t="e">
        <f>VLOOKUP(Таблица37[[#This Row],[Оболочки]],'[3]Расчет себес оболочек'!$A$3:$E$35,5,0)</f>
        <v>#N/A</v>
      </c>
    </row>
    <row r="875" spans="2:11" x14ac:dyDescent="0.25">
      <c r="B875" s="350" t="s">
        <v>2157</v>
      </c>
      <c r="C875" s="361" t="s">
        <v>2158</v>
      </c>
      <c r="D875" s="352"/>
      <c r="E875" s="353">
        <v>846.98555999999996</v>
      </c>
      <c r="F875" s="354"/>
      <c r="G875" s="358" t="s">
        <v>2317</v>
      </c>
      <c r="H875" s="359">
        <v>159</v>
      </c>
      <c r="I875" s="356">
        <f>Таблица37[[#This Row],[Цена]]+Таблица37[[#This Row],[Трудозатраты]]</f>
        <v>1005.98556</v>
      </c>
      <c r="J875" s="357">
        <v>806.4</v>
      </c>
      <c r="K875" s="220" t="e">
        <f>VLOOKUP(Таблица37[[#This Row],[Оболочки]],'[3]Расчет себес оболочек'!$A$3:$E$35,5,0)</f>
        <v>#N/A</v>
      </c>
    </row>
    <row r="876" spans="2:11" x14ac:dyDescent="0.25">
      <c r="B876" s="350" t="s">
        <v>2159</v>
      </c>
      <c r="C876" s="361" t="s">
        <v>2160</v>
      </c>
      <c r="D876" s="352"/>
      <c r="E876" s="353">
        <v>846.98555999999996</v>
      </c>
      <c r="F876" s="354"/>
      <c r="G876" s="358" t="s">
        <v>2317</v>
      </c>
      <c r="H876" s="359">
        <v>159</v>
      </c>
      <c r="I876" s="356">
        <f>Таблица37[[#This Row],[Цена]]+Таблица37[[#This Row],[Трудозатраты]]</f>
        <v>1005.98556</v>
      </c>
      <c r="J876" s="357">
        <v>806.4</v>
      </c>
      <c r="K876" s="220" t="e">
        <f>VLOOKUP(Таблица37[[#This Row],[Оболочки]],'[3]Расчет себес оболочек'!$A$3:$E$35,5,0)</f>
        <v>#N/A</v>
      </c>
    </row>
    <row r="877" spans="2:11" x14ac:dyDescent="0.25">
      <c r="B877" s="350" t="s">
        <v>2161</v>
      </c>
      <c r="C877" s="361" t="s">
        <v>2162</v>
      </c>
      <c r="D877" s="352"/>
      <c r="E877" s="353">
        <v>846.98555999999996</v>
      </c>
      <c r="F877" s="354"/>
      <c r="G877" s="358" t="s">
        <v>2317</v>
      </c>
      <c r="H877" s="359">
        <v>159</v>
      </c>
      <c r="I877" s="356">
        <f>Таблица37[[#This Row],[Цена]]+Таблица37[[#This Row],[Трудозатраты]]</f>
        <v>1005.98556</v>
      </c>
      <c r="J877" s="357">
        <v>806.4</v>
      </c>
      <c r="K877" s="220" t="e">
        <f>VLOOKUP(Таблица37[[#This Row],[Оболочки]],'[3]Расчет себес оболочек'!$A$3:$E$35,5,0)</f>
        <v>#N/A</v>
      </c>
    </row>
    <row r="878" spans="2:11" x14ac:dyDescent="0.25">
      <c r="B878" s="350" t="s">
        <v>2163</v>
      </c>
      <c r="C878" s="361" t="s">
        <v>2164</v>
      </c>
      <c r="D878" s="352"/>
      <c r="E878" s="353">
        <v>846.98555999999996</v>
      </c>
      <c r="F878" s="354"/>
      <c r="G878" s="358" t="s">
        <v>2317</v>
      </c>
      <c r="H878" s="359">
        <v>159</v>
      </c>
      <c r="I878" s="356">
        <f>Таблица37[[#This Row],[Цена]]+Таблица37[[#This Row],[Трудозатраты]]</f>
        <v>1005.98556</v>
      </c>
      <c r="J878" s="357">
        <v>652.79999999999995</v>
      </c>
      <c r="K878" s="220" t="e">
        <f>VLOOKUP(Таблица37[[#This Row],[Оболочки]],'[3]Расчет себес оболочек'!$A$3:$E$35,5,0)</f>
        <v>#N/A</v>
      </c>
    </row>
    <row r="879" spans="2:11" x14ac:dyDescent="0.25">
      <c r="B879" s="350" t="s">
        <v>2165</v>
      </c>
      <c r="C879" s="361" t="s">
        <v>2166</v>
      </c>
      <c r="D879" s="352"/>
      <c r="E879" s="353">
        <f t="shared" ref="E879:E942" si="17">J879</f>
        <v>1728</v>
      </c>
      <c r="F879" s="354"/>
      <c r="G879" s="358" t="s">
        <v>2317</v>
      </c>
      <c r="H879" s="359"/>
      <c r="I879" s="356">
        <f>Таблица37[[#This Row],[Цена]]+Таблица37[[#This Row],[Трудозатраты]]</f>
        <v>1728</v>
      </c>
      <c r="J879" s="357">
        <v>1728</v>
      </c>
      <c r="K879" s="220" t="e">
        <f>VLOOKUP(Таблица37[[#This Row],[Оболочки]],'[3]Расчет себес оболочек'!$A$3:$E$35,5,0)</f>
        <v>#N/A</v>
      </c>
    </row>
    <row r="880" spans="2:11" x14ac:dyDescent="0.25">
      <c r="B880" s="350" t="s">
        <v>2167</v>
      </c>
      <c r="C880" s="361" t="s">
        <v>2168</v>
      </c>
      <c r="D880" s="352"/>
      <c r="E880" s="353">
        <f t="shared" si="17"/>
        <v>985.6</v>
      </c>
      <c r="F880" s="354"/>
      <c r="G880" s="358" t="s">
        <v>2317</v>
      </c>
      <c r="H880" s="359">
        <v>159</v>
      </c>
      <c r="I880" s="356">
        <f>Таблица37[[#This Row],[Цена]]+Таблица37[[#This Row],[Трудозатраты]]</f>
        <v>1144.5999999999999</v>
      </c>
      <c r="J880" s="357">
        <v>985.6</v>
      </c>
      <c r="K880" s="220" t="e">
        <f>VLOOKUP(Таблица37[[#This Row],[Оболочки]],'[3]Расчет себес оболочек'!$A$3:$E$35,5,0)</f>
        <v>#N/A</v>
      </c>
    </row>
    <row r="881" spans="2:11" x14ac:dyDescent="0.25">
      <c r="B881" s="350" t="s">
        <v>2169</v>
      </c>
      <c r="C881" s="361" t="s">
        <v>2170</v>
      </c>
      <c r="D881" s="352"/>
      <c r="E881" s="353">
        <f t="shared" si="17"/>
        <v>985.6</v>
      </c>
      <c r="F881" s="354"/>
      <c r="G881" s="358" t="s">
        <v>2317</v>
      </c>
      <c r="H881" s="359">
        <v>159</v>
      </c>
      <c r="I881" s="356">
        <f>Таблица37[[#This Row],[Цена]]+Таблица37[[#This Row],[Трудозатраты]]</f>
        <v>1144.5999999999999</v>
      </c>
      <c r="J881" s="357">
        <v>985.6</v>
      </c>
      <c r="K881" s="220" t="e">
        <f>VLOOKUP(Таблица37[[#This Row],[Оболочки]],'[3]Расчет себес оболочек'!$A$3:$E$35,5,0)</f>
        <v>#N/A</v>
      </c>
    </row>
    <row r="882" spans="2:11" x14ac:dyDescent="0.25">
      <c r="B882" s="350" t="s">
        <v>2171</v>
      </c>
      <c r="C882" s="361" t="s">
        <v>2172</v>
      </c>
      <c r="D882" s="352"/>
      <c r="E882" s="353">
        <f t="shared" si="17"/>
        <v>985.6</v>
      </c>
      <c r="F882" s="354"/>
      <c r="G882" s="358" t="s">
        <v>2317</v>
      </c>
      <c r="H882" s="359">
        <v>159</v>
      </c>
      <c r="I882" s="356">
        <f>Таблица37[[#This Row],[Цена]]+Таблица37[[#This Row],[Трудозатраты]]</f>
        <v>1144.5999999999999</v>
      </c>
      <c r="J882" s="357">
        <v>985.6</v>
      </c>
      <c r="K882" s="220" t="e">
        <f>VLOOKUP(Таблица37[[#This Row],[Оболочки]],'[3]Расчет себес оболочек'!$A$3:$E$35,5,0)</f>
        <v>#N/A</v>
      </c>
    </row>
    <row r="883" spans="2:11" x14ac:dyDescent="0.25">
      <c r="B883" s="350" t="s">
        <v>2173</v>
      </c>
      <c r="C883" s="361" t="s">
        <v>2174</v>
      </c>
      <c r="D883" s="352"/>
      <c r="E883" s="353">
        <f t="shared" si="17"/>
        <v>1689.6</v>
      </c>
      <c r="F883" s="354"/>
      <c r="G883" s="358" t="s">
        <v>2317</v>
      </c>
      <c r="H883" s="359">
        <v>159</v>
      </c>
      <c r="I883" s="356">
        <f>Таблица37[[#This Row],[Цена]]+Таблица37[[#This Row],[Трудозатраты]]</f>
        <v>1848.6</v>
      </c>
      <c r="J883" s="357">
        <v>1689.6</v>
      </c>
      <c r="K883" s="220" t="e">
        <f>VLOOKUP(Таблица37[[#This Row],[Оболочки]],'[3]Расчет себес оболочек'!$A$3:$E$35,5,0)</f>
        <v>#N/A</v>
      </c>
    </row>
    <row r="884" spans="2:11" x14ac:dyDescent="0.25">
      <c r="B884" s="350" t="s">
        <v>294</v>
      </c>
      <c r="C884" s="361" t="s">
        <v>2175</v>
      </c>
      <c r="D884" s="352"/>
      <c r="E884" s="353">
        <f t="shared" si="17"/>
        <v>23.490000000000002</v>
      </c>
      <c r="F884" s="354"/>
      <c r="G884" s="358" t="s">
        <v>2343</v>
      </c>
      <c r="H884" s="359">
        <v>29.17</v>
      </c>
      <c r="I884" s="356">
        <f>Таблица37[[#This Row],[Цена]]+Таблица37[[#This Row],[Трудозатраты]]*1.1</f>
        <v>55.577000000000005</v>
      </c>
      <c r="J884" s="357">
        <v>23.490000000000002</v>
      </c>
      <c r="K884" s="220" t="e">
        <f>VLOOKUP(Таблица37[[#This Row],[Оболочки]],'[3]Расчет себес оболочек'!$A$3:$E$35,5,0)</f>
        <v>#N/A</v>
      </c>
    </row>
    <row r="885" spans="2:11" x14ac:dyDescent="0.25">
      <c r="B885" s="350" t="s">
        <v>334</v>
      </c>
      <c r="C885" s="361" t="s">
        <v>2176</v>
      </c>
      <c r="D885" s="352"/>
      <c r="E885" s="353">
        <f t="shared" si="17"/>
        <v>23.490000000000002</v>
      </c>
      <c r="F885" s="354"/>
      <c r="G885" s="358" t="s">
        <v>2343</v>
      </c>
      <c r="H885" s="359">
        <v>29.17</v>
      </c>
      <c r="I885" s="356">
        <f>Таблица37[[#This Row],[Цена]]+Таблица37[[#This Row],[Трудозатраты]]*1.1</f>
        <v>55.577000000000005</v>
      </c>
      <c r="J885" s="357">
        <v>23.490000000000002</v>
      </c>
      <c r="K885" s="220" t="e">
        <f>VLOOKUP(Таблица37[[#This Row],[Оболочки]],'[3]Расчет себес оболочек'!$A$3:$E$35,5,0)</f>
        <v>#N/A</v>
      </c>
    </row>
    <row r="886" spans="2:11" x14ac:dyDescent="0.25">
      <c r="B886" s="350" t="s">
        <v>333</v>
      </c>
      <c r="C886" s="361" t="s">
        <v>2177</v>
      </c>
      <c r="D886" s="352"/>
      <c r="E886" s="353">
        <f t="shared" si="17"/>
        <v>82.649999999999991</v>
      </c>
      <c r="F886" s="354"/>
      <c r="G886" s="358" t="s">
        <v>2343</v>
      </c>
      <c r="H886" s="359">
        <v>29.17</v>
      </c>
      <c r="I886" s="356">
        <f>Таблица37[[#This Row],[Цена]]+Таблица37[[#This Row],[Трудозатраты]]*1.1</f>
        <v>114.73699999999999</v>
      </c>
      <c r="J886" s="357">
        <v>82.649999999999991</v>
      </c>
      <c r="K886" s="220" t="e">
        <f>VLOOKUP(Таблица37[[#This Row],[Оболочки]],'[3]Расчет себес оболочек'!$A$3:$E$35,5,0)</f>
        <v>#N/A</v>
      </c>
    </row>
    <row r="887" spans="2:11" x14ac:dyDescent="0.25">
      <c r="B887" s="350" t="s">
        <v>295</v>
      </c>
      <c r="C887" s="361" t="s">
        <v>2178</v>
      </c>
      <c r="D887" s="352"/>
      <c r="E887" s="353">
        <f t="shared" si="17"/>
        <v>29.580000000000002</v>
      </c>
      <c r="F887" s="354"/>
      <c r="G887" s="358" t="s">
        <v>2343</v>
      </c>
      <c r="H887" s="359">
        <v>29.17</v>
      </c>
      <c r="I887" s="356">
        <f>Таблица37[[#This Row],[Цена]]+Таблица37[[#This Row],[Трудозатраты]]*1.1</f>
        <v>61.667000000000002</v>
      </c>
      <c r="J887" s="357">
        <v>29.580000000000002</v>
      </c>
      <c r="K887" s="220" t="e">
        <f>VLOOKUP(Таблица37[[#This Row],[Оболочки]],'[3]Расчет себес оболочек'!$A$3:$E$35,5,0)</f>
        <v>#N/A</v>
      </c>
    </row>
    <row r="888" spans="2:11" x14ac:dyDescent="0.25">
      <c r="B888" s="350" t="s">
        <v>341</v>
      </c>
      <c r="C888" s="361" t="s">
        <v>2179</v>
      </c>
      <c r="D888" s="352"/>
      <c r="E888" s="353">
        <f t="shared" si="17"/>
        <v>37.409999999999997</v>
      </c>
      <c r="F888" s="354"/>
      <c r="G888" s="358" t="s">
        <v>2343</v>
      </c>
      <c r="H888" s="359">
        <v>29.17</v>
      </c>
      <c r="I888" s="356">
        <f>Таблица37[[#This Row],[Цена]]+Таблица37[[#This Row],[Трудозатраты]]*1.1</f>
        <v>69.497</v>
      </c>
      <c r="J888" s="357">
        <v>37.409999999999997</v>
      </c>
      <c r="K888" s="220" t="e">
        <f>VLOOKUP(Таблица37[[#This Row],[Оболочки]],'[3]Расчет себес оболочек'!$A$3:$E$35,5,0)</f>
        <v>#N/A</v>
      </c>
    </row>
    <row r="889" spans="2:11" x14ac:dyDescent="0.25">
      <c r="B889" s="350" t="s">
        <v>340</v>
      </c>
      <c r="C889" s="361" t="s">
        <v>2180</v>
      </c>
      <c r="D889" s="352"/>
      <c r="E889" s="353">
        <f t="shared" si="17"/>
        <v>84.39</v>
      </c>
      <c r="F889" s="354"/>
      <c r="G889" s="358" t="s">
        <v>2343</v>
      </c>
      <c r="H889" s="359">
        <v>29.17</v>
      </c>
      <c r="I889" s="356">
        <f>Таблица37[[#This Row],[Цена]]+Таблица37[[#This Row],[Трудозатраты]]*1.1</f>
        <v>116.477</v>
      </c>
      <c r="J889" s="357">
        <v>84.39</v>
      </c>
      <c r="K889" s="220" t="e">
        <f>VLOOKUP(Таблица37[[#This Row],[Оболочки]],'[3]Расчет себес оболочек'!$A$3:$E$35,5,0)</f>
        <v>#N/A</v>
      </c>
    </row>
    <row r="890" spans="2:11" x14ac:dyDescent="0.25">
      <c r="B890" s="350" t="s">
        <v>2181</v>
      </c>
      <c r="C890" s="361" t="s">
        <v>2182</v>
      </c>
      <c r="D890" s="352"/>
      <c r="E890" s="353">
        <f t="shared" si="17"/>
        <v>216.63000000000002</v>
      </c>
      <c r="F890" s="354"/>
      <c r="G890" s="358" t="s">
        <v>2343</v>
      </c>
      <c r="H890" s="359">
        <v>29.17</v>
      </c>
      <c r="I890" s="356">
        <f>Таблица37[[#This Row],[Цена]]+Таблица37[[#This Row],[Трудозатраты]]*1.1</f>
        <v>248.71700000000004</v>
      </c>
      <c r="J890" s="357">
        <v>216.63000000000002</v>
      </c>
      <c r="K890" s="220" t="e">
        <f>VLOOKUP(Таблица37[[#This Row],[Оболочки]],'[3]Расчет себес оболочек'!$A$3:$E$35,5,0)</f>
        <v>#N/A</v>
      </c>
    </row>
    <row r="891" spans="2:11" x14ac:dyDescent="0.25">
      <c r="B891" s="350" t="s">
        <v>296</v>
      </c>
      <c r="C891" s="361" t="s">
        <v>2183</v>
      </c>
      <c r="D891" s="352"/>
      <c r="E891" s="353">
        <f t="shared" si="17"/>
        <v>39.15</v>
      </c>
      <c r="F891" s="354"/>
      <c r="G891" s="358" t="s">
        <v>2343</v>
      </c>
      <c r="H891" s="359">
        <v>29.17</v>
      </c>
      <c r="I891" s="356">
        <f>Таблица37[[#This Row],[Цена]]+Таблица37[[#This Row],[Трудозатраты]]*1.1</f>
        <v>71.236999999999995</v>
      </c>
      <c r="J891" s="357">
        <v>39.15</v>
      </c>
      <c r="K891" s="220" t="e">
        <f>VLOOKUP(Таблица37[[#This Row],[Оболочки]],'[3]Расчет себес оболочек'!$A$3:$E$35,5,0)</f>
        <v>#N/A</v>
      </c>
    </row>
    <row r="892" spans="2:11" x14ac:dyDescent="0.25">
      <c r="B892" s="350" t="s">
        <v>346</v>
      </c>
      <c r="C892" s="361" t="s">
        <v>2184</v>
      </c>
      <c r="D892" s="352"/>
      <c r="E892" s="353">
        <f t="shared" si="17"/>
        <v>49.589999999999996</v>
      </c>
      <c r="F892" s="354"/>
      <c r="G892" s="358" t="s">
        <v>2343</v>
      </c>
      <c r="H892" s="359">
        <v>29.17</v>
      </c>
      <c r="I892" s="356">
        <f>Таблица37[[#This Row],[Цена]]+Таблица37[[#This Row],[Трудозатраты]]*1.1</f>
        <v>81.676999999999992</v>
      </c>
      <c r="J892" s="357">
        <v>49.589999999999996</v>
      </c>
      <c r="K892" s="220" t="e">
        <f>VLOOKUP(Таблица37[[#This Row],[Оболочки]],'[3]Расчет себес оболочек'!$A$3:$E$35,5,0)</f>
        <v>#N/A</v>
      </c>
    </row>
    <row r="893" spans="2:11" x14ac:dyDescent="0.25">
      <c r="B893" s="350" t="s">
        <v>345</v>
      </c>
      <c r="C893" s="361" t="s">
        <v>2185</v>
      </c>
      <c r="D893" s="352"/>
      <c r="E893" s="353">
        <f t="shared" si="17"/>
        <v>94.830000000000013</v>
      </c>
      <c r="F893" s="354"/>
      <c r="G893" s="358" t="s">
        <v>2343</v>
      </c>
      <c r="H893" s="359">
        <v>29.17</v>
      </c>
      <c r="I893" s="356">
        <f>Таблица37[[#This Row],[Цена]]+Таблица37[[#This Row],[Трудозатраты]]*1.1</f>
        <v>126.91700000000002</v>
      </c>
      <c r="J893" s="357">
        <v>94.830000000000013</v>
      </c>
      <c r="K893" s="220" t="e">
        <f>VLOOKUP(Таблица37[[#This Row],[Оболочки]],'[3]Расчет себес оболочек'!$A$3:$E$35,5,0)</f>
        <v>#N/A</v>
      </c>
    </row>
    <row r="894" spans="2:11" x14ac:dyDescent="0.25">
      <c r="B894" s="350" t="s">
        <v>297</v>
      </c>
      <c r="C894" s="361" t="s">
        <v>2186</v>
      </c>
      <c r="D894" s="352"/>
      <c r="E894" s="353">
        <f t="shared" si="17"/>
        <v>47.85</v>
      </c>
      <c r="F894" s="354"/>
      <c r="G894" s="358" t="s">
        <v>2343</v>
      </c>
      <c r="H894" s="359">
        <v>29.17</v>
      </c>
      <c r="I894" s="356">
        <f>Таблица37[[#This Row],[Цена]]+Таблица37[[#This Row],[Трудозатраты]]*1.1</f>
        <v>79.937000000000012</v>
      </c>
      <c r="J894" s="357">
        <v>47.85</v>
      </c>
      <c r="K894" s="220" t="e">
        <f>VLOOKUP(Таблица37[[#This Row],[Оболочки]],'[3]Расчет себес оболочек'!$A$3:$E$35,5,0)</f>
        <v>#N/A</v>
      </c>
    </row>
    <row r="895" spans="2:11" x14ac:dyDescent="0.25">
      <c r="B895" s="350" t="s">
        <v>352</v>
      </c>
      <c r="C895" s="361" t="s">
        <v>2187</v>
      </c>
      <c r="D895" s="352"/>
      <c r="E895" s="353">
        <f t="shared" si="17"/>
        <v>58.290000000000006</v>
      </c>
      <c r="F895" s="354"/>
      <c r="G895" s="358" t="s">
        <v>2343</v>
      </c>
      <c r="H895" s="359">
        <v>29.17</v>
      </c>
      <c r="I895" s="356">
        <f>Таблица37[[#This Row],[Цена]]+Таблица37[[#This Row],[Трудозатраты]]*1.1</f>
        <v>90.37700000000001</v>
      </c>
      <c r="J895" s="357">
        <v>58.290000000000006</v>
      </c>
      <c r="K895" s="220" t="e">
        <f>VLOOKUP(Таблица37[[#This Row],[Оболочки]],'[3]Расчет себес оболочек'!$A$3:$E$35,5,0)</f>
        <v>#N/A</v>
      </c>
    </row>
    <row r="896" spans="2:11" x14ac:dyDescent="0.25">
      <c r="B896" s="350" t="s">
        <v>351</v>
      </c>
      <c r="C896" s="361" t="s">
        <v>2188</v>
      </c>
      <c r="D896" s="352"/>
      <c r="E896" s="353">
        <f t="shared" si="17"/>
        <v>102.66</v>
      </c>
      <c r="F896" s="354"/>
      <c r="G896" s="358" t="s">
        <v>2343</v>
      </c>
      <c r="H896" s="359">
        <v>29.17</v>
      </c>
      <c r="I896" s="356">
        <f>Таблица37[[#This Row],[Цена]]+Таблица37[[#This Row],[Трудозатраты]]*1.1</f>
        <v>134.74700000000001</v>
      </c>
      <c r="J896" s="357">
        <v>102.66</v>
      </c>
      <c r="K896" s="220" t="e">
        <f>VLOOKUP(Таблица37[[#This Row],[Оболочки]],'[3]Расчет себес оболочек'!$A$3:$E$35,5,0)</f>
        <v>#N/A</v>
      </c>
    </row>
    <row r="897" spans="2:11" x14ac:dyDescent="0.25">
      <c r="B897" s="350" t="s">
        <v>298</v>
      </c>
      <c r="C897" s="361" t="s">
        <v>2189</v>
      </c>
      <c r="D897" s="352"/>
      <c r="E897" s="353">
        <f t="shared" si="17"/>
        <v>80.040000000000006</v>
      </c>
      <c r="F897" s="354"/>
      <c r="G897" s="358" t="s">
        <v>2343</v>
      </c>
      <c r="H897" s="359">
        <v>29.17</v>
      </c>
      <c r="I897" s="356">
        <f>Таблица37[[#This Row],[Цена]]+Таблица37[[#This Row],[Трудозатраты]]*1.1</f>
        <v>112.12700000000001</v>
      </c>
      <c r="J897" s="357">
        <v>80.040000000000006</v>
      </c>
      <c r="K897" s="220" t="e">
        <f>VLOOKUP(Таблица37[[#This Row],[Оболочки]],'[3]Расчет себес оболочек'!$A$3:$E$35,5,0)</f>
        <v>#N/A</v>
      </c>
    </row>
    <row r="898" spans="2:11" x14ac:dyDescent="0.25">
      <c r="B898" s="350" t="s">
        <v>358</v>
      </c>
      <c r="C898" s="361" t="s">
        <v>2190</v>
      </c>
      <c r="D898" s="352"/>
      <c r="E898" s="353">
        <f t="shared" si="17"/>
        <v>80.040000000000006</v>
      </c>
      <c r="F898" s="354"/>
      <c r="G898" s="358" t="s">
        <v>2343</v>
      </c>
      <c r="H898" s="359">
        <v>29.17</v>
      </c>
      <c r="I898" s="356">
        <f>Таблица37[[#This Row],[Цена]]+Таблица37[[#This Row],[Трудозатраты]]*1.1</f>
        <v>112.12700000000001</v>
      </c>
      <c r="J898" s="357">
        <v>80.040000000000006</v>
      </c>
      <c r="K898" s="220" t="e">
        <f>VLOOKUP(Таблица37[[#This Row],[Оболочки]],'[3]Расчет себес оболочек'!$A$3:$E$35,5,0)</f>
        <v>#N/A</v>
      </c>
    </row>
    <row r="899" spans="2:11" x14ac:dyDescent="0.25">
      <c r="B899" s="350" t="s">
        <v>357</v>
      </c>
      <c r="C899" s="361" t="s">
        <v>2191</v>
      </c>
      <c r="D899" s="352"/>
      <c r="E899" s="353">
        <f t="shared" si="17"/>
        <v>180.96</v>
      </c>
      <c r="F899" s="354"/>
      <c r="G899" s="358" t="s">
        <v>2343</v>
      </c>
      <c r="H899" s="359">
        <v>29.17</v>
      </c>
      <c r="I899" s="356">
        <f>Таблица37[[#This Row],[Цена]]+Таблица37[[#This Row],[Трудозатраты]]*1.1</f>
        <v>213.04700000000003</v>
      </c>
      <c r="J899" s="357">
        <v>180.96</v>
      </c>
      <c r="K899" s="220" t="e">
        <f>VLOOKUP(Таблица37[[#This Row],[Оболочки]],'[3]Расчет себес оболочек'!$A$3:$E$35,5,0)</f>
        <v>#N/A</v>
      </c>
    </row>
    <row r="900" spans="2:11" x14ac:dyDescent="0.25">
      <c r="B900" s="350" t="s">
        <v>299</v>
      </c>
      <c r="C900" s="361" t="s">
        <v>2192</v>
      </c>
      <c r="D900" s="352"/>
      <c r="E900" s="353">
        <f t="shared" si="17"/>
        <v>154.86000000000001</v>
      </c>
      <c r="F900" s="354"/>
      <c r="G900" s="358" t="s">
        <v>2343</v>
      </c>
      <c r="H900" s="359">
        <v>29.17</v>
      </c>
      <c r="I900" s="356">
        <f>Таблица37[[#This Row],[Цена]]+Таблица37[[#This Row],[Трудозатраты]]*1.1</f>
        <v>186.947</v>
      </c>
      <c r="J900" s="357">
        <v>154.86000000000001</v>
      </c>
      <c r="K900" s="220" t="e">
        <f>VLOOKUP(Таблица37[[#This Row],[Оболочки]],'[3]Расчет себес оболочек'!$A$3:$E$35,5,0)</f>
        <v>#N/A</v>
      </c>
    </row>
    <row r="901" spans="2:11" x14ac:dyDescent="0.25">
      <c r="B901" s="350" t="s">
        <v>364</v>
      </c>
      <c r="C901" s="361" t="s">
        <v>2193</v>
      </c>
      <c r="D901" s="352"/>
      <c r="E901" s="353">
        <f t="shared" si="17"/>
        <v>169.65</v>
      </c>
      <c r="F901" s="354"/>
      <c r="G901" s="358" t="s">
        <v>2343</v>
      </c>
      <c r="H901" s="359">
        <v>29.17</v>
      </c>
      <c r="I901" s="356">
        <f>Таблица37[[#This Row],[Цена]]+Таблица37[[#This Row],[Трудозатраты]]*1.1</f>
        <v>201.73700000000002</v>
      </c>
      <c r="J901" s="357">
        <v>169.65</v>
      </c>
      <c r="K901" s="220" t="e">
        <f>VLOOKUP(Таблица37[[#This Row],[Оболочки]],'[3]Расчет себес оболочек'!$A$3:$E$35,5,0)</f>
        <v>#N/A</v>
      </c>
    </row>
    <row r="902" spans="2:11" x14ac:dyDescent="0.25">
      <c r="B902" s="350" t="s">
        <v>363</v>
      </c>
      <c r="C902" s="361" t="s">
        <v>2194</v>
      </c>
      <c r="D902" s="352"/>
      <c r="E902" s="353">
        <f t="shared" si="17"/>
        <v>260.13</v>
      </c>
      <c r="F902" s="354"/>
      <c r="G902" s="358" t="s">
        <v>2343</v>
      </c>
      <c r="H902" s="359">
        <v>29.17</v>
      </c>
      <c r="I902" s="356">
        <f>Таблица37[[#This Row],[Цена]]+Таблица37[[#This Row],[Трудозатраты]]*1.1</f>
        <v>292.21699999999998</v>
      </c>
      <c r="J902" s="357">
        <v>260.13</v>
      </c>
      <c r="K902" s="220" t="e">
        <f>VLOOKUP(Таблица37[[#This Row],[Оболочки]],'[3]Расчет себес оболочек'!$A$3:$E$35,5,0)</f>
        <v>#N/A</v>
      </c>
    </row>
    <row r="903" spans="2:11" x14ac:dyDescent="0.25">
      <c r="B903" s="350" t="s">
        <v>2195</v>
      </c>
      <c r="C903" s="361" t="s">
        <v>2196</v>
      </c>
      <c r="D903" s="352"/>
      <c r="E903" s="353">
        <f t="shared" si="17"/>
        <v>649.89</v>
      </c>
      <c r="F903" s="354"/>
      <c r="G903" s="358" t="s">
        <v>2343</v>
      </c>
      <c r="H903" s="359">
        <v>29.17</v>
      </c>
      <c r="I903" s="356">
        <f>Таблица37[[#This Row],[Цена]]+Таблица37[[#This Row],[Трудозатраты]]*1.1</f>
        <v>681.97699999999998</v>
      </c>
      <c r="J903" s="357">
        <v>649.89</v>
      </c>
      <c r="K903" s="220" t="e">
        <f>VLOOKUP(Таблица37[[#This Row],[Оболочки]],'[3]Расчет себес оболочек'!$A$3:$E$35,5,0)</f>
        <v>#N/A</v>
      </c>
    </row>
    <row r="904" spans="2:11" x14ac:dyDescent="0.25">
      <c r="B904" s="350" t="s">
        <v>2197</v>
      </c>
      <c r="C904" s="361" t="s">
        <v>2198</v>
      </c>
      <c r="D904" s="352"/>
      <c r="E904" s="353">
        <f t="shared" si="17"/>
        <v>649.89</v>
      </c>
      <c r="F904" s="354"/>
      <c r="G904" s="358" t="s">
        <v>2343</v>
      </c>
      <c r="H904" s="359">
        <v>29.17</v>
      </c>
      <c r="I904" s="356">
        <f>Таблица37[[#This Row],[Цена]]+Таблица37[[#This Row],[Трудозатраты]]*1.1</f>
        <v>681.97699999999998</v>
      </c>
      <c r="J904" s="357">
        <v>649.89</v>
      </c>
      <c r="K904" s="220" t="e">
        <f>VLOOKUP(Таблица37[[#This Row],[Оболочки]],'[3]Расчет себес оболочек'!$A$3:$E$35,5,0)</f>
        <v>#N/A</v>
      </c>
    </row>
    <row r="905" spans="2:11" x14ac:dyDescent="0.25">
      <c r="B905" s="350" t="s">
        <v>301</v>
      </c>
      <c r="C905" s="361" t="s">
        <v>2199</v>
      </c>
      <c r="D905" s="352"/>
      <c r="E905" s="353">
        <f t="shared" si="17"/>
        <v>854.34</v>
      </c>
      <c r="F905" s="354"/>
      <c r="G905" s="358" t="s">
        <v>2343</v>
      </c>
      <c r="H905" s="359">
        <v>29.17</v>
      </c>
      <c r="I905" s="356">
        <f>Таблица37[[#This Row],[Цена]]+Таблица37[[#This Row],[Трудозатраты]]*1.1</f>
        <v>886.42700000000002</v>
      </c>
      <c r="J905" s="357">
        <v>854.34</v>
      </c>
      <c r="K905" s="220" t="e">
        <f>VLOOKUP(Таблица37[[#This Row],[Оболочки]],'[3]Расчет себес оболочек'!$A$3:$E$35,5,0)</f>
        <v>#N/A</v>
      </c>
    </row>
    <row r="906" spans="2:11" x14ac:dyDescent="0.25">
      <c r="B906" s="350" t="s">
        <v>2200</v>
      </c>
      <c r="C906" s="361" t="s">
        <v>2201</v>
      </c>
      <c r="D906" s="352"/>
      <c r="E906" s="353">
        <f t="shared" si="17"/>
        <v>1110.1199999999999</v>
      </c>
      <c r="F906" s="354"/>
      <c r="G906" s="358" t="s">
        <v>2343</v>
      </c>
      <c r="H906" s="359">
        <v>29.17</v>
      </c>
      <c r="I906" s="356">
        <f>Таблица37[[#This Row],[Цена]]+Таблица37[[#This Row],[Трудозатраты]]*1.1</f>
        <v>1142.2069999999999</v>
      </c>
      <c r="J906" s="357">
        <v>1110.1199999999999</v>
      </c>
      <c r="K906" s="220" t="e">
        <f>VLOOKUP(Таблица37[[#This Row],[Оболочки]],'[3]Расчет себес оболочек'!$A$3:$E$35,5,0)</f>
        <v>#N/A</v>
      </c>
    </row>
    <row r="907" spans="2:11" x14ac:dyDescent="0.25">
      <c r="B907" s="350" t="s">
        <v>375</v>
      </c>
      <c r="C907" s="361" t="s">
        <v>2202</v>
      </c>
      <c r="D907" s="352"/>
      <c r="E907" s="353">
        <f t="shared" si="17"/>
        <v>985.71</v>
      </c>
      <c r="F907" s="354"/>
      <c r="G907" s="358" t="s">
        <v>2343</v>
      </c>
      <c r="H907" s="359">
        <v>29.17</v>
      </c>
      <c r="I907" s="356">
        <f>Таблица37[[#This Row],[Цена]]+Таблица37[[#This Row],[Трудозатраты]]*1.1</f>
        <v>1017.797</v>
      </c>
      <c r="J907" s="357">
        <v>985.71</v>
      </c>
      <c r="K907" s="220" t="e">
        <f>VLOOKUP(Таблица37[[#This Row],[Оболочки]],'[3]Расчет себес оболочек'!$A$3:$E$35,5,0)</f>
        <v>#N/A</v>
      </c>
    </row>
    <row r="908" spans="2:11" x14ac:dyDescent="0.25">
      <c r="B908" s="350" t="s">
        <v>2203</v>
      </c>
      <c r="C908" s="361" t="s">
        <v>2204</v>
      </c>
      <c r="D908" s="352"/>
      <c r="E908" s="353">
        <f t="shared" si="17"/>
        <v>69208.5</v>
      </c>
      <c r="F908" s="354"/>
      <c r="G908" s="358" t="s">
        <v>2343</v>
      </c>
      <c r="H908" s="359">
        <v>29.17</v>
      </c>
      <c r="I908" s="356">
        <f>Таблица37[[#This Row],[Цена]]+Таблица37[[#This Row],[Трудозатраты]]*1.1</f>
        <v>69240.587</v>
      </c>
      <c r="J908" s="357">
        <v>69208.5</v>
      </c>
      <c r="K908" s="220" t="e">
        <f>VLOOKUP(Таблица37[[#This Row],[Оболочки]],'[3]Расчет себес оболочек'!$A$3:$E$35,5,0)</f>
        <v>#N/A</v>
      </c>
    </row>
    <row r="909" spans="2:11" x14ac:dyDescent="0.25">
      <c r="B909" s="350" t="s">
        <v>2205</v>
      </c>
      <c r="C909" s="361" t="s">
        <v>2206</v>
      </c>
      <c r="D909" s="352"/>
      <c r="E909" s="353">
        <f t="shared" si="17"/>
        <v>1219.74</v>
      </c>
      <c r="F909" s="354"/>
      <c r="G909" s="358" t="s">
        <v>2343</v>
      </c>
      <c r="H909" s="359">
        <v>29.17</v>
      </c>
      <c r="I909" s="356">
        <f>Таблица37[[#This Row],[Цена]]+Таблица37[[#This Row],[Трудозатраты]]*1.1</f>
        <v>1251.827</v>
      </c>
      <c r="J909" s="357">
        <v>1219.74</v>
      </c>
      <c r="K909" s="220" t="e">
        <f>VLOOKUP(Таблица37[[#This Row],[Оболочки]],'[3]Расчет себес оболочек'!$A$3:$E$35,5,0)</f>
        <v>#N/A</v>
      </c>
    </row>
    <row r="910" spans="2:11" x14ac:dyDescent="0.25">
      <c r="B910" s="350" t="s">
        <v>2207</v>
      </c>
      <c r="C910" s="361" t="s">
        <v>2208</v>
      </c>
      <c r="D910" s="352"/>
      <c r="E910" s="353">
        <f t="shared" si="17"/>
        <v>92568</v>
      </c>
      <c r="F910" s="354"/>
      <c r="G910" s="358" t="s">
        <v>2343</v>
      </c>
      <c r="H910" s="359">
        <v>29.17</v>
      </c>
      <c r="I910" s="356">
        <f>Таблица37[[#This Row],[Цена]]+Таблица37[[#This Row],[Трудозатраты]]*1.1</f>
        <v>92600.087</v>
      </c>
      <c r="J910" s="357">
        <v>92568</v>
      </c>
      <c r="K910" s="220" t="e">
        <f>VLOOKUP(Таблица37[[#This Row],[Оболочки]],'[3]Расчет себес оболочек'!$A$3:$E$35,5,0)</f>
        <v>#N/A</v>
      </c>
    </row>
    <row r="911" spans="2:11" x14ac:dyDescent="0.25">
      <c r="B911" s="350" t="s">
        <v>2209</v>
      </c>
      <c r="C911" s="361" t="s">
        <v>2210</v>
      </c>
      <c r="D911" s="352"/>
      <c r="E911" s="353">
        <f t="shared" si="17"/>
        <v>1219.74</v>
      </c>
      <c r="F911" s="354"/>
      <c r="G911" s="358" t="s">
        <v>2343</v>
      </c>
      <c r="H911" s="359">
        <v>29.17</v>
      </c>
      <c r="I911" s="356">
        <f>Таблица37[[#This Row],[Цена]]+Таблица37[[#This Row],[Трудозатраты]]*1.1</f>
        <v>1251.827</v>
      </c>
      <c r="J911" s="357">
        <v>1219.74</v>
      </c>
      <c r="K911" s="220" t="e">
        <f>VLOOKUP(Таблица37[[#This Row],[Оболочки]],'[3]Расчет себес оболочек'!$A$3:$E$35,5,0)</f>
        <v>#N/A</v>
      </c>
    </row>
    <row r="912" spans="2:11" x14ac:dyDescent="0.25">
      <c r="B912" s="350" t="s">
        <v>304</v>
      </c>
      <c r="C912" s="361" t="s">
        <v>2211</v>
      </c>
      <c r="D912" s="352"/>
      <c r="E912" s="353">
        <f t="shared" si="17"/>
        <v>121365</v>
      </c>
      <c r="F912" s="354"/>
      <c r="G912" s="358" t="s">
        <v>2343</v>
      </c>
      <c r="H912" s="359">
        <v>29.17</v>
      </c>
      <c r="I912" s="356">
        <f>Таблица37[[#This Row],[Цена]]+Таблица37[[#This Row],[Трудозатраты]]*1.1</f>
        <v>121397.087</v>
      </c>
      <c r="J912" s="357">
        <v>121365</v>
      </c>
      <c r="K912" s="220" t="e">
        <f>VLOOKUP(Таблица37[[#This Row],[Оболочки]],'[3]Расчет себес оболочек'!$A$3:$E$35,5,0)</f>
        <v>#N/A</v>
      </c>
    </row>
    <row r="913" spans="2:11" x14ac:dyDescent="0.25">
      <c r="B913" s="350" t="s">
        <v>2212</v>
      </c>
      <c r="C913" s="361" t="s">
        <v>2213</v>
      </c>
      <c r="D913" s="352"/>
      <c r="E913" s="353">
        <f t="shared" si="17"/>
        <v>1472.91</v>
      </c>
      <c r="F913" s="354"/>
      <c r="G913" s="358" t="s">
        <v>2343</v>
      </c>
      <c r="H913" s="359">
        <v>29.17</v>
      </c>
      <c r="I913" s="356">
        <f>Таблица37[[#This Row],[Цена]]+Таблица37[[#This Row],[Трудозатраты]]*1.1</f>
        <v>1504.9970000000001</v>
      </c>
      <c r="J913" s="357">
        <v>1472.91</v>
      </c>
      <c r="K913" s="220" t="e">
        <f>VLOOKUP(Таблица37[[#This Row],[Оболочки]],'[3]Расчет себес оболочек'!$A$3:$E$35,5,0)</f>
        <v>#N/A</v>
      </c>
    </row>
    <row r="914" spans="2:11" x14ac:dyDescent="0.25">
      <c r="B914" s="350" t="s">
        <v>377</v>
      </c>
      <c r="C914" s="361" t="s">
        <v>2214</v>
      </c>
      <c r="D914" s="352"/>
      <c r="E914" s="353">
        <f t="shared" si="17"/>
        <v>121365</v>
      </c>
      <c r="F914" s="354"/>
      <c r="G914" s="358" t="s">
        <v>2343</v>
      </c>
      <c r="H914" s="359">
        <v>29.17</v>
      </c>
      <c r="I914" s="356">
        <f>Таблица37[[#This Row],[Цена]]+Таблица37[[#This Row],[Трудозатраты]]*1.1</f>
        <v>121397.087</v>
      </c>
      <c r="J914" s="357">
        <v>121365</v>
      </c>
      <c r="K914" s="220" t="e">
        <f>VLOOKUP(Таблица37[[#This Row],[Оболочки]],'[3]Расчет себес оболочек'!$A$3:$E$35,5,0)</f>
        <v>#N/A</v>
      </c>
    </row>
    <row r="915" spans="2:11" x14ac:dyDescent="0.25">
      <c r="B915" s="350" t="s">
        <v>2215</v>
      </c>
      <c r="C915" s="361" t="s">
        <v>2216</v>
      </c>
      <c r="D915" s="352"/>
      <c r="E915" s="353">
        <f t="shared" si="17"/>
        <v>1472.91</v>
      </c>
      <c r="F915" s="354"/>
      <c r="G915" s="358" t="s">
        <v>2343</v>
      </c>
      <c r="H915" s="359">
        <v>29.17</v>
      </c>
      <c r="I915" s="356">
        <f>Таблица37[[#This Row],[Цена]]+Таблица37[[#This Row],[Трудозатраты]]*1.1</f>
        <v>1504.9970000000001</v>
      </c>
      <c r="J915" s="357">
        <v>1472.91</v>
      </c>
      <c r="K915" s="220" t="e">
        <f>VLOOKUP(Таблица37[[#This Row],[Оболочки]],'[3]Расчет себес оболочек'!$A$3:$E$35,5,0)</f>
        <v>#N/A</v>
      </c>
    </row>
    <row r="916" spans="2:11" x14ac:dyDescent="0.25">
      <c r="B916" s="350" t="s">
        <v>305</v>
      </c>
      <c r="C916" s="361" t="s">
        <v>2217</v>
      </c>
      <c r="D916" s="352"/>
      <c r="E916" s="353">
        <f t="shared" si="17"/>
        <v>148161</v>
      </c>
      <c r="F916" s="354"/>
      <c r="G916" s="358" t="s">
        <v>2343</v>
      </c>
      <c r="H916" s="359">
        <v>29.17</v>
      </c>
      <c r="I916" s="356">
        <f>Таблица37[[#This Row],[Цена]]+Таблица37[[#This Row],[Трудозатраты]]*1.1</f>
        <v>148193.087</v>
      </c>
      <c r="J916" s="357">
        <v>148161</v>
      </c>
      <c r="K916" s="220" t="e">
        <f>VLOOKUP(Таблица37[[#This Row],[Оболочки]],'[3]Расчет себес оболочек'!$A$3:$E$35,5,0)</f>
        <v>#N/A</v>
      </c>
    </row>
    <row r="917" spans="2:11" x14ac:dyDescent="0.25">
      <c r="B917" s="350" t="s">
        <v>2218</v>
      </c>
      <c r="C917" s="361" t="s">
        <v>2219</v>
      </c>
      <c r="D917" s="352"/>
      <c r="E917" s="353">
        <f t="shared" si="17"/>
        <v>149.63999999999999</v>
      </c>
      <c r="F917" s="354"/>
      <c r="G917" s="358" t="s">
        <v>2343</v>
      </c>
      <c r="H917" s="359">
        <v>29.17</v>
      </c>
      <c r="I917" s="356">
        <f>Таблица37[[#This Row],[Цена]]+Таблица37[[#This Row],[Трудозатраты]]*1.1</f>
        <v>181.72699999999998</v>
      </c>
      <c r="J917" s="357">
        <v>149.63999999999999</v>
      </c>
      <c r="K917" s="220" t="e">
        <f>VLOOKUP(Таблица37[[#This Row],[Оболочки]],'[3]Расчет себес оболочек'!$A$3:$E$35,5,0)</f>
        <v>#N/A</v>
      </c>
    </row>
    <row r="918" spans="2:11" x14ac:dyDescent="0.25">
      <c r="B918" s="350" t="s">
        <v>374</v>
      </c>
      <c r="C918" s="361" t="s">
        <v>2220</v>
      </c>
      <c r="D918" s="352"/>
      <c r="E918" s="353">
        <f t="shared" si="17"/>
        <v>1447.68</v>
      </c>
      <c r="F918" s="354"/>
      <c r="G918" s="358" t="s">
        <v>2343</v>
      </c>
      <c r="H918" s="359">
        <v>29.17</v>
      </c>
      <c r="I918" s="356">
        <f>Таблица37[[#This Row],[Цена]]+Таблица37[[#This Row],[Трудозатраты]]*1.1</f>
        <v>1479.7670000000001</v>
      </c>
      <c r="J918" s="357">
        <v>1447.68</v>
      </c>
      <c r="K918" s="220" t="e">
        <f>VLOOKUP(Таблица37[[#This Row],[Оболочки]],'[3]Расчет себес оболочек'!$A$3:$E$35,5,0)</f>
        <v>#N/A</v>
      </c>
    </row>
    <row r="919" spans="2:11" x14ac:dyDescent="0.25">
      <c r="B919" s="350" t="s">
        <v>2221</v>
      </c>
      <c r="C919" s="361" t="s">
        <v>2222</v>
      </c>
      <c r="D919" s="352"/>
      <c r="E919" s="353">
        <f t="shared" si="17"/>
        <v>230.54999999999998</v>
      </c>
      <c r="F919" s="354"/>
      <c r="G919" s="358" t="s">
        <v>2343</v>
      </c>
      <c r="H919" s="359">
        <v>29.17</v>
      </c>
      <c r="I919" s="356">
        <f>Таблица37[[#This Row],[Цена]]+Таблица37[[#This Row],[Трудозатраты]]*1.1</f>
        <v>262.637</v>
      </c>
      <c r="J919" s="357">
        <v>230.54999999999998</v>
      </c>
      <c r="K919" s="220" t="e">
        <f>VLOOKUP(Таблица37[[#This Row],[Оболочки]],'[3]Расчет себес оболочек'!$A$3:$E$35,5,0)</f>
        <v>#N/A</v>
      </c>
    </row>
    <row r="920" spans="2:11" x14ac:dyDescent="0.25">
      <c r="B920" s="350" t="s">
        <v>2223</v>
      </c>
      <c r="C920" s="361" t="s">
        <v>2224</v>
      </c>
      <c r="D920" s="352"/>
      <c r="E920" s="353">
        <f t="shared" si="17"/>
        <v>296.67</v>
      </c>
      <c r="F920" s="354"/>
      <c r="G920" s="358" t="s">
        <v>2343</v>
      </c>
      <c r="H920" s="359">
        <v>29.17</v>
      </c>
      <c r="I920" s="356">
        <f>Таблица37[[#This Row],[Цена]]+Таблица37[[#This Row],[Трудозатраты]]*1.1</f>
        <v>328.75700000000001</v>
      </c>
      <c r="J920" s="357">
        <v>296.67</v>
      </c>
      <c r="K920" s="220" t="e">
        <f>VLOOKUP(Таблица37[[#This Row],[Оболочки]],'[3]Расчет себес оболочек'!$A$3:$E$35,5,0)</f>
        <v>#N/A</v>
      </c>
    </row>
    <row r="921" spans="2:11" x14ac:dyDescent="0.25">
      <c r="B921" s="350" t="s">
        <v>369</v>
      </c>
      <c r="C921" s="361" t="s">
        <v>2225</v>
      </c>
      <c r="D921" s="352"/>
      <c r="E921" s="353">
        <f t="shared" si="17"/>
        <v>941.34</v>
      </c>
      <c r="F921" s="354"/>
      <c r="G921" s="358" t="s">
        <v>2343</v>
      </c>
      <c r="H921" s="359">
        <v>29.17</v>
      </c>
      <c r="I921" s="356">
        <f>Таблица37[[#This Row],[Цена]]+Таблица37[[#This Row],[Трудозатраты]]*1.1</f>
        <v>973.42700000000002</v>
      </c>
      <c r="J921" s="357">
        <v>941.34</v>
      </c>
      <c r="K921" s="220" t="e">
        <f>VLOOKUP(Таблица37[[#This Row],[Оболочки]],'[3]Расчет себес оболочек'!$A$3:$E$35,5,0)</f>
        <v>#N/A</v>
      </c>
    </row>
    <row r="922" spans="2:11" x14ac:dyDescent="0.25">
      <c r="B922" s="350" t="s">
        <v>2226</v>
      </c>
      <c r="C922" s="361" t="s">
        <v>2227</v>
      </c>
      <c r="D922" s="352"/>
      <c r="E922" s="353">
        <f t="shared" si="17"/>
        <v>250.56</v>
      </c>
      <c r="F922" s="354"/>
      <c r="G922" s="358" t="s">
        <v>2343</v>
      </c>
      <c r="H922" s="359">
        <v>29.17</v>
      </c>
      <c r="I922" s="356">
        <f>Таблица37[[#This Row],[Цена]]+Таблица37[[#This Row],[Трудозатраты]]*1.1</f>
        <v>282.64699999999999</v>
      </c>
      <c r="J922" s="357">
        <v>250.56</v>
      </c>
      <c r="K922" s="220" t="e">
        <f>VLOOKUP(Таблица37[[#This Row],[Оболочки]],'[3]Расчет себес оболочек'!$A$3:$E$35,5,0)</f>
        <v>#N/A</v>
      </c>
    </row>
    <row r="923" spans="2:11" x14ac:dyDescent="0.25">
      <c r="B923" s="350" t="s">
        <v>2228</v>
      </c>
      <c r="C923" s="361" t="s">
        <v>2229</v>
      </c>
      <c r="D923" s="352"/>
      <c r="E923" s="353">
        <f t="shared" si="17"/>
        <v>412.38</v>
      </c>
      <c r="F923" s="354"/>
      <c r="G923" s="358" t="s">
        <v>2343</v>
      </c>
      <c r="H923" s="359">
        <v>29.17</v>
      </c>
      <c r="I923" s="356">
        <f>Таблица37[[#This Row],[Цена]]+Таблица37[[#This Row],[Трудозатраты]]*1.1</f>
        <v>444.46699999999998</v>
      </c>
      <c r="J923" s="357">
        <v>412.38</v>
      </c>
      <c r="K923" s="220" t="e">
        <f>VLOOKUP(Таблица37[[#This Row],[Оболочки]],'[3]Расчет себес оболочек'!$A$3:$E$35,5,0)</f>
        <v>#N/A</v>
      </c>
    </row>
    <row r="924" spans="2:11" x14ac:dyDescent="0.25">
      <c r="B924" s="350" t="s">
        <v>2230</v>
      </c>
      <c r="C924" s="361" t="s">
        <v>2231</v>
      </c>
      <c r="D924" s="352"/>
      <c r="E924" s="353">
        <f t="shared" si="17"/>
        <v>281.88</v>
      </c>
      <c r="F924" s="354"/>
      <c r="G924" s="358" t="s">
        <v>2343</v>
      </c>
      <c r="H924" s="359">
        <v>29.17</v>
      </c>
      <c r="I924" s="356">
        <f>Таблица37[[#This Row],[Цена]]+Таблица37[[#This Row],[Трудозатраты]]*1.1</f>
        <v>313.96699999999998</v>
      </c>
      <c r="J924" s="357">
        <v>281.88</v>
      </c>
      <c r="K924" s="220" t="e">
        <f>VLOOKUP(Таблица37[[#This Row],[Оболочки]],'[3]Расчет себес оболочек'!$A$3:$E$35,5,0)</f>
        <v>#N/A</v>
      </c>
    </row>
    <row r="925" spans="2:11" x14ac:dyDescent="0.25">
      <c r="B925" s="350" t="s">
        <v>378</v>
      </c>
      <c r="C925" s="361" t="s">
        <v>2232</v>
      </c>
      <c r="D925" s="352"/>
      <c r="E925" s="353">
        <f t="shared" si="17"/>
        <v>162820.5</v>
      </c>
      <c r="F925" s="354"/>
      <c r="G925" s="358" t="s">
        <v>2343</v>
      </c>
      <c r="H925" s="359">
        <v>29.17</v>
      </c>
      <c r="I925" s="356">
        <f>Таблица37[[#This Row],[Цена]]+Таблица37[[#This Row],[Трудозатраты]]*1.1</f>
        <v>162852.587</v>
      </c>
      <c r="J925" s="357">
        <v>162820.5</v>
      </c>
      <c r="K925" s="220" t="e">
        <f>VLOOKUP(Таблица37[[#This Row],[Оболочки]],'[3]Расчет себес оболочек'!$A$3:$E$35,5,0)</f>
        <v>#N/A</v>
      </c>
    </row>
    <row r="926" spans="2:11" x14ac:dyDescent="0.25">
      <c r="B926" s="350" t="s">
        <v>2233</v>
      </c>
      <c r="C926" s="361" t="s">
        <v>2234</v>
      </c>
      <c r="D926" s="352"/>
      <c r="E926" s="353">
        <f t="shared" si="17"/>
        <v>1476.3899999999999</v>
      </c>
      <c r="F926" s="354"/>
      <c r="G926" s="358" t="s">
        <v>2343</v>
      </c>
      <c r="H926" s="359">
        <v>29.17</v>
      </c>
      <c r="I926" s="356">
        <f>Таблица37[[#This Row],[Цена]]+Таблица37[[#This Row],[Трудозатраты]]*1.1</f>
        <v>1508.4769999999999</v>
      </c>
      <c r="J926" s="357">
        <v>1476.3899999999999</v>
      </c>
      <c r="K926" s="220" t="e">
        <f>VLOOKUP(Таблица37[[#This Row],[Оболочки]],'[3]Расчет себес оболочек'!$A$3:$E$35,5,0)</f>
        <v>#N/A</v>
      </c>
    </row>
    <row r="927" spans="2:11" x14ac:dyDescent="0.25">
      <c r="B927" s="350" t="s">
        <v>343</v>
      </c>
      <c r="C927" s="361" t="s">
        <v>2235</v>
      </c>
      <c r="D927" s="352"/>
      <c r="E927" s="353">
        <f t="shared" si="17"/>
        <v>82.649999999999991</v>
      </c>
      <c r="F927" s="354"/>
      <c r="G927" s="358" t="s">
        <v>2343</v>
      </c>
      <c r="H927" s="359">
        <v>29.17</v>
      </c>
      <c r="I927" s="356">
        <f>Таблица37[[#This Row],[Цена]]+Таблица37[[#This Row],[Трудозатраты]]*1.1</f>
        <v>114.73699999999999</v>
      </c>
      <c r="J927" s="357">
        <v>82.649999999999991</v>
      </c>
      <c r="K927" s="220" t="e">
        <f>VLOOKUP(Таблица37[[#This Row],[Оболочки]],'[3]Расчет себес оболочек'!$A$3:$E$35,5,0)</f>
        <v>#N/A</v>
      </c>
    </row>
    <row r="928" spans="2:11" x14ac:dyDescent="0.25">
      <c r="B928" s="350" t="s">
        <v>336</v>
      </c>
      <c r="C928" s="361" t="s">
        <v>2236</v>
      </c>
      <c r="D928" s="352"/>
      <c r="E928" s="353">
        <f t="shared" si="17"/>
        <v>26.97</v>
      </c>
      <c r="F928" s="354"/>
      <c r="G928" s="358" t="s">
        <v>2343</v>
      </c>
      <c r="H928" s="359">
        <v>29.17</v>
      </c>
      <c r="I928" s="356">
        <f>Таблица37[[#This Row],[Цена]]+Таблица37[[#This Row],[Трудозатраты]]*1.1</f>
        <v>59.057000000000002</v>
      </c>
      <c r="J928" s="357">
        <v>26.97</v>
      </c>
      <c r="K928" s="220" t="e">
        <f>VLOOKUP(Таблица37[[#This Row],[Оболочки]],'[3]Расчет себес оболочек'!$A$3:$E$35,5,0)</f>
        <v>#N/A</v>
      </c>
    </row>
    <row r="929" spans="2:11" x14ac:dyDescent="0.25">
      <c r="B929" s="350" t="s">
        <v>338</v>
      </c>
      <c r="C929" s="361" t="s">
        <v>2237</v>
      </c>
      <c r="D929" s="352"/>
      <c r="E929" s="353">
        <f t="shared" si="17"/>
        <v>26.97</v>
      </c>
      <c r="F929" s="354"/>
      <c r="G929" s="358" t="s">
        <v>2343</v>
      </c>
      <c r="H929" s="359">
        <v>29.17</v>
      </c>
      <c r="I929" s="356">
        <f>Таблица37[[#This Row],[Цена]]+Таблица37[[#This Row],[Трудозатраты]]*1.1</f>
        <v>59.057000000000002</v>
      </c>
      <c r="J929" s="357">
        <v>26.97</v>
      </c>
      <c r="K929" s="220" t="e">
        <f>VLOOKUP(Таблица37[[#This Row],[Оболочки]],'[3]Расчет себес оболочек'!$A$3:$E$35,5,0)</f>
        <v>#N/A</v>
      </c>
    </row>
    <row r="930" spans="2:11" x14ac:dyDescent="0.25">
      <c r="B930" s="350" t="s">
        <v>347</v>
      </c>
      <c r="C930" s="361" t="s">
        <v>2238</v>
      </c>
      <c r="D930" s="352"/>
      <c r="E930" s="353">
        <f t="shared" si="17"/>
        <v>30.45</v>
      </c>
      <c r="F930" s="354"/>
      <c r="G930" s="358" t="s">
        <v>2343</v>
      </c>
      <c r="H930" s="359">
        <v>29.17</v>
      </c>
      <c r="I930" s="356">
        <f>Таблица37[[#This Row],[Цена]]+Таблица37[[#This Row],[Трудозатраты]]*1.1</f>
        <v>62.537000000000006</v>
      </c>
      <c r="J930" s="357">
        <v>30.45</v>
      </c>
      <c r="K930" s="220" t="e">
        <f>VLOOKUP(Таблица37[[#This Row],[Оболочки]],'[3]Расчет себес оболочек'!$A$3:$E$35,5,0)</f>
        <v>#N/A</v>
      </c>
    </row>
    <row r="931" spans="2:11" x14ac:dyDescent="0.25">
      <c r="B931" s="350" t="s">
        <v>337</v>
      </c>
      <c r="C931" s="361" t="s">
        <v>2239</v>
      </c>
      <c r="D931" s="352"/>
      <c r="E931" s="353">
        <f t="shared" si="17"/>
        <v>91.350000000000009</v>
      </c>
      <c r="F931" s="354"/>
      <c r="G931" s="358" t="s">
        <v>2343</v>
      </c>
      <c r="H931" s="359">
        <v>29.17</v>
      </c>
      <c r="I931" s="356">
        <f>Таблица37[[#This Row],[Цена]]+Таблица37[[#This Row],[Трудозатраты]]*1.1</f>
        <v>123.43700000000001</v>
      </c>
      <c r="J931" s="357">
        <v>91.350000000000009</v>
      </c>
      <c r="K931" s="220" t="e">
        <f>VLOOKUP(Таблица37[[#This Row],[Оболочки]],'[3]Расчет себес оболочек'!$A$3:$E$35,5,0)</f>
        <v>#N/A</v>
      </c>
    </row>
    <row r="932" spans="2:11" x14ac:dyDescent="0.25">
      <c r="B932" s="350" t="s">
        <v>349</v>
      </c>
      <c r="C932" s="361" t="s">
        <v>2240</v>
      </c>
      <c r="D932" s="352"/>
      <c r="E932" s="353">
        <f t="shared" si="17"/>
        <v>35.669999999999995</v>
      </c>
      <c r="F932" s="354"/>
      <c r="G932" s="358" t="s">
        <v>2343</v>
      </c>
      <c r="H932" s="359">
        <v>29.17</v>
      </c>
      <c r="I932" s="356">
        <f>Таблица37[[#This Row],[Цена]]+Таблица37[[#This Row],[Трудозатраты]]*1.1</f>
        <v>67.757000000000005</v>
      </c>
      <c r="J932" s="357">
        <v>35.669999999999995</v>
      </c>
      <c r="K932" s="220" t="e">
        <f>VLOOKUP(Таблица37[[#This Row],[Оболочки]],'[3]Расчет себес оболочек'!$A$3:$E$35,5,0)</f>
        <v>#N/A</v>
      </c>
    </row>
    <row r="933" spans="2:11" x14ac:dyDescent="0.25">
      <c r="B933" s="350" t="s">
        <v>348</v>
      </c>
      <c r="C933" s="361" t="s">
        <v>2241</v>
      </c>
      <c r="D933" s="352"/>
      <c r="E933" s="353">
        <f t="shared" si="17"/>
        <v>90.48</v>
      </c>
      <c r="F933" s="354"/>
      <c r="G933" s="358" t="s">
        <v>2343</v>
      </c>
      <c r="H933" s="359">
        <v>29.17</v>
      </c>
      <c r="I933" s="356">
        <f>Таблица37[[#This Row],[Цена]]+Таблица37[[#This Row],[Трудозатраты]]*1.1</f>
        <v>122.56700000000001</v>
      </c>
      <c r="J933" s="357">
        <v>90.48</v>
      </c>
      <c r="K933" s="220" t="e">
        <f>VLOOKUP(Таблица37[[#This Row],[Оболочки]],'[3]Расчет себес оболочек'!$A$3:$E$35,5,0)</f>
        <v>#N/A</v>
      </c>
    </row>
    <row r="934" spans="2:11" x14ac:dyDescent="0.25">
      <c r="B934" s="350" t="s">
        <v>353</v>
      </c>
      <c r="C934" s="361" t="s">
        <v>2242</v>
      </c>
      <c r="D934" s="352"/>
      <c r="E934" s="353">
        <f t="shared" si="17"/>
        <v>55.68</v>
      </c>
      <c r="F934" s="354"/>
      <c r="G934" s="358" t="s">
        <v>2343</v>
      </c>
      <c r="H934" s="359">
        <v>29.17</v>
      </c>
      <c r="I934" s="356">
        <f>Таблица37[[#This Row],[Цена]]+Таблица37[[#This Row],[Трудозатраты]]*1.1</f>
        <v>87.766999999999996</v>
      </c>
      <c r="J934" s="357">
        <v>55.68</v>
      </c>
      <c r="K934" s="220" t="e">
        <f>VLOOKUP(Таблица37[[#This Row],[Оболочки]],'[3]Расчет себес оболочек'!$A$3:$E$35,5,0)</f>
        <v>#N/A</v>
      </c>
    </row>
    <row r="935" spans="2:11" x14ac:dyDescent="0.25">
      <c r="B935" s="350" t="s">
        <v>355</v>
      </c>
      <c r="C935" s="361" t="s">
        <v>2243</v>
      </c>
      <c r="D935" s="352"/>
      <c r="E935" s="353">
        <f t="shared" si="17"/>
        <v>55.68</v>
      </c>
      <c r="F935" s="354"/>
      <c r="G935" s="358" t="s">
        <v>2343</v>
      </c>
      <c r="H935" s="359">
        <v>29.17</v>
      </c>
      <c r="I935" s="356">
        <f>Таблица37[[#This Row],[Цена]]+Таблица37[[#This Row],[Трудозатраты]]*1.1</f>
        <v>87.766999999999996</v>
      </c>
      <c r="J935" s="357">
        <v>55.68</v>
      </c>
      <c r="K935" s="220" t="e">
        <f>VLOOKUP(Таблица37[[#This Row],[Оболочки]],'[3]Расчет себес оболочек'!$A$3:$E$35,5,0)</f>
        <v>#N/A</v>
      </c>
    </row>
    <row r="936" spans="2:11" x14ac:dyDescent="0.25">
      <c r="B936" s="350" t="s">
        <v>354</v>
      </c>
      <c r="C936" s="361" t="s">
        <v>2244</v>
      </c>
      <c r="D936" s="352"/>
      <c r="E936" s="353">
        <f t="shared" si="17"/>
        <v>140.07000000000002</v>
      </c>
      <c r="F936" s="354"/>
      <c r="G936" s="358" t="s">
        <v>2343</v>
      </c>
      <c r="H936" s="359">
        <v>29.17</v>
      </c>
      <c r="I936" s="356">
        <f>Таблица37[[#This Row],[Цена]]+Таблица37[[#This Row],[Трудозатраты]]*1.1</f>
        <v>172.15700000000004</v>
      </c>
      <c r="J936" s="357">
        <v>140.07000000000002</v>
      </c>
      <c r="K936" s="220" t="e">
        <f>VLOOKUP(Таблица37[[#This Row],[Оболочки]],'[3]Расчет себес оболочек'!$A$3:$E$35,5,0)</f>
        <v>#N/A</v>
      </c>
    </row>
    <row r="937" spans="2:11" x14ac:dyDescent="0.25">
      <c r="B937" s="350" t="s">
        <v>359</v>
      </c>
      <c r="C937" s="361" t="s">
        <v>2245</v>
      </c>
      <c r="D937" s="352"/>
      <c r="E937" s="353">
        <f t="shared" si="17"/>
        <v>75.69</v>
      </c>
      <c r="F937" s="354"/>
      <c r="G937" s="358" t="s">
        <v>2343</v>
      </c>
      <c r="H937" s="359">
        <v>29.17</v>
      </c>
      <c r="I937" s="356">
        <f>Таблица37[[#This Row],[Цена]]+Таблица37[[#This Row],[Трудозатраты]]*1.1</f>
        <v>107.777</v>
      </c>
      <c r="J937" s="357">
        <v>75.69</v>
      </c>
      <c r="K937" s="220" t="e">
        <f>VLOOKUP(Таблица37[[#This Row],[Оболочки]],'[3]Расчет себес оболочек'!$A$3:$E$35,5,0)</f>
        <v>#N/A</v>
      </c>
    </row>
    <row r="938" spans="2:11" x14ac:dyDescent="0.25">
      <c r="B938" s="350" t="s">
        <v>361</v>
      </c>
      <c r="C938" s="361" t="s">
        <v>2246</v>
      </c>
      <c r="D938" s="352"/>
      <c r="E938" s="353">
        <f t="shared" si="17"/>
        <v>74.819999999999993</v>
      </c>
      <c r="F938" s="354"/>
      <c r="G938" s="358" t="s">
        <v>2343</v>
      </c>
      <c r="H938" s="359">
        <v>29.17</v>
      </c>
      <c r="I938" s="356">
        <f>Таблица37[[#This Row],[Цена]]+Таблица37[[#This Row],[Трудозатраты]]*1.1</f>
        <v>106.907</v>
      </c>
      <c r="J938" s="357">
        <v>74.819999999999993</v>
      </c>
      <c r="K938" s="220" t="e">
        <f>VLOOKUP(Таблица37[[#This Row],[Оболочки]],'[3]Расчет себес оболочек'!$A$3:$E$35,5,0)</f>
        <v>#N/A</v>
      </c>
    </row>
    <row r="939" spans="2:11" x14ac:dyDescent="0.25">
      <c r="B939" s="350" t="s">
        <v>360</v>
      </c>
      <c r="C939" s="361" t="s">
        <v>2247</v>
      </c>
      <c r="D939" s="352"/>
      <c r="E939" s="353">
        <f t="shared" si="17"/>
        <v>161.82000000000002</v>
      </c>
      <c r="F939" s="354"/>
      <c r="G939" s="358" t="s">
        <v>2343</v>
      </c>
      <c r="H939" s="359">
        <v>29.17</v>
      </c>
      <c r="I939" s="356">
        <f>Таблица37[[#This Row],[Цена]]+Таблица37[[#This Row],[Трудозатраты]]*1.1</f>
        <v>193.90700000000004</v>
      </c>
      <c r="J939" s="357">
        <v>161.82000000000002</v>
      </c>
      <c r="K939" s="220" t="e">
        <f>VLOOKUP(Таблица37[[#This Row],[Оболочки]],'[3]Расчет себес оболочек'!$A$3:$E$35,5,0)</f>
        <v>#N/A</v>
      </c>
    </row>
    <row r="940" spans="2:11" x14ac:dyDescent="0.25">
      <c r="B940" s="350" t="s">
        <v>365</v>
      </c>
      <c r="C940" s="361" t="s">
        <v>2248</v>
      </c>
      <c r="D940" s="352"/>
      <c r="E940" s="353">
        <f t="shared" si="17"/>
        <v>87.87</v>
      </c>
      <c r="F940" s="354"/>
      <c r="G940" s="358" t="s">
        <v>2343</v>
      </c>
      <c r="H940" s="359">
        <v>29.17</v>
      </c>
      <c r="I940" s="356">
        <f>Таблица37[[#This Row],[Цена]]+Таблица37[[#This Row],[Трудозатраты]]*1.1</f>
        <v>119.95700000000001</v>
      </c>
      <c r="J940" s="357">
        <v>87.87</v>
      </c>
      <c r="K940" s="220" t="e">
        <f>VLOOKUP(Таблица37[[#This Row],[Оболочки]],'[3]Расчет себес оболочек'!$A$3:$E$35,5,0)</f>
        <v>#N/A</v>
      </c>
    </row>
    <row r="941" spans="2:11" x14ac:dyDescent="0.25">
      <c r="B941" s="350" t="s">
        <v>367</v>
      </c>
      <c r="C941" s="361" t="s">
        <v>2249</v>
      </c>
      <c r="D941" s="352"/>
      <c r="E941" s="353">
        <f t="shared" si="17"/>
        <v>87.87</v>
      </c>
      <c r="F941" s="354"/>
      <c r="G941" s="358" t="s">
        <v>2343</v>
      </c>
      <c r="H941" s="359">
        <v>29.17</v>
      </c>
      <c r="I941" s="356">
        <f>Таблица37[[#This Row],[Цена]]+Таблица37[[#This Row],[Трудозатраты]]*1.1</f>
        <v>119.95700000000001</v>
      </c>
      <c r="J941" s="357">
        <v>87.87</v>
      </c>
      <c r="K941" s="220" t="e">
        <f>VLOOKUP(Таблица37[[#This Row],[Оболочки]],'[3]Расчет себес оболочек'!$A$3:$E$35,5,0)</f>
        <v>#N/A</v>
      </c>
    </row>
    <row r="942" spans="2:11" x14ac:dyDescent="0.25">
      <c r="B942" s="350" t="s">
        <v>366</v>
      </c>
      <c r="C942" s="361" t="s">
        <v>2250</v>
      </c>
      <c r="D942" s="352"/>
      <c r="E942" s="353">
        <f t="shared" si="17"/>
        <v>184.44</v>
      </c>
      <c r="F942" s="354"/>
      <c r="G942" s="358" t="s">
        <v>2343</v>
      </c>
      <c r="H942" s="359">
        <v>29.17</v>
      </c>
      <c r="I942" s="356">
        <f>Таблица37[[#This Row],[Цена]]+Таблица37[[#This Row],[Трудозатраты]]*1.1</f>
        <v>216.52699999999999</v>
      </c>
      <c r="J942" s="357">
        <v>184.44</v>
      </c>
      <c r="K942" s="220" t="e">
        <f>VLOOKUP(Таблица37[[#This Row],[Оболочки]],'[3]Расчет себес оболочек'!$A$3:$E$35,5,0)</f>
        <v>#N/A</v>
      </c>
    </row>
    <row r="943" spans="2:11" x14ac:dyDescent="0.25">
      <c r="B943" s="350" t="s">
        <v>371</v>
      </c>
      <c r="C943" s="361" t="s">
        <v>2251</v>
      </c>
      <c r="D943" s="352"/>
      <c r="E943" s="353">
        <f t="shared" ref="E943:E955" si="18">J943</f>
        <v>729.06000000000006</v>
      </c>
      <c r="F943" s="354"/>
      <c r="G943" s="358" t="s">
        <v>2343</v>
      </c>
      <c r="H943" s="359">
        <v>29.17</v>
      </c>
      <c r="I943" s="356">
        <f>Таблица37[[#This Row],[Цена]]+Таблица37[[#This Row],[Трудозатраты]]*1.1</f>
        <v>761.14700000000005</v>
      </c>
      <c r="J943" s="357">
        <v>729.06000000000006</v>
      </c>
      <c r="K943" s="220" t="e">
        <f>VLOOKUP(Таблица37[[#This Row],[Оболочки]],'[3]Расчет себес оболочек'!$A$3:$E$35,5,0)</f>
        <v>#N/A</v>
      </c>
    </row>
    <row r="944" spans="2:11" x14ac:dyDescent="0.25">
      <c r="B944" s="350" t="s">
        <v>373</v>
      </c>
      <c r="C944" s="361" t="s">
        <v>2252</v>
      </c>
      <c r="D944" s="352"/>
      <c r="E944" s="353">
        <f t="shared" si="18"/>
        <v>721.2299999999999</v>
      </c>
      <c r="F944" s="354"/>
      <c r="G944" s="358" t="s">
        <v>2343</v>
      </c>
      <c r="H944" s="359">
        <v>29.17</v>
      </c>
      <c r="I944" s="356">
        <f>Таблица37[[#This Row],[Цена]]+Таблица37[[#This Row],[Трудозатраты]]*1.1</f>
        <v>753.31699999999989</v>
      </c>
      <c r="J944" s="357">
        <v>721.2299999999999</v>
      </c>
      <c r="K944" s="220" t="e">
        <f>VLOOKUP(Таблица37[[#This Row],[Оболочки]],'[3]Расчет себес оболочек'!$A$3:$E$35,5,0)</f>
        <v>#N/A</v>
      </c>
    </row>
    <row r="945" spans="2:11" x14ac:dyDescent="0.25">
      <c r="B945" s="350" t="s">
        <v>372</v>
      </c>
      <c r="C945" s="361" t="s">
        <v>2253</v>
      </c>
      <c r="D945" s="352"/>
      <c r="E945" s="353">
        <f t="shared" si="18"/>
        <v>1215.3900000000001</v>
      </c>
      <c r="F945" s="354"/>
      <c r="G945" s="358" t="s">
        <v>2343</v>
      </c>
      <c r="H945" s="359">
        <v>29.17</v>
      </c>
      <c r="I945" s="356">
        <f>Таблица37[[#This Row],[Цена]]+Таблица37[[#This Row],[Трудозатраты]]*1.1</f>
        <v>1247.4770000000001</v>
      </c>
      <c r="J945" s="357">
        <v>1215.3900000000001</v>
      </c>
      <c r="K945" s="220" t="e">
        <f>VLOOKUP(Таблица37[[#This Row],[Оболочки]],'[3]Расчет себес оболочек'!$A$3:$E$35,5,0)</f>
        <v>#N/A</v>
      </c>
    </row>
    <row r="946" spans="2:11" x14ac:dyDescent="0.25">
      <c r="B946" s="350" t="s">
        <v>342</v>
      </c>
      <c r="C946" s="361" t="s">
        <v>2254</v>
      </c>
      <c r="D946" s="352"/>
      <c r="E946" s="353">
        <f t="shared" si="18"/>
        <v>22.62</v>
      </c>
      <c r="F946" s="354"/>
      <c r="G946" s="358" t="s">
        <v>2343</v>
      </c>
      <c r="H946" s="359">
        <v>29.17</v>
      </c>
      <c r="I946" s="356">
        <f>Таблица37[[#This Row],[Цена]]+Таблица37[[#This Row],[Трудозатраты]]*1.1</f>
        <v>54.707000000000008</v>
      </c>
      <c r="J946" s="357">
        <v>22.62</v>
      </c>
      <c r="K946" s="220" t="e">
        <f>VLOOKUP(Таблица37[[#This Row],[Оболочки]],'[3]Расчет себес оболочек'!$A$3:$E$35,5,0)</f>
        <v>#N/A</v>
      </c>
    </row>
    <row r="947" spans="2:11" x14ac:dyDescent="0.25">
      <c r="B947" s="350" t="s">
        <v>344</v>
      </c>
      <c r="C947" s="361" t="s">
        <v>2255</v>
      </c>
      <c r="D947" s="352"/>
      <c r="E947" s="353">
        <f t="shared" si="18"/>
        <v>22.62</v>
      </c>
      <c r="F947" s="354"/>
      <c r="G947" s="358" t="s">
        <v>2343</v>
      </c>
      <c r="H947" s="359">
        <v>29.17</v>
      </c>
      <c r="I947" s="356">
        <f>Таблица37[[#This Row],[Цена]]+Таблица37[[#This Row],[Трудозатраты]]*1.1</f>
        <v>54.707000000000008</v>
      </c>
      <c r="J947" s="357">
        <v>22.62</v>
      </c>
      <c r="K947" s="220" t="e">
        <f>VLOOKUP(Таблица37[[#This Row],[Оболочки]],'[3]Расчет себес оболочек'!$A$3:$E$35,5,0)</f>
        <v>#N/A</v>
      </c>
    </row>
    <row r="948" spans="2:11" x14ac:dyDescent="0.25">
      <c r="B948" s="350" t="s">
        <v>335</v>
      </c>
      <c r="C948" s="361" t="s">
        <v>2256</v>
      </c>
      <c r="D948" s="352"/>
      <c r="E948" s="353">
        <f t="shared" si="18"/>
        <v>16.53</v>
      </c>
      <c r="F948" s="354"/>
      <c r="G948" s="358" t="s">
        <v>2343</v>
      </c>
      <c r="H948" s="359"/>
      <c r="I948" s="356">
        <f>Таблица37[[#This Row],[Цена]]+Таблица37[[#This Row],[Трудозатраты]]</f>
        <v>16.53</v>
      </c>
      <c r="J948" s="357">
        <v>16.53</v>
      </c>
      <c r="K948" s="220" t="e">
        <f>VLOOKUP(Таблица37[[#This Row],[Оболочки]],'[3]Расчет себес оболочек'!$A$3:$E$35,5,0)</f>
        <v>#N/A</v>
      </c>
    </row>
    <row r="949" spans="2:11" x14ac:dyDescent="0.25">
      <c r="B949" s="350" t="s">
        <v>2257</v>
      </c>
      <c r="C949" s="361" t="s">
        <v>2258</v>
      </c>
      <c r="D949" s="352"/>
      <c r="E949" s="353">
        <f t="shared" si="18"/>
        <v>22.62</v>
      </c>
      <c r="F949" s="354"/>
      <c r="G949" s="358" t="s">
        <v>2343</v>
      </c>
      <c r="H949" s="359"/>
      <c r="I949" s="356">
        <f>Таблица37[[#This Row],[Цена]]+Таблица37[[#This Row],[Трудозатраты]]</f>
        <v>22.62</v>
      </c>
      <c r="J949" s="357">
        <v>22.62</v>
      </c>
      <c r="K949" s="220" t="e">
        <f>VLOOKUP(Таблица37[[#This Row],[Оболочки]],'[3]Расчет себес оболочек'!$A$3:$E$35,5,0)</f>
        <v>#N/A</v>
      </c>
    </row>
    <row r="950" spans="2:11" x14ac:dyDescent="0.25">
      <c r="B950" s="350" t="s">
        <v>339</v>
      </c>
      <c r="C950" s="361" t="s">
        <v>2259</v>
      </c>
      <c r="D950" s="352"/>
      <c r="E950" s="353">
        <f t="shared" si="18"/>
        <v>17.400000000000002</v>
      </c>
      <c r="F950" s="354"/>
      <c r="G950" s="358" t="s">
        <v>2343</v>
      </c>
      <c r="H950" s="359"/>
      <c r="I950" s="356">
        <f>Таблица37[[#This Row],[Цена]]+Таблица37[[#This Row],[Трудозатраты]]</f>
        <v>17.400000000000002</v>
      </c>
      <c r="J950" s="357">
        <v>17.400000000000002</v>
      </c>
      <c r="K950" s="220" t="e">
        <f>VLOOKUP(Таблица37[[#This Row],[Оболочки]],'[3]Расчет себес оболочек'!$A$3:$E$35,5,0)</f>
        <v>#N/A</v>
      </c>
    </row>
    <row r="951" spans="2:11" x14ac:dyDescent="0.25">
      <c r="B951" s="350" t="s">
        <v>350</v>
      </c>
      <c r="C951" s="361" t="s">
        <v>2260</v>
      </c>
      <c r="D951" s="352"/>
      <c r="E951" s="353">
        <f t="shared" si="18"/>
        <v>18.27</v>
      </c>
      <c r="F951" s="354"/>
      <c r="G951" s="358" t="s">
        <v>2343</v>
      </c>
      <c r="H951" s="359"/>
      <c r="I951" s="356">
        <f>Таблица37[[#This Row],[Цена]]+Таблица37[[#This Row],[Трудозатраты]]</f>
        <v>18.27</v>
      </c>
      <c r="J951" s="357">
        <v>18.27</v>
      </c>
      <c r="K951" s="220" t="e">
        <f>VLOOKUP(Таблица37[[#This Row],[Оболочки]],'[3]Расчет себес оболочек'!$A$3:$E$35,5,0)</f>
        <v>#N/A</v>
      </c>
    </row>
    <row r="952" spans="2:11" x14ac:dyDescent="0.25">
      <c r="B952" s="350" t="s">
        <v>356</v>
      </c>
      <c r="C952" s="361" t="s">
        <v>2261</v>
      </c>
      <c r="D952" s="352"/>
      <c r="E952" s="353">
        <f t="shared" si="18"/>
        <v>17.400000000000002</v>
      </c>
      <c r="F952" s="354"/>
      <c r="G952" s="358" t="s">
        <v>2343</v>
      </c>
      <c r="H952" s="359"/>
      <c r="I952" s="356">
        <f>Таблица37[[#This Row],[Цена]]+Таблица37[[#This Row],[Трудозатраты]]</f>
        <v>17.400000000000002</v>
      </c>
      <c r="J952" s="357">
        <v>17.400000000000002</v>
      </c>
      <c r="K952" s="220" t="e">
        <f>VLOOKUP(Таблица37[[#This Row],[Оболочки]],'[3]Расчет себес оболочек'!$A$3:$E$35,5,0)</f>
        <v>#N/A</v>
      </c>
    </row>
    <row r="953" spans="2:11" x14ac:dyDescent="0.25">
      <c r="B953" s="350" t="s">
        <v>362</v>
      </c>
      <c r="C953" s="361" t="s">
        <v>2262</v>
      </c>
      <c r="D953" s="352"/>
      <c r="E953" s="353">
        <f t="shared" si="18"/>
        <v>19.14</v>
      </c>
      <c r="F953" s="354"/>
      <c r="G953" s="358" t="s">
        <v>2343</v>
      </c>
      <c r="H953" s="359"/>
      <c r="I953" s="356">
        <f>Таблица37[[#This Row],[Цена]]+Таблица37[[#This Row],[Трудозатраты]]</f>
        <v>19.14</v>
      </c>
      <c r="J953" s="357">
        <v>19.14</v>
      </c>
      <c r="K953" s="220" t="e">
        <f>VLOOKUP(Таблица37[[#This Row],[Оболочки]],'[3]Расчет себес оболочек'!$A$3:$E$35,5,0)</f>
        <v>#N/A</v>
      </c>
    </row>
    <row r="954" spans="2:11" x14ac:dyDescent="0.25">
      <c r="B954" s="350" t="s">
        <v>368</v>
      </c>
      <c r="C954" s="361" t="s">
        <v>2263</v>
      </c>
      <c r="D954" s="352"/>
      <c r="E954" s="353">
        <f t="shared" si="18"/>
        <v>24.360000000000003</v>
      </c>
      <c r="F954" s="354"/>
      <c r="G954" s="358" t="s">
        <v>2343</v>
      </c>
      <c r="H954" s="359"/>
      <c r="I954" s="356">
        <f>Таблица37[[#This Row],[Цена]]+Таблица37[[#This Row],[Трудозатраты]]</f>
        <v>24.360000000000003</v>
      </c>
      <c r="J954" s="357">
        <v>24.360000000000003</v>
      </c>
      <c r="K954" s="220" t="e">
        <f>VLOOKUP(Таблица37[[#This Row],[Оболочки]],'[3]Расчет себес оболочек'!$A$3:$E$35,5,0)</f>
        <v>#N/A</v>
      </c>
    </row>
    <row r="955" spans="2:11" x14ac:dyDescent="0.25">
      <c r="B955" s="350" t="s">
        <v>2264</v>
      </c>
      <c r="C955" s="361" t="s">
        <v>2265</v>
      </c>
      <c r="D955" s="352"/>
      <c r="E955" s="353">
        <f t="shared" si="18"/>
        <v>25.229999999999997</v>
      </c>
      <c r="F955" s="354"/>
      <c r="G955" s="358" t="s">
        <v>2343</v>
      </c>
      <c r="H955" s="359"/>
      <c r="I955" s="356">
        <f>Таблица37[[#This Row],[Цена]]+Таблица37[[#This Row],[Трудозатраты]]</f>
        <v>25.229999999999997</v>
      </c>
      <c r="J955" s="357">
        <v>25.229999999999997</v>
      </c>
      <c r="K955" s="220" t="e">
        <f>VLOOKUP(Таблица37[[#This Row],[Оболочки]],'[3]Расчет себес оболочек'!$A$3:$E$35,5,0)</f>
        <v>#N/A</v>
      </c>
    </row>
    <row r="956" spans="2:11" x14ac:dyDescent="0.25">
      <c r="B956" s="350" t="s">
        <v>247</v>
      </c>
      <c r="C956" s="361" t="s">
        <v>2268</v>
      </c>
      <c r="D956" s="352"/>
      <c r="E956" s="353">
        <v>15.62</v>
      </c>
      <c r="F956" s="354"/>
      <c r="G956" s="358" t="s">
        <v>2343</v>
      </c>
      <c r="H956" s="359">
        <v>29.17</v>
      </c>
      <c r="I956" s="356">
        <f>Таблица37[[#This Row],[Цена]]+Таблица37[[#This Row],[Трудозатраты]]*1.1</f>
        <v>47.707000000000001</v>
      </c>
      <c r="J956" s="357">
        <v>15.674999999999999</v>
      </c>
      <c r="K956" s="220" t="e">
        <f>VLOOKUP(Таблица37[[#This Row],[Оболочки]],'[3]Расчет себес оболочек'!$A$3:$E$35,5,0)</f>
        <v>#N/A</v>
      </c>
    </row>
    <row r="957" spans="2:11" x14ac:dyDescent="0.25">
      <c r="B957" s="350" t="s">
        <v>248</v>
      </c>
      <c r="C957" s="361" t="s">
        <v>2270</v>
      </c>
      <c r="D957" s="352"/>
      <c r="E957" s="353">
        <f>VLOOKUP(Таблица37[[#This Row],[Оболочки]],'предоставленные цены'!$B$4:$D$328,2,0)</f>
        <v>17.3</v>
      </c>
      <c r="F957" s="354"/>
      <c r="G957" s="358" t="s">
        <v>2343</v>
      </c>
      <c r="H957" s="359">
        <v>29.17</v>
      </c>
      <c r="I957" s="356">
        <f>Таблица37[[#This Row],[Цена]]+Таблица37[[#This Row],[Трудозатраты]]*1.1</f>
        <v>49.387</v>
      </c>
      <c r="J957" s="357">
        <v>28.183333333333334</v>
      </c>
      <c r="K957" s="220" t="e">
        <f>VLOOKUP(Таблица37[[#This Row],[Оболочки]],'[3]Расчет себес оболочек'!$A$3:$E$35,5,0)</f>
        <v>#N/A</v>
      </c>
    </row>
    <row r="958" spans="2:11" x14ac:dyDescent="0.25">
      <c r="B958" s="350" t="s">
        <v>249</v>
      </c>
      <c r="C958" s="361" t="s">
        <v>2271</v>
      </c>
      <c r="D958" s="352"/>
      <c r="E958" s="353">
        <f>VLOOKUP(Таблица37[[#This Row],[Оболочки]],'предоставленные цены'!$B$4:$D$328,2,0)</f>
        <v>28</v>
      </c>
      <c r="F958" s="354"/>
      <c r="G958" s="358" t="s">
        <v>2343</v>
      </c>
      <c r="H958" s="359">
        <v>29.17</v>
      </c>
      <c r="I958" s="356">
        <f>Таблица37[[#This Row],[Цена]]+Таблица37[[#This Row],[Трудозатраты]]*1.1</f>
        <v>60.087000000000003</v>
      </c>
      <c r="J958" s="357">
        <v>43.45</v>
      </c>
      <c r="K958" s="220" t="e">
        <f>VLOOKUP(Таблица37[[#This Row],[Оболочки]],'[3]Расчет себес оболочек'!$A$3:$E$35,5,0)</f>
        <v>#N/A</v>
      </c>
    </row>
    <row r="959" spans="2:11" x14ac:dyDescent="0.25">
      <c r="B959" s="350" t="s">
        <v>250</v>
      </c>
      <c r="C959" s="361" t="s">
        <v>2272</v>
      </c>
      <c r="D959" s="352"/>
      <c r="E959" s="353">
        <f>VLOOKUP(Таблица37[[#This Row],[Оболочки]],'предоставленные цены'!$B$4:$D$328,2,0)</f>
        <v>39.5</v>
      </c>
      <c r="F959" s="354"/>
      <c r="G959" s="358" t="s">
        <v>2343</v>
      </c>
      <c r="H959" s="359">
        <v>29.17</v>
      </c>
      <c r="I959" s="356">
        <f>Таблица37[[#This Row],[Цена]]+Таблица37[[#This Row],[Трудозатраты]]*1.1</f>
        <v>71.587000000000003</v>
      </c>
      <c r="J959" s="357">
        <v>48.733333333333334</v>
      </c>
      <c r="K959" s="220" t="e">
        <f>VLOOKUP(Таблица37[[#This Row],[Оболочки]],'[3]Расчет себес оболочек'!$A$3:$E$35,5,0)</f>
        <v>#N/A</v>
      </c>
    </row>
    <row r="960" spans="2:11" x14ac:dyDescent="0.25">
      <c r="B960" s="350" t="s">
        <v>251</v>
      </c>
      <c r="C960" s="361" t="s">
        <v>2273</v>
      </c>
      <c r="D960" s="352"/>
      <c r="E960" s="353">
        <f>VLOOKUP(Таблица37[[#This Row],[Оболочки]],'предоставленные цены'!$B$4:$D$328,2,0)</f>
        <v>55.9</v>
      </c>
      <c r="F960" s="354"/>
      <c r="G960" s="358" t="s">
        <v>2343</v>
      </c>
      <c r="H960" s="359">
        <v>29.17</v>
      </c>
      <c r="I960" s="356">
        <f>Таблица37[[#This Row],[Цена]]+Таблица37[[#This Row],[Трудозатраты]]*1.1</f>
        <v>87.986999999999995</v>
      </c>
      <c r="J960" s="357">
        <v>65.866666666666674</v>
      </c>
      <c r="K960" s="220" t="e">
        <f>VLOOKUP(Таблица37[[#This Row],[Оболочки]],'[3]Расчет себес оболочек'!$A$3:$E$35,5,0)</f>
        <v>#N/A</v>
      </c>
    </row>
    <row r="961" spans="2:11" x14ac:dyDescent="0.25">
      <c r="B961" s="350" t="s">
        <v>252</v>
      </c>
      <c r="C961" s="361" t="s">
        <v>2274</v>
      </c>
      <c r="D961" s="352"/>
      <c r="E961" s="353">
        <f>VLOOKUP(Таблица37[[#This Row],[Оболочки]],'предоставленные цены'!$B$4:$D$328,2,0)</f>
        <v>120.85</v>
      </c>
      <c r="F961" s="354"/>
      <c r="G961" s="358" t="s">
        <v>2343</v>
      </c>
      <c r="H961" s="359">
        <v>29.17</v>
      </c>
      <c r="I961" s="356">
        <f>Таблица37[[#This Row],[Цена]]+Таблица37[[#This Row],[Трудозатраты]]*1.1</f>
        <v>152.93700000000001</v>
      </c>
      <c r="J961" s="357">
        <v>139.13333333333335</v>
      </c>
      <c r="K961" s="220" t="e">
        <f>VLOOKUP(Таблица37[[#This Row],[Оболочки]],'[3]Расчет себес оболочек'!$A$3:$E$35,5,0)</f>
        <v>#N/A</v>
      </c>
    </row>
    <row r="962" spans="2:11" x14ac:dyDescent="0.25">
      <c r="B962" s="350" t="s">
        <v>253</v>
      </c>
      <c r="C962" s="361" t="s">
        <v>2275</v>
      </c>
      <c r="D962" s="352"/>
      <c r="E962" s="353">
        <f t="shared" ref="E962:E967" si="19">J962</f>
        <v>352.33</v>
      </c>
      <c r="F962" s="354"/>
      <c r="G962" s="358" t="s">
        <v>2343</v>
      </c>
      <c r="H962" s="359">
        <v>29.17</v>
      </c>
      <c r="I962" s="356">
        <f>Таблица37[[#This Row],[Цена]]+Таблица37[[#This Row],[Трудозатраты]]*1.1</f>
        <v>384.41699999999997</v>
      </c>
      <c r="J962" s="357">
        <v>352.33</v>
      </c>
      <c r="K962" s="220" t="e">
        <f>VLOOKUP(Таблица37[[#This Row],[Оболочки]],'[3]Расчет себес оболочек'!$A$3:$E$35,5,0)</f>
        <v>#N/A</v>
      </c>
    </row>
    <row r="963" spans="2:11" x14ac:dyDescent="0.25">
      <c r="B963" s="350" t="s">
        <v>254</v>
      </c>
      <c r="C963" s="361" t="s">
        <v>2276</v>
      </c>
      <c r="D963" s="352"/>
      <c r="E963" s="353">
        <f t="shared" si="19"/>
        <v>1034.2256</v>
      </c>
      <c r="F963" s="354"/>
      <c r="G963" s="358" t="s">
        <v>2343</v>
      </c>
      <c r="H963" s="359">
        <v>29.17</v>
      </c>
      <c r="I963" s="356">
        <f>Таблица37[[#This Row],[Цена]]+Таблица37[[#This Row],[Трудозатраты]]*1.1</f>
        <v>1066.3126</v>
      </c>
      <c r="J963" s="357">
        <v>1034.2256</v>
      </c>
      <c r="K963" s="220" t="e">
        <f>VLOOKUP(Таблица37[[#This Row],[Оболочки]],'[3]Расчет себес оболочек'!$A$3:$E$35,5,0)</f>
        <v>#N/A</v>
      </c>
    </row>
    <row r="964" spans="2:11" x14ac:dyDescent="0.25">
      <c r="B964" s="350" t="s">
        <v>254</v>
      </c>
      <c r="C964" s="361" t="s">
        <v>2277</v>
      </c>
      <c r="D964" s="352"/>
      <c r="E964" s="353">
        <f t="shared" si="19"/>
        <v>1034.2256</v>
      </c>
      <c r="F964" s="354"/>
      <c r="G964" s="358" t="s">
        <v>2343</v>
      </c>
      <c r="H964" s="359">
        <v>29.17</v>
      </c>
      <c r="I964" s="356">
        <f>Таблица37[[#This Row],[Цена]]+Таблица37[[#This Row],[Трудозатраты]]*1.1</f>
        <v>1066.3126</v>
      </c>
      <c r="J964" s="357">
        <v>1034.2256</v>
      </c>
      <c r="K964" s="220" t="e">
        <f>VLOOKUP(Таблица37[[#This Row],[Оболочки]],'[3]Расчет себес оболочек'!$A$3:$E$35,5,0)</f>
        <v>#N/A</v>
      </c>
    </row>
    <row r="965" spans="2:11" x14ac:dyDescent="0.25">
      <c r="B965" s="350" t="s">
        <v>255</v>
      </c>
      <c r="C965" s="361" t="s">
        <v>2278</v>
      </c>
      <c r="D965" s="352"/>
      <c r="E965" s="353">
        <f t="shared" si="19"/>
        <v>892.74619999999993</v>
      </c>
      <c r="F965" s="354"/>
      <c r="G965" s="358" t="s">
        <v>2343</v>
      </c>
      <c r="H965" s="359">
        <v>29.17</v>
      </c>
      <c r="I965" s="356">
        <f>Таблица37[[#This Row],[Цена]]+Таблица37[[#This Row],[Трудозатраты]]*1.1</f>
        <v>924.83319999999992</v>
      </c>
      <c r="J965" s="357">
        <v>892.74619999999993</v>
      </c>
      <c r="K965" s="220" t="e">
        <f>VLOOKUP(Таблица37[[#This Row],[Оболочки]],'[3]Расчет себес оболочек'!$A$3:$E$35,5,0)</f>
        <v>#N/A</v>
      </c>
    </row>
    <row r="966" spans="2:11" x14ac:dyDescent="0.25">
      <c r="B966" s="350" t="s">
        <v>255</v>
      </c>
      <c r="C966" s="361" t="s">
        <v>2279</v>
      </c>
      <c r="D966" s="352"/>
      <c r="E966" s="353">
        <f t="shared" si="19"/>
        <v>892.74619999999993</v>
      </c>
      <c r="F966" s="354"/>
      <c r="G966" s="358" t="s">
        <v>2343</v>
      </c>
      <c r="H966" s="359">
        <v>29.17</v>
      </c>
      <c r="I966" s="356">
        <f>Таблица37[[#This Row],[Цена]]+Таблица37[[#This Row],[Трудозатраты]]*1.1</f>
        <v>924.83319999999992</v>
      </c>
      <c r="J966" s="357">
        <v>892.74619999999993</v>
      </c>
      <c r="K966" s="220" t="e">
        <f>VLOOKUP(Таблица37[[#This Row],[Оболочки]],'[3]Расчет себес оболочек'!$A$3:$E$35,5,0)</f>
        <v>#N/A</v>
      </c>
    </row>
    <row r="967" spans="2:11" x14ac:dyDescent="0.25">
      <c r="B967" s="350" t="s">
        <v>256</v>
      </c>
      <c r="C967" s="361" t="s">
        <v>2280</v>
      </c>
      <c r="D967" s="352"/>
      <c r="E967" s="353">
        <f t="shared" si="19"/>
        <v>1641.3245999999999</v>
      </c>
      <c r="F967" s="354"/>
      <c r="G967" s="358" t="s">
        <v>2343</v>
      </c>
      <c r="H967" s="359">
        <v>29.17</v>
      </c>
      <c r="I967" s="356">
        <f>Таблица37[[#This Row],[Цена]]+Таблица37[[#This Row],[Трудозатраты]]*1.1</f>
        <v>1673.4115999999999</v>
      </c>
      <c r="J967" s="357">
        <v>1641.3245999999999</v>
      </c>
      <c r="K967" s="220" t="e">
        <f>VLOOKUP(Таблица37[[#This Row],[Оболочки]],'[3]Расчет себес оболочек'!$A$3:$E$35,5,0)</f>
        <v>#N/A</v>
      </c>
    </row>
    <row r="968" spans="2:11" x14ac:dyDescent="0.25">
      <c r="B968" s="350" t="s">
        <v>266</v>
      </c>
      <c r="C968" s="361" t="s">
        <v>2281</v>
      </c>
      <c r="D968" s="352"/>
      <c r="E968" s="353">
        <f>VLOOKUP(Таблица37[[#This Row],[Оболочки]],'предоставленные цены'!$B$4:$D$328,2,0)</f>
        <v>17.3</v>
      </c>
      <c r="F968" s="354"/>
      <c r="G968" s="358" t="s">
        <v>2343</v>
      </c>
      <c r="H968" s="359">
        <v>29.17</v>
      </c>
      <c r="I968" s="356">
        <f>Таблица37[[#This Row],[Цена]]+Таблица37[[#This Row],[Трудозатраты]]*1.1</f>
        <v>49.387</v>
      </c>
      <c r="J968" s="357">
        <v>15.674999999999999</v>
      </c>
      <c r="K968" s="220" t="e">
        <f>VLOOKUP(Таблица37[[#This Row],[Оболочки]],'[3]Расчет себес оболочек'!$A$3:$E$35,5,0)</f>
        <v>#N/A</v>
      </c>
    </row>
    <row r="969" spans="2:11" x14ac:dyDescent="0.25">
      <c r="B969" s="350" t="s">
        <v>267</v>
      </c>
      <c r="C969" s="361" t="s">
        <v>2282</v>
      </c>
      <c r="D969" s="352"/>
      <c r="E969" s="353">
        <f>VLOOKUP(Таблица37[[#This Row],[Оболочки]],'предоставленные цены'!$B$4:$D$328,2,0)</f>
        <v>18.100000000000001</v>
      </c>
      <c r="F969" s="354"/>
      <c r="G969" s="358" t="s">
        <v>2343</v>
      </c>
      <c r="H969" s="359">
        <v>29.17</v>
      </c>
      <c r="I969" s="356">
        <f>Таблица37[[#This Row],[Цена]]+Таблица37[[#This Row],[Трудозатраты]]*1.1</f>
        <v>50.187000000000005</v>
      </c>
      <c r="J969" s="357">
        <v>28.183333333333334</v>
      </c>
      <c r="K969" s="220" t="e">
        <f>VLOOKUP(Таблица37[[#This Row],[Оболочки]],'[3]Расчет себес оболочек'!$A$3:$E$35,5,0)</f>
        <v>#N/A</v>
      </c>
    </row>
    <row r="970" spans="2:11" x14ac:dyDescent="0.25">
      <c r="B970" s="350" t="s">
        <v>268</v>
      </c>
      <c r="C970" s="361" t="s">
        <v>2283</v>
      </c>
      <c r="D970" s="352"/>
      <c r="E970" s="353">
        <f>VLOOKUP(Таблица37[[#This Row],[Оболочки]],'предоставленные цены'!$B$4:$D$328,2,0)</f>
        <v>30.45</v>
      </c>
      <c r="F970" s="354"/>
      <c r="G970" s="358" t="s">
        <v>2343</v>
      </c>
      <c r="H970" s="359">
        <v>29.17</v>
      </c>
      <c r="I970" s="356">
        <f>Таблица37[[#This Row],[Цена]]+Таблица37[[#This Row],[Трудозатраты]]*1.1</f>
        <v>62.537000000000006</v>
      </c>
      <c r="J970" s="357">
        <v>43.45</v>
      </c>
      <c r="K970" s="220" t="e">
        <f>VLOOKUP(Таблица37[[#This Row],[Оболочки]],'[3]Расчет себес оболочек'!$A$3:$E$35,5,0)</f>
        <v>#N/A</v>
      </c>
    </row>
    <row r="971" spans="2:11" x14ac:dyDescent="0.25">
      <c r="B971" s="350" t="s">
        <v>269</v>
      </c>
      <c r="C971" s="361" t="s">
        <v>2284</v>
      </c>
      <c r="D971" s="352"/>
      <c r="E971" s="353">
        <f>VLOOKUP(Таблица37[[#This Row],[Оболочки]],'предоставленные цены'!$B$4:$D$328,2,0)</f>
        <v>43.6</v>
      </c>
      <c r="F971" s="354"/>
      <c r="G971" s="358" t="s">
        <v>2343</v>
      </c>
      <c r="H971" s="359">
        <v>29.17</v>
      </c>
      <c r="I971" s="356">
        <f>Таблица37[[#This Row],[Цена]]+Таблица37[[#This Row],[Трудозатраты]]*1.1</f>
        <v>75.687000000000012</v>
      </c>
      <c r="J971" s="357">
        <v>48.733333333333334</v>
      </c>
      <c r="K971" s="220" t="e">
        <f>VLOOKUP(Таблица37[[#This Row],[Оболочки]],'[3]Расчет себес оболочек'!$A$3:$E$35,5,0)</f>
        <v>#N/A</v>
      </c>
    </row>
    <row r="972" spans="2:11" x14ac:dyDescent="0.25">
      <c r="B972" s="350" t="s">
        <v>270</v>
      </c>
      <c r="C972" s="361" t="s">
        <v>2285</v>
      </c>
      <c r="D972" s="352"/>
      <c r="E972" s="353">
        <f>VLOOKUP(Таблица37[[#This Row],[Оболочки]],'предоставленные цены'!$B$4:$D$328,2,0)</f>
        <v>58.35</v>
      </c>
      <c r="F972" s="354"/>
      <c r="G972" s="358" t="s">
        <v>2343</v>
      </c>
      <c r="H972" s="359">
        <v>29.17</v>
      </c>
      <c r="I972" s="356">
        <f>Таблица37[[#This Row],[Цена]]+Таблица37[[#This Row],[Трудозатраты]]*1.1</f>
        <v>90.437000000000012</v>
      </c>
      <c r="J972" s="357">
        <v>65.866666666666674</v>
      </c>
      <c r="K972" s="220" t="e">
        <f>VLOOKUP(Таблица37[[#This Row],[Оболочки]],'[3]Расчет себес оболочек'!$A$3:$E$35,5,0)</f>
        <v>#N/A</v>
      </c>
    </row>
    <row r="973" spans="2:11" x14ac:dyDescent="0.25">
      <c r="B973" s="350" t="s">
        <v>271</v>
      </c>
      <c r="C973" s="361" t="s">
        <v>2286</v>
      </c>
      <c r="D973" s="352"/>
      <c r="E973" s="353">
        <f>VLOOKUP(Таблица37[[#This Row],[Оболочки]],'предоставленные цены'!$B$4:$D$328,2,0)</f>
        <v>128.25</v>
      </c>
      <c r="F973" s="354"/>
      <c r="G973" s="358" t="s">
        <v>2343</v>
      </c>
      <c r="H973" s="359">
        <v>29.17</v>
      </c>
      <c r="I973" s="356">
        <f>Таблица37[[#This Row],[Цена]]+Таблица37[[#This Row],[Трудозатраты]]*1.1</f>
        <v>160.33699999999999</v>
      </c>
      <c r="J973" s="357">
        <v>139.13333333333335</v>
      </c>
      <c r="K973" s="220" t="e">
        <f>VLOOKUP(Таблица37[[#This Row],[Оболочки]],'[3]Расчет себес оболочек'!$A$3:$E$35,5,0)</f>
        <v>#N/A</v>
      </c>
    </row>
    <row r="974" spans="2:11" x14ac:dyDescent="0.25">
      <c r="B974" s="350" t="s">
        <v>272</v>
      </c>
      <c r="C974" s="361" t="s">
        <v>2287</v>
      </c>
      <c r="D974" s="352"/>
      <c r="E974" s="353">
        <f t="shared" ref="E974:E979" si="20">J974</f>
        <v>352.33</v>
      </c>
      <c r="F974" s="354"/>
      <c r="G974" s="358" t="s">
        <v>2343</v>
      </c>
      <c r="H974" s="359">
        <v>29.17</v>
      </c>
      <c r="I974" s="356">
        <f>Таблица37[[#This Row],[Цена]]+Таблица37[[#This Row],[Трудозатраты]]*1.1</f>
        <v>384.41699999999997</v>
      </c>
      <c r="J974" s="357">
        <v>352.33</v>
      </c>
      <c r="K974" s="220" t="e">
        <f>VLOOKUP(Таблица37[[#This Row],[Оболочки]],'[3]Расчет себес оболочек'!$A$3:$E$35,5,0)</f>
        <v>#N/A</v>
      </c>
    </row>
    <row r="975" spans="2:11" x14ac:dyDescent="0.25">
      <c r="B975" s="350" t="s">
        <v>273</v>
      </c>
      <c r="C975" s="361" t="s">
        <v>2288</v>
      </c>
      <c r="D975" s="352"/>
      <c r="E975" s="353">
        <f t="shared" si="20"/>
        <v>1034.2256</v>
      </c>
      <c r="F975" s="354"/>
      <c r="G975" s="358" t="s">
        <v>2343</v>
      </c>
      <c r="H975" s="359">
        <v>29.17</v>
      </c>
      <c r="I975" s="356">
        <f>Таблица37[[#This Row],[Цена]]+Таблица37[[#This Row],[Трудозатраты]]*1.1</f>
        <v>1066.3126</v>
      </c>
      <c r="J975" s="357">
        <v>1034.2256</v>
      </c>
      <c r="K975" s="220" t="e">
        <f>VLOOKUP(Таблица37[[#This Row],[Оболочки]],'[3]Расчет себес оболочек'!$A$3:$E$35,5,0)</f>
        <v>#N/A</v>
      </c>
    </row>
    <row r="976" spans="2:11" x14ac:dyDescent="0.25">
      <c r="B976" s="350" t="s">
        <v>273</v>
      </c>
      <c r="C976" s="361" t="s">
        <v>2289</v>
      </c>
      <c r="D976" s="352"/>
      <c r="E976" s="353">
        <f t="shared" si="20"/>
        <v>1034.2256</v>
      </c>
      <c r="F976" s="354"/>
      <c r="G976" s="358" t="s">
        <v>2343</v>
      </c>
      <c r="H976" s="359">
        <v>29.17</v>
      </c>
      <c r="I976" s="356">
        <f>Таблица37[[#This Row],[Цена]]+Таблица37[[#This Row],[Трудозатраты]]*1.1</f>
        <v>1066.3126</v>
      </c>
      <c r="J976" s="357">
        <v>1034.2256</v>
      </c>
      <c r="K976" s="220" t="e">
        <f>VLOOKUP(Таблица37[[#This Row],[Оболочки]],'[3]Расчет себес оболочек'!$A$3:$E$35,5,0)</f>
        <v>#N/A</v>
      </c>
    </row>
    <row r="977" spans="2:11" x14ac:dyDescent="0.25">
      <c r="B977" s="350" t="s">
        <v>274</v>
      </c>
      <c r="C977" s="361" t="s">
        <v>2290</v>
      </c>
      <c r="D977" s="352"/>
      <c r="E977" s="353">
        <f t="shared" si="20"/>
        <v>892.74619999999993</v>
      </c>
      <c r="F977" s="354"/>
      <c r="G977" s="358" t="s">
        <v>2343</v>
      </c>
      <c r="H977" s="359">
        <v>29.17</v>
      </c>
      <c r="I977" s="356">
        <f>Таблица37[[#This Row],[Цена]]+Таблица37[[#This Row],[Трудозатраты]]*1.1</f>
        <v>924.83319999999992</v>
      </c>
      <c r="J977" s="357">
        <v>892.74619999999993</v>
      </c>
      <c r="K977" s="220" t="e">
        <f>VLOOKUP(Таблица37[[#This Row],[Оболочки]],'[3]Расчет себес оболочек'!$A$3:$E$35,5,0)</f>
        <v>#N/A</v>
      </c>
    </row>
    <row r="978" spans="2:11" x14ac:dyDescent="0.25">
      <c r="B978" s="350" t="s">
        <v>274</v>
      </c>
      <c r="C978" s="361" t="s">
        <v>2291</v>
      </c>
      <c r="D978" s="352"/>
      <c r="E978" s="353">
        <f t="shared" si="20"/>
        <v>892.74619999999993</v>
      </c>
      <c r="F978" s="354"/>
      <c r="G978" s="358" t="s">
        <v>2343</v>
      </c>
      <c r="H978" s="359">
        <v>29.17</v>
      </c>
      <c r="I978" s="356">
        <f>Таблица37[[#This Row],[Цена]]+Таблица37[[#This Row],[Трудозатраты]]*1.1</f>
        <v>924.83319999999992</v>
      </c>
      <c r="J978" s="357">
        <v>892.74619999999993</v>
      </c>
      <c r="K978" s="220" t="e">
        <f>VLOOKUP(Таблица37[[#This Row],[Оболочки]],'[3]Расчет себес оболочек'!$A$3:$E$35,5,0)</f>
        <v>#N/A</v>
      </c>
    </row>
    <row r="979" spans="2:11" x14ac:dyDescent="0.25">
      <c r="B979" s="350" t="s">
        <v>275</v>
      </c>
      <c r="C979" s="361" t="s">
        <v>2292</v>
      </c>
      <c r="D979" s="352"/>
      <c r="E979" s="353">
        <f t="shared" si="20"/>
        <v>1641.3245999999999</v>
      </c>
      <c r="F979" s="354"/>
      <c r="G979" s="358" t="s">
        <v>2343</v>
      </c>
      <c r="H979" s="359">
        <v>29.17</v>
      </c>
      <c r="I979" s="356">
        <f>Таблица37[[#This Row],[Цена]]+Таблица37[[#This Row],[Трудозатраты]]*1.1</f>
        <v>1673.4115999999999</v>
      </c>
      <c r="J979" s="357">
        <v>1641.3245999999999</v>
      </c>
      <c r="K979" s="220" t="e">
        <f>VLOOKUP(Таблица37[[#This Row],[Оболочки]],'[3]Расчет себес оболочек'!$A$3:$E$35,5,0)</f>
        <v>#N/A</v>
      </c>
    </row>
    <row r="980" spans="2:11" x14ac:dyDescent="0.25">
      <c r="B980" s="350" t="s">
        <v>277</v>
      </c>
      <c r="C980" s="361" t="s">
        <v>2293</v>
      </c>
      <c r="D980" s="352"/>
      <c r="E980" s="353">
        <f>VLOOKUP(Таблица37[[#This Row],[Оболочки]],'предоставленные цены'!$B$4:$D$328,2,0)</f>
        <v>37</v>
      </c>
      <c r="F980" s="354"/>
      <c r="G980" s="358" t="s">
        <v>2343</v>
      </c>
      <c r="H980" s="359">
        <v>29.17</v>
      </c>
      <c r="I980" s="356">
        <f>Таблица37[[#This Row],[Цена]]+Таблица37[[#This Row],[Трудозатраты]]*1.1</f>
        <v>69.087000000000003</v>
      </c>
      <c r="J980" s="357">
        <v>66.841666666666669</v>
      </c>
      <c r="K980" s="220" t="e">
        <f>VLOOKUP(Таблица37[[#This Row],[Оболочки]],'[3]Расчет себес оболочек'!$A$3:$E$35,5,0)</f>
        <v>#N/A</v>
      </c>
    </row>
    <row r="981" spans="2:11" x14ac:dyDescent="0.25">
      <c r="B981" s="350" t="s">
        <v>278</v>
      </c>
      <c r="C981" s="361" t="s">
        <v>2294</v>
      </c>
      <c r="D981" s="352"/>
      <c r="E981" s="353">
        <f>VLOOKUP(Таблица37[[#This Row],[Оболочки]],'предоставленные цены'!$B$4:$D$328,2,0)</f>
        <v>39.450000000000003</v>
      </c>
      <c r="F981" s="354"/>
      <c r="G981" s="358" t="s">
        <v>2343</v>
      </c>
      <c r="H981" s="359">
        <v>29.17</v>
      </c>
      <c r="I981" s="356">
        <f>Таблица37[[#This Row],[Цена]]+Таблица37[[#This Row],[Трудозатраты]]*1.1</f>
        <v>71.537000000000006</v>
      </c>
      <c r="J981" s="357">
        <v>160.31666666666666</v>
      </c>
      <c r="K981" s="220" t="e">
        <f>VLOOKUP(Таблица37[[#This Row],[Оболочки]],'[3]Расчет себес оболочек'!$A$3:$E$35,5,0)</f>
        <v>#N/A</v>
      </c>
    </row>
    <row r="982" spans="2:11" x14ac:dyDescent="0.25">
      <c r="B982" s="350" t="s">
        <v>279</v>
      </c>
      <c r="C982" s="361" t="s">
        <v>2295</v>
      </c>
      <c r="D982" s="352"/>
      <c r="E982" s="353">
        <f>VLOOKUP(Таблица37[[#This Row],[Оболочки]],'предоставленные цены'!$B$4:$D$328,2,0)</f>
        <v>60.85</v>
      </c>
      <c r="F982" s="354"/>
      <c r="G982" s="358" t="s">
        <v>2343</v>
      </c>
      <c r="H982" s="359">
        <v>29.17</v>
      </c>
      <c r="I982" s="356">
        <f>Таблица37[[#This Row],[Цена]]+Таблица37[[#This Row],[Трудозатраты]]*1.1</f>
        <v>92.937000000000012</v>
      </c>
      <c r="J982" s="357">
        <v>74.158333333333331</v>
      </c>
      <c r="K982" s="220" t="e">
        <f>VLOOKUP(Таблица37[[#This Row],[Оболочки]],'[3]Расчет себес оболочек'!$A$3:$E$35,5,0)</f>
        <v>#N/A</v>
      </c>
    </row>
    <row r="983" spans="2:11" x14ac:dyDescent="0.25">
      <c r="B983" s="350" t="s">
        <v>280</v>
      </c>
      <c r="C983" s="361" t="s">
        <v>2296</v>
      </c>
      <c r="D983" s="352"/>
      <c r="E983" s="353">
        <f>VLOOKUP(Таблица37[[#This Row],[Оболочки]],'предоставленные цены'!$B$4:$D$328,2,0)</f>
        <v>76.45</v>
      </c>
      <c r="F983" s="354"/>
      <c r="G983" s="358" t="s">
        <v>2343</v>
      </c>
      <c r="H983" s="359">
        <v>29.17</v>
      </c>
      <c r="I983" s="356">
        <f>Таблица37[[#This Row],[Цена]]+Таблица37[[#This Row],[Трудозатраты]]*1.1</f>
        <v>108.53700000000001</v>
      </c>
      <c r="J983" s="357">
        <v>76.308333333333337</v>
      </c>
      <c r="K983" s="220" t="e">
        <f>VLOOKUP(Таблица37[[#This Row],[Оболочки]],'[3]Расчет себес оболочек'!$A$3:$E$35,5,0)</f>
        <v>#N/A</v>
      </c>
    </row>
    <row r="984" spans="2:11" x14ac:dyDescent="0.25">
      <c r="B984" s="350" t="s">
        <v>281</v>
      </c>
      <c r="C984" s="361" t="s">
        <v>2297</v>
      </c>
      <c r="D984" s="352"/>
      <c r="E984" s="353">
        <f>VLOOKUP(Таблица37[[#This Row],[Оболочки]],'предоставленные цены'!$B$4:$D$328,2,0)</f>
        <v>102.3</v>
      </c>
      <c r="F984" s="354"/>
      <c r="G984" s="358" t="s">
        <v>2343</v>
      </c>
      <c r="H984" s="359">
        <v>29.17</v>
      </c>
      <c r="I984" s="356">
        <f>Таблица37[[#This Row],[Цена]]+Таблица37[[#This Row],[Трудозатраты]]*1.1</f>
        <v>134.387</v>
      </c>
      <c r="J984" s="357">
        <v>77.258333333333326</v>
      </c>
      <c r="K984" s="220" t="e">
        <f>VLOOKUP(Таблица37[[#This Row],[Оболочки]],'[3]Расчет себес оболочек'!$A$3:$E$35,5,0)</f>
        <v>#N/A</v>
      </c>
    </row>
    <row r="985" spans="2:11" x14ac:dyDescent="0.25">
      <c r="B985" s="350" t="s">
        <v>282</v>
      </c>
      <c r="C985" s="361" t="s">
        <v>2298</v>
      </c>
      <c r="D985" s="352"/>
      <c r="E985" s="353">
        <f>VLOOKUP(Таблица37[[#This Row],[Оболочки]],'предоставленные цены'!$B$4:$D$328,2,0)</f>
        <v>203.85</v>
      </c>
      <c r="F985" s="354"/>
      <c r="G985" s="358" t="s">
        <v>2343</v>
      </c>
      <c r="H985" s="359">
        <v>29.17</v>
      </c>
      <c r="I985" s="356">
        <f>Таблица37[[#This Row],[Цена]]+Таблица37[[#This Row],[Трудозатраты]]*1.1</f>
        <v>235.93700000000001</v>
      </c>
      <c r="J985" s="357">
        <v>84.733333333333348</v>
      </c>
      <c r="K985" s="220" t="e">
        <f>VLOOKUP(Таблица37[[#This Row],[Оболочки]],'[3]Расчет себес оболочек'!$A$3:$E$35,5,0)</f>
        <v>#N/A</v>
      </c>
    </row>
    <row r="986" spans="2:11" x14ac:dyDescent="0.25">
      <c r="B986" s="350" t="s">
        <v>283</v>
      </c>
      <c r="C986" s="361" t="s">
        <v>2299</v>
      </c>
      <c r="D986" s="352"/>
      <c r="E986" s="353">
        <f t="shared" ref="E986:E989" si="21">J986</f>
        <v>160.31666666666666</v>
      </c>
      <c r="F986" s="354"/>
      <c r="G986" s="358" t="s">
        <v>2343</v>
      </c>
      <c r="H986" s="359">
        <v>29.17</v>
      </c>
      <c r="I986" s="356">
        <f>Таблица37[[#This Row],[Цена]]+Таблица37[[#This Row],[Трудозатраты]]*1.1</f>
        <v>192.40366666666665</v>
      </c>
      <c r="J986" s="357">
        <v>160.31666666666666</v>
      </c>
      <c r="K986" s="220" t="e">
        <f>VLOOKUP(Таблица37[[#This Row],[Оболочки]],'[3]Расчет себес оболочек'!$A$3:$E$35,5,0)</f>
        <v>#N/A</v>
      </c>
    </row>
    <row r="987" spans="2:11" x14ac:dyDescent="0.25">
      <c r="B987" s="350" t="s">
        <v>284</v>
      </c>
      <c r="C987" s="361" t="s">
        <v>2300</v>
      </c>
      <c r="D987" s="352"/>
      <c r="E987" s="353">
        <f t="shared" si="21"/>
        <v>465.90160000000003</v>
      </c>
      <c r="F987" s="354"/>
      <c r="G987" s="358" t="s">
        <v>2343</v>
      </c>
      <c r="H987" s="359">
        <v>29.17</v>
      </c>
      <c r="I987" s="356">
        <f>Таблица37[[#This Row],[Цена]]+Таблица37[[#This Row],[Трудозатраты]]*1.1</f>
        <v>497.98860000000002</v>
      </c>
      <c r="J987" s="357">
        <v>465.90160000000003</v>
      </c>
      <c r="K987" s="220" t="e">
        <f>VLOOKUP(Таблица37[[#This Row],[Оболочки]],'[3]Расчет себес оболочек'!$A$3:$E$35,5,0)</f>
        <v>#N/A</v>
      </c>
    </row>
    <row r="988" spans="2:11" x14ac:dyDescent="0.25">
      <c r="B988" s="350" t="s">
        <v>284</v>
      </c>
      <c r="C988" s="361" t="s">
        <v>2301</v>
      </c>
      <c r="D988" s="352"/>
      <c r="E988" s="353">
        <f t="shared" si="21"/>
        <v>465.90160000000003</v>
      </c>
      <c r="F988" s="354"/>
      <c r="G988" s="358" t="s">
        <v>2343</v>
      </c>
      <c r="H988" s="359">
        <v>29.17</v>
      </c>
      <c r="I988" s="356">
        <f>Таблица37[[#This Row],[Цена]]+Таблица37[[#This Row],[Трудозатраты]]*1.1</f>
        <v>497.98860000000002</v>
      </c>
      <c r="J988" s="357">
        <v>465.90160000000003</v>
      </c>
      <c r="K988" s="220" t="e">
        <f>VLOOKUP(Таблица37[[#This Row],[Оболочки]],'[3]Расчет себес оболочек'!$A$3:$E$35,5,0)</f>
        <v>#N/A</v>
      </c>
    </row>
    <row r="989" spans="2:11" x14ac:dyDescent="0.25">
      <c r="B989" s="350" t="s">
        <v>285</v>
      </c>
      <c r="C989" s="361" t="s">
        <v>2302</v>
      </c>
      <c r="D989" s="352"/>
      <c r="E989" s="353">
        <f t="shared" si="21"/>
        <v>2348.8250000000003</v>
      </c>
      <c r="F989" s="354"/>
      <c r="G989" s="358" t="s">
        <v>2343</v>
      </c>
      <c r="H989" s="359">
        <v>29.17</v>
      </c>
      <c r="I989" s="356">
        <f>Таблица37[[#This Row],[Цена]]+Таблица37[[#This Row],[Трудозатраты]]*1.1</f>
        <v>2380.9120000000003</v>
      </c>
      <c r="J989" s="357">
        <v>2348.8250000000003</v>
      </c>
      <c r="K989" s="220" t="e">
        <f>VLOOKUP(Таблица37[[#This Row],[Оболочки]],'[3]Расчет себес оболочек'!$A$3:$E$35,5,0)</f>
        <v>#N/A</v>
      </c>
    </row>
    <row r="990" spans="2:11" x14ac:dyDescent="0.25">
      <c r="B990" s="350" t="s">
        <v>288</v>
      </c>
      <c r="C990" s="361" t="s">
        <v>2268</v>
      </c>
      <c r="D990" s="352"/>
      <c r="E990" s="353">
        <f>VLOOKUP(Таблица37[[#This Row],[Оболочки]],'предоставленные цены'!$B$4:$D$328,2,0)</f>
        <v>24.2</v>
      </c>
      <c r="F990" s="354"/>
      <c r="G990" s="358" t="s">
        <v>2343</v>
      </c>
      <c r="H990" s="359">
        <v>29.17</v>
      </c>
      <c r="I990" s="356">
        <f>Таблица37[[#This Row],[Цена]]+Таблица37[[#This Row],[Трудозатраты]]*1.1</f>
        <v>56.287000000000006</v>
      </c>
      <c r="J990" s="357"/>
      <c r="K990" s="220" t="e">
        <f>VLOOKUP(Таблица37[[#This Row],[Оболочки]],'[3]Расчет себес оболочек'!$A$3:$E$35,5,0)</f>
        <v>#N/A</v>
      </c>
    </row>
    <row r="991" spans="2:11" x14ac:dyDescent="0.25">
      <c r="B991" s="350" t="s">
        <v>291</v>
      </c>
      <c r="C991" s="361" t="s">
        <v>2270</v>
      </c>
      <c r="D991" s="352"/>
      <c r="E991" s="353">
        <f>VLOOKUP(Таблица37[[#This Row],[Оболочки]],'предоставленные цены'!$B$4:$D$328,2,0)</f>
        <v>39.6</v>
      </c>
      <c r="F991" s="354"/>
      <c r="G991" s="358" t="s">
        <v>2343</v>
      </c>
      <c r="H991" s="359">
        <v>29.17</v>
      </c>
      <c r="I991" s="356">
        <f>Таблица37[[#This Row],[Цена]]+Таблица37[[#This Row],[Трудозатраты]]*1.1</f>
        <v>71.687000000000012</v>
      </c>
      <c r="J991" s="357"/>
      <c r="K991" s="220" t="e">
        <f>VLOOKUP(Таблица37[[#This Row],[Оболочки]],'[3]Расчет себес оболочек'!$A$3:$E$35,5,0)</f>
        <v>#N/A</v>
      </c>
    </row>
    <row r="992" spans="2:11" x14ac:dyDescent="0.25">
      <c r="B992" s="350" t="s">
        <v>290</v>
      </c>
      <c r="C992" s="361" t="s">
        <v>2281</v>
      </c>
      <c r="D992" s="352"/>
      <c r="E992" s="353">
        <f>VLOOKUP(Таблица37[[#This Row],[Оболочки]],'предоставленные цены'!$B$4:$D$328,2,0)</f>
        <v>21.65</v>
      </c>
      <c r="F992" s="354"/>
      <c r="G992" s="358" t="s">
        <v>2343</v>
      </c>
      <c r="H992" s="359">
        <v>29.17</v>
      </c>
      <c r="I992" s="356">
        <f>Таблица37[[#This Row],[Цена]]+Таблица37[[#This Row],[Трудозатраты]]*1.1</f>
        <v>53.737000000000002</v>
      </c>
      <c r="J992" s="357"/>
      <c r="K992" s="220" t="e">
        <f>VLOOKUP(Таблица37[[#This Row],[Оболочки]],'[3]Расчет себес оболочек'!$A$3:$E$35,5,0)</f>
        <v>#N/A</v>
      </c>
    </row>
    <row r="993" spans="2:11" x14ac:dyDescent="0.25">
      <c r="B993" s="350" t="s">
        <v>293</v>
      </c>
      <c r="C993" s="361" t="s">
        <v>2282</v>
      </c>
      <c r="D993" s="352"/>
      <c r="E993" s="353">
        <f>VLOOKUP(Таблица37[[#This Row],[Оболочки]],'предоставленные цены'!$B$4:$D$328,2,0)</f>
        <v>46.04</v>
      </c>
      <c r="F993" s="354"/>
      <c r="G993" s="358" t="s">
        <v>2343</v>
      </c>
      <c r="H993" s="359">
        <v>29.17</v>
      </c>
      <c r="I993" s="356">
        <f>Таблица37[[#This Row],[Цена]]+Таблица37[[#This Row],[Трудозатраты]]*1.1</f>
        <v>78.12700000000001</v>
      </c>
      <c r="J993" s="357"/>
      <c r="K993" s="220" t="e">
        <f>VLOOKUP(Таблица37[[#This Row],[Оболочки]],'[3]Расчет себес оболочек'!$A$3:$E$35,5,0)</f>
        <v>#N/A</v>
      </c>
    </row>
    <row r="994" spans="2:11" x14ac:dyDescent="0.25">
      <c r="B994" s="350" t="s">
        <v>289</v>
      </c>
      <c r="C994" s="361" t="s">
        <v>2293</v>
      </c>
      <c r="D994" s="352"/>
      <c r="E994" s="353">
        <f>VLOOKUP(Таблица37[[#This Row],[Оболочки]],'предоставленные цены'!$B$4:$D$328,2,0)</f>
        <v>57.05</v>
      </c>
      <c r="F994" s="354"/>
      <c r="G994" s="358" t="s">
        <v>2343</v>
      </c>
      <c r="H994" s="359">
        <v>29.17</v>
      </c>
      <c r="I994" s="356">
        <f>Таблица37[[#This Row],[Цена]]+Таблица37[[#This Row],[Трудозатраты]]*1.1</f>
        <v>89.137</v>
      </c>
      <c r="J994" s="357"/>
      <c r="K994" s="220" t="e">
        <f>VLOOKUP(Таблица37[[#This Row],[Оболочки]],'[3]Расчет себес оболочек'!$A$3:$E$35,5,0)</f>
        <v>#N/A</v>
      </c>
    </row>
    <row r="995" spans="2:11" x14ac:dyDescent="0.25">
      <c r="B995" s="350" t="s">
        <v>292</v>
      </c>
      <c r="C995" s="361" t="s">
        <v>2294</v>
      </c>
      <c r="D995" s="352"/>
      <c r="E995" s="353">
        <f>VLOOKUP(Таблица37[[#This Row],[Оболочки]],'предоставленные цены'!$B$4:$D$328,2,0)</f>
        <v>130.80000000000001</v>
      </c>
      <c r="F995" s="354"/>
      <c r="G995" s="358" t="s">
        <v>2343</v>
      </c>
      <c r="H995" s="359">
        <v>29.17</v>
      </c>
      <c r="I995" s="356">
        <f>Таблица37[[#This Row],[Цена]]+Таблица37[[#This Row],[Трудозатраты]]*1.1</f>
        <v>162.887</v>
      </c>
      <c r="J995" s="357"/>
      <c r="K995" s="220" t="e">
        <f>VLOOKUP(Таблица37[[#This Row],[Оболочки]],'[3]Расчет себес оболочек'!$A$3:$E$35,5,0)</f>
        <v>#N/A</v>
      </c>
    </row>
    <row r="996" spans="2:11" x14ac:dyDescent="0.25">
      <c r="B996" s="350" t="s">
        <v>306</v>
      </c>
      <c r="C996" s="361" t="s">
        <v>2303</v>
      </c>
      <c r="D996" s="352"/>
      <c r="E996" s="353">
        <f t="shared" ref="E996:E997" si="22">J996</f>
        <v>0</v>
      </c>
      <c r="F996" s="354"/>
      <c r="G996" s="358" t="s">
        <v>2343</v>
      </c>
      <c r="H996" s="359">
        <v>29.17</v>
      </c>
      <c r="I996" s="356">
        <f>Таблица37[[#This Row],[Цена]]+Таблица37[[#This Row],[Трудозатраты]]*1.1</f>
        <v>32.087000000000003</v>
      </c>
      <c r="J996" s="357"/>
      <c r="K996" s="220" t="e">
        <f>VLOOKUP(Таблица37[[#This Row],[Оболочки]],'[3]Расчет себес оболочек'!$A$3:$E$35,5,0)</f>
        <v>#N/A</v>
      </c>
    </row>
    <row r="997" spans="2:11" x14ac:dyDescent="0.25">
      <c r="B997" s="350" t="s">
        <v>310</v>
      </c>
      <c r="C997" s="361" t="s">
        <v>2268</v>
      </c>
      <c r="D997" s="352"/>
      <c r="E997" s="353">
        <f t="shared" si="22"/>
        <v>0</v>
      </c>
      <c r="F997" s="354"/>
      <c r="G997" s="358" t="s">
        <v>2343</v>
      </c>
      <c r="H997" s="359">
        <v>29.17</v>
      </c>
      <c r="I997" s="356">
        <f>Таблица37[[#This Row],[Цена]]+Таблица37[[#This Row],[Трудозатраты]]*1.1</f>
        <v>32.087000000000003</v>
      </c>
      <c r="J997" s="357"/>
      <c r="K997" s="220" t="e">
        <f>VLOOKUP(Таблица37[[#This Row],[Оболочки]],'[3]Расчет себес оболочек'!$A$3:$E$35,5,0)</f>
        <v>#N/A</v>
      </c>
    </row>
    <row r="998" spans="2:11" x14ac:dyDescent="0.25">
      <c r="B998" s="350" t="s">
        <v>314</v>
      </c>
      <c r="C998" s="361" t="s">
        <v>2270</v>
      </c>
      <c r="D998" s="352"/>
      <c r="E998" s="353">
        <f>VLOOKUP(Таблица37[[#This Row],[Оболочки]],'предоставленные цены'!$B$4:$D$328,2,0)</f>
        <v>17.3</v>
      </c>
      <c r="F998" s="354"/>
      <c r="G998" s="358" t="s">
        <v>2343</v>
      </c>
      <c r="H998" s="359">
        <v>29.17</v>
      </c>
      <c r="I998" s="356">
        <f>Таблица37[[#This Row],[Цена]]+Таблица37[[#This Row],[Трудозатраты]]*1.1</f>
        <v>49.387</v>
      </c>
      <c r="J998" s="357"/>
      <c r="K998" s="220" t="e">
        <f>VLOOKUP(Таблица37[[#This Row],[Оболочки]],'[3]Расчет себес оболочек'!$A$3:$E$35,5,0)</f>
        <v>#N/A</v>
      </c>
    </row>
    <row r="999" spans="2:11" x14ac:dyDescent="0.25">
      <c r="B999" s="350" t="s">
        <v>318</v>
      </c>
      <c r="C999" s="361" t="s">
        <v>2271</v>
      </c>
      <c r="D999" s="352"/>
      <c r="E999" s="353">
        <f>VLOOKUP(Таблица37[[#This Row],[Оболочки]],'предоставленные цены'!$B$4:$D$328,2,0)</f>
        <v>56.75</v>
      </c>
      <c r="F999" s="354"/>
      <c r="G999" s="358" t="s">
        <v>2343</v>
      </c>
      <c r="H999" s="359">
        <v>29.17</v>
      </c>
      <c r="I999" s="356">
        <f>Таблица37[[#This Row],[Цена]]+Таблица37[[#This Row],[Трудозатраты]]*1.1</f>
        <v>88.837000000000003</v>
      </c>
      <c r="J999" s="357"/>
      <c r="K999" s="220" t="e">
        <f>VLOOKUP(Таблица37[[#This Row],[Оболочки]],'[3]Расчет себес оболочек'!$A$3:$E$35,5,0)</f>
        <v>#N/A</v>
      </c>
    </row>
    <row r="1000" spans="2:11" x14ac:dyDescent="0.25">
      <c r="B1000" s="350" t="s">
        <v>322</v>
      </c>
      <c r="C1000" s="361" t="s">
        <v>2272</v>
      </c>
      <c r="D1000" s="352"/>
      <c r="E1000" s="353">
        <f>VLOOKUP(Таблица37[[#This Row],[Оболочки]],'предоставленные цены'!$B$4:$D$328,2,0)</f>
        <v>92.9</v>
      </c>
      <c r="F1000" s="354"/>
      <c r="G1000" s="358" t="s">
        <v>2343</v>
      </c>
      <c r="H1000" s="359">
        <v>29.17</v>
      </c>
      <c r="I1000" s="356">
        <f>Таблица37[[#This Row],[Цена]]+Таблица37[[#This Row],[Трудозатраты]]*1.1</f>
        <v>124.98700000000001</v>
      </c>
      <c r="J1000" s="357"/>
      <c r="K1000" s="220" t="e">
        <f>VLOOKUP(Таблица37[[#This Row],[Оболочки]],'[3]Расчет себес оболочек'!$A$3:$E$35,5,0)</f>
        <v>#N/A</v>
      </c>
    </row>
    <row r="1001" spans="2:11" x14ac:dyDescent="0.25">
      <c r="B1001" s="350" t="s">
        <v>326</v>
      </c>
      <c r="C1001" s="361" t="s">
        <v>2273</v>
      </c>
      <c r="D1001" s="352"/>
      <c r="E1001" s="353">
        <f>VLOOKUP(Таблица37[[#This Row],[Оболочки]],'предоставленные цены'!$B$4:$D$328,2,0)</f>
        <v>147.94999999999999</v>
      </c>
      <c r="F1001" s="354"/>
      <c r="G1001" s="358" t="s">
        <v>2343</v>
      </c>
      <c r="H1001" s="359">
        <v>29.17</v>
      </c>
      <c r="I1001" s="356">
        <f>Таблица37[[#This Row],[Цена]]+Таблица37[[#This Row],[Трудозатраты]]*1.1</f>
        <v>180.03699999999998</v>
      </c>
      <c r="J1001" s="357"/>
      <c r="K1001" s="220" t="e">
        <f>VLOOKUP(Таблица37[[#This Row],[Оболочки]],'[3]Расчет себес оболочек'!$A$3:$E$35,5,0)</f>
        <v>#N/A</v>
      </c>
    </row>
    <row r="1002" spans="2:11" x14ac:dyDescent="0.25">
      <c r="B1002" s="350" t="s">
        <v>330</v>
      </c>
      <c r="C1002" s="361" t="s">
        <v>2274</v>
      </c>
      <c r="D1002" s="352"/>
      <c r="E1002" s="353">
        <f>VLOOKUP(Таблица37[[#This Row],[Оболочки]],'предоставленные цены'!$B$4:$D$328,2,0)</f>
        <v>318.05</v>
      </c>
      <c r="F1002" s="354"/>
      <c r="G1002" s="358" t="s">
        <v>2343</v>
      </c>
      <c r="H1002" s="359">
        <v>29.17</v>
      </c>
      <c r="I1002" s="356">
        <f>Таблица37[[#This Row],[Цена]]+Таблица37[[#This Row],[Трудозатраты]]*1.1</f>
        <v>350.137</v>
      </c>
      <c r="J1002" s="357"/>
      <c r="K1002" s="220" t="e">
        <f>VLOOKUP(Таблица37[[#This Row],[Оболочки]],'[3]Расчет себес оболочек'!$A$3:$E$35,5,0)</f>
        <v>#N/A</v>
      </c>
    </row>
    <row r="1003" spans="2:11" x14ac:dyDescent="0.25">
      <c r="B1003" s="350" t="s">
        <v>307</v>
      </c>
      <c r="C1003" s="361" t="s">
        <v>2304</v>
      </c>
      <c r="D1003" s="352"/>
      <c r="E1003" s="353">
        <f t="shared" ref="E1003:E1004" si="23">J1003</f>
        <v>0</v>
      </c>
      <c r="F1003" s="354"/>
      <c r="G1003" s="358" t="s">
        <v>2343</v>
      </c>
      <c r="H1003" s="359">
        <v>29.17</v>
      </c>
      <c r="I1003" s="356">
        <f>Таблица37[[#This Row],[Цена]]+Таблица37[[#This Row],[Трудозатраты]]*1.1</f>
        <v>32.087000000000003</v>
      </c>
      <c r="J1003" s="357"/>
      <c r="K1003" s="220" t="e">
        <f>VLOOKUP(Таблица37[[#This Row],[Оболочки]],'[3]Расчет себес оболочек'!$A$3:$E$35,5,0)</f>
        <v>#N/A</v>
      </c>
    </row>
    <row r="1004" spans="2:11" x14ac:dyDescent="0.25">
      <c r="B1004" s="350" t="s">
        <v>311</v>
      </c>
      <c r="C1004" s="361" t="s">
        <v>2293</v>
      </c>
      <c r="D1004" s="352"/>
      <c r="E1004" s="353">
        <f t="shared" si="23"/>
        <v>0</v>
      </c>
      <c r="F1004" s="354"/>
      <c r="G1004" s="358" t="s">
        <v>2343</v>
      </c>
      <c r="H1004" s="359">
        <v>29.17</v>
      </c>
      <c r="I1004" s="356">
        <f>Таблица37[[#This Row],[Цена]]+Таблица37[[#This Row],[Трудозатраты]]*1.1</f>
        <v>32.087000000000003</v>
      </c>
      <c r="J1004" s="357"/>
      <c r="K1004" s="220" t="e">
        <f>VLOOKUP(Таблица37[[#This Row],[Оболочки]],'[3]Расчет себес оболочек'!$A$3:$E$35,5,0)</f>
        <v>#N/A</v>
      </c>
    </row>
    <row r="1005" spans="2:11" x14ac:dyDescent="0.25">
      <c r="B1005" s="350" t="s">
        <v>315</v>
      </c>
      <c r="C1005" s="361" t="s">
        <v>2294</v>
      </c>
      <c r="D1005" s="352"/>
      <c r="E1005" s="353">
        <f>VLOOKUP(Таблица37[[#This Row],[Оболочки]],'предоставленные цены'!$B$4:$D$328,2,0)</f>
        <v>65.75</v>
      </c>
      <c r="F1005" s="354"/>
      <c r="G1005" s="358" t="s">
        <v>2343</v>
      </c>
      <c r="H1005" s="359">
        <v>29.17</v>
      </c>
      <c r="I1005" s="356">
        <f>Таблица37[[#This Row],[Цена]]+Таблица37[[#This Row],[Трудозатраты]]*1.1</f>
        <v>97.837000000000003</v>
      </c>
      <c r="J1005" s="357"/>
      <c r="K1005" s="220" t="e">
        <f>VLOOKUP(Таблица37[[#This Row],[Оболочки]],'[3]Расчет себес оболочек'!$A$3:$E$35,5,0)</f>
        <v>#N/A</v>
      </c>
    </row>
    <row r="1006" spans="2:11" x14ac:dyDescent="0.25">
      <c r="B1006" s="350" t="s">
        <v>319</v>
      </c>
      <c r="C1006" s="361" t="s">
        <v>2295</v>
      </c>
      <c r="D1006" s="352"/>
      <c r="E1006" s="353">
        <f>VLOOKUP(Таблица37[[#This Row],[Оболочки]],'предоставленные цены'!$B$4:$D$328,2,0)</f>
        <v>103.55</v>
      </c>
      <c r="F1006" s="354"/>
      <c r="G1006" s="358" t="s">
        <v>2343</v>
      </c>
      <c r="H1006" s="359">
        <v>29.17</v>
      </c>
      <c r="I1006" s="356">
        <f>Таблица37[[#This Row],[Цена]]+Таблица37[[#This Row],[Трудозатраты]]*1.1</f>
        <v>135.637</v>
      </c>
      <c r="J1006" s="357"/>
      <c r="K1006" s="220" t="e">
        <f>VLOOKUP(Таблица37[[#This Row],[Оболочки]],'[3]Расчет себес оболочек'!$A$3:$E$35,5,0)</f>
        <v>#N/A</v>
      </c>
    </row>
    <row r="1007" spans="2:11" x14ac:dyDescent="0.25">
      <c r="B1007" s="350" t="s">
        <v>323</v>
      </c>
      <c r="C1007" s="361" t="s">
        <v>2296</v>
      </c>
      <c r="D1007" s="352"/>
      <c r="E1007" s="353">
        <f>VLOOKUP(Таблица37[[#This Row],[Оболочки]],'предоставленные цены'!$B$4:$D$328,2,0)</f>
        <v>194</v>
      </c>
      <c r="F1007" s="354"/>
      <c r="G1007" s="358" t="s">
        <v>2343</v>
      </c>
      <c r="H1007" s="359">
        <v>29.17</v>
      </c>
      <c r="I1007" s="356">
        <f>Таблица37[[#This Row],[Цена]]+Таблица37[[#This Row],[Трудозатраты]]*1.1</f>
        <v>226.08699999999999</v>
      </c>
      <c r="J1007" s="357"/>
      <c r="K1007" s="220" t="e">
        <f>VLOOKUP(Таблица37[[#This Row],[Оболочки]],'[3]Расчет себес оболочек'!$A$3:$E$35,5,0)</f>
        <v>#N/A</v>
      </c>
    </row>
    <row r="1008" spans="2:11" x14ac:dyDescent="0.25">
      <c r="B1008" s="350" t="s">
        <v>327</v>
      </c>
      <c r="C1008" s="361" t="s">
        <v>2297</v>
      </c>
      <c r="D1008" s="352"/>
      <c r="E1008" s="353">
        <f>VLOOKUP(Таблица37[[#This Row],[Оболочки]],'предоставленные цены'!$B$4:$D$328,2,0)</f>
        <v>310.67</v>
      </c>
      <c r="F1008" s="354"/>
      <c r="G1008" s="358" t="s">
        <v>2343</v>
      </c>
      <c r="H1008" s="359">
        <v>29.17</v>
      </c>
      <c r="I1008" s="356">
        <f>Таблица37[[#This Row],[Цена]]+Таблица37[[#This Row],[Трудозатраты]]*1.1</f>
        <v>342.75700000000001</v>
      </c>
      <c r="J1008" s="357"/>
      <c r="K1008" s="220" t="e">
        <f>VLOOKUP(Таблица37[[#This Row],[Оболочки]],'[3]Расчет себес оболочек'!$A$3:$E$35,5,0)</f>
        <v>#N/A</v>
      </c>
    </row>
    <row r="1009" spans="2:11" x14ac:dyDescent="0.25">
      <c r="B1009" s="350" t="s">
        <v>331</v>
      </c>
      <c r="C1009" s="361" t="s">
        <v>2298</v>
      </c>
      <c r="D1009" s="352"/>
      <c r="E1009" s="353">
        <f>VLOOKUP(Таблица37[[#This Row],[Оболочки]],'предоставленные цены'!$B$4:$D$328,2,0)</f>
        <v>552.29999999999995</v>
      </c>
      <c r="F1009" s="354"/>
      <c r="G1009" s="358" t="s">
        <v>2343</v>
      </c>
      <c r="H1009" s="359">
        <v>29.17</v>
      </c>
      <c r="I1009" s="356">
        <f>Таблица37[[#This Row],[Цена]]+Таблица37[[#This Row],[Трудозатраты]]*1.1</f>
        <v>584.38699999999994</v>
      </c>
      <c r="J1009" s="357"/>
      <c r="K1009" s="220" t="e">
        <f>VLOOKUP(Таблица37[[#This Row],[Оболочки]],'[3]Расчет себес оболочек'!$A$3:$E$35,5,0)</f>
        <v>#N/A</v>
      </c>
    </row>
    <row r="1010" spans="2:11" x14ac:dyDescent="0.25">
      <c r="B1010" s="350" t="s">
        <v>308</v>
      </c>
      <c r="C1010" s="361" t="s">
        <v>2303</v>
      </c>
      <c r="D1010" s="352"/>
      <c r="E1010" s="353">
        <f t="shared" ref="E1010:E1011" si="24">J1010</f>
        <v>0</v>
      </c>
      <c r="F1010" s="354"/>
      <c r="G1010" s="358" t="s">
        <v>2343</v>
      </c>
      <c r="H1010" s="359">
        <v>29.17</v>
      </c>
      <c r="I1010" s="356">
        <f>Таблица37[[#This Row],[Цена]]+Таблица37[[#This Row],[Трудозатраты]]*1.1</f>
        <v>32.087000000000003</v>
      </c>
      <c r="J1010" s="357"/>
      <c r="K1010" s="220" t="e">
        <f>VLOOKUP(Таблица37[[#This Row],[Оболочки]],'[3]Расчет себес оболочек'!$A$3:$E$35,5,0)</f>
        <v>#N/A</v>
      </c>
    </row>
    <row r="1011" spans="2:11" x14ac:dyDescent="0.25">
      <c r="B1011" s="350" t="s">
        <v>312</v>
      </c>
      <c r="C1011" s="361" t="s">
        <v>2268</v>
      </c>
      <c r="D1011" s="352"/>
      <c r="E1011" s="353">
        <f t="shared" si="24"/>
        <v>0</v>
      </c>
      <c r="F1011" s="354"/>
      <c r="G1011" s="358" t="s">
        <v>2343</v>
      </c>
      <c r="H1011" s="359">
        <v>29.17</v>
      </c>
      <c r="I1011" s="356">
        <f>Таблица37[[#This Row],[Цена]]+Таблица37[[#This Row],[Трудозатраты]]*1.1</f>
        <v>32.087000000000003</v>
      </c>
      <c r="J1011" s="357"/>
      <c r="K1011" s="220" t="e">
        <f>VLOOKUP(Таблица37[[#This Row],[Оболочки]],'[3]Расчет себес оболочек'!$A$3:$E$35,5,0)</f>
        <v>#N/A</v>
      </c>
    </row>
    <row r="1012" spans="2:11" x14ac:dyDescent="0.25">
      <c r="B1012" s="350" t="s">
        <v>316</v>
      </c>
      <c r="C1012" s="361" t="s">
        <v>2270</v>
      </c>
      <c r="D1012" s="352"/>
      <c r="E1012" s="353">
        <f>VLOOKUP(Таблица37[[#This Row],[Оболочки]],'предоставленные цены'!$B$4:$D$328,2,0)</f>
        <v>45.2</v>
      </c>
      <c r="F1012" s="354"/>
      <c r="G1012" s="358" t="s">
        <v>2343</v>
      </c>
      <c r="H1012" s="359">
        <v>29.17</v>
      </c>
      <c r="I1012" s="356">
        <f>Таблица37[[#This Row],[Цена]]+Таблица37[[#This Row],[Трудозатраты]]*1.1</f>
        <v>77.287000000000006</v>
      </c>
      <c r="J1012" s="357"/>
      <c r="K1012" s="220" t="e">
        <f>VLOOKUP(Таблица37[[#This Row],[Оболочки]],'[3]Расчет себес оболочек'!$A$3:$E$35,5,0)</f>
        <v>#N/A</v>
      </c>
    </row>
    <row r="1013" spans="2:11" x14ac:dyDescent="0.25">
      <c r="B1013" s="350" t="s">
        <v>320</v>
      </c>
      <c r="C1013" s="361" t="s">
        <v>2271</v>
      </c>
      <c r="D1013" s="352"/>
      <c r="E1013" s="353">
        <f>VLOOKUP(Таблица37[[#This Row],[Оболочки]],'предоставленные цены'!$B$4:$D$328,2,0)</f>
        <v>72.349999999999994</v>
      </c>
      <c r="F1013" s="354"/>
      <c r="G1013" s="358" t="s">
        <v>2343</v>
      </c>
      <c r="H1013" s="359">
        <v>29.17</v>
      </c>
      <c r="I1013" s="356">
        <f>Таблица37[[#This Row],[Цена]]+Таблица37[[#This Row],[Трудозатраты]]*1.1</f>
        <v>104.437</v>
      </c>
      <c r="J1013" s="357"/>
      <c r="K1013" s="220" t="e">
        <f>VLOOKUP(Таблица37[[#This Row],[Оболочки]],'[3]Расчет себес оболочек'!$A$3:$E$35,5,0)</f>
        <v>#N/A</v>
      </c>
    </row>
    <row r="1014" spans="2:11" x14ac:dyDescent="0.25">
      <c r="B1014" s="350" t="s">
        <v>324</v>
      </c>
      <c r="C1014" s="361" t="s">
        <v>2272</v>
      </c>
      <c r="D1014" s="352"/>
      <c r="E1014" s="353">
        <f>VLOOKUP(Таблица37[[#This Row],[Оболочки]],'предоставленные цены'!$B$4:$D$328,2,0)</f>
        <v>122.46</v>
      </c>
      <c r="F1014" s="354"/>
      <c r="G1014" s="358" t="s">
        <v>2343</v>
      </c>
      <c r="H1014" s="359">
        <v>29.17</v>
      </c>
      <c r="I1014" s="356">
        <f>Таблица37[[#This Row],[Цена]]+Таблица37[[#This Row],[Трудозатраты]]*1.1</f>
        <v>154.547</v>
      </c>
      <c r="J1014" s="357"/>
      <c r="K1014" s="220" t="e">
        <f>VLOOKUP(Таблица37[[#This Row],[Оболочки]],'[3]Расчет себес оболочек'!$A$3:$E$35,5,0)</f>
        <v>#N/A</v>
      </c>
    </row>
    <row r="1015" spans="2:11" x14ac:dyDescent="0.25">
      <c r="B1015" s="350" t="s">
        <v>328</v>
      </c>
      <c r="C1015" s="361" t="s">
        <v>2273</v>
      </c>
      <c r="D1015" s="352"/>
      <c r="E1015" s="353">
        <f>VLOOKUP(Таблица37[[#This Row],[Оболочки]],'предоставленные цены'!$B$4:$D$328,2,0)</f>
        <v>157</v>
      </c>
      <c r="F1015" s="354"/>
      <c r="G1015" s="358" t="s">
        <v>2343</v>
      </c>
      <c r="H1015" s="359">
        <v>29.17</v>
      </c>
      <c r="I1015" s="356">
        <f>Таблица37[[#This Row],[Цена]]+Таблица37[[#This Row],[Трудозатраты]]*1.1</f>
        <v>189.08699999999999</v>
      </c>
      <c r="J1015" s="357"/>
      <c r="K1015" s="220" t="e">
        <f>VLOOKUP(Таблица37[[#This Row],[Оболочки]],'[3]Расчет себес оболочек'!$A$3:$E$35,5,0)</f>
        <v>#N/A</v>
      </c>
    </row>
    <row r="1016" spans="2:11" x14ac:dyDescent="0.25">
      <c r="B1016" s="350" t="s">
        <v>332</v>
      </c>
      <c r="C1016" s="361" t="s">
        <v>2274</v>
      </c>
      <c r="D1016" s="352"/>
      <c r="E1016" s="353">
        <f>VLOOKUP(Таблица37[[#This Row],[Оболочки]],'предоставленные цены'!$B$4:$D$328,2,0)</f>
        <v>349.3</v>
      </c>
      <c r="F1016" s="354"/>
      <c r="G1016" s="358" t="s">
        <v>2343</v>
      </c>
      <c r="H1016" s="359">
        <v>29.17</v>
      </c>
      <c r="I1016" s="356">
        <f>Таблица37[[#This Row],[Цена]]+Таблица37[[#This Row],[Трудозатраты]]*1.1</f>
        <v>381.387</v>
      </c>
      <c r="J1016" s="357"/>
      <c r="K1016" s="220" t="e">
        <f>VLOOKUP(Таблица37[[#This Row],[Оболочки]],'[3]Расчет себес оболочек'!$A$3:$E$35,5,0)</f>
        <v>#N/A</v>
      </c>
    </row>
    <row r="1017" spans="2:11" x14ac:dyDescent="0.25">
      <c r="B1017" s="350" t="s">
        <v>308</v>
      </c>
      <c r="C1017" s="361" t="s">
        <v>2305</v>
      </c>
      <c r="D1017" s="352"/>
      <c r="E1017" s="353">
        <f t="shared" ref="E1017:E1018" si="25">J1017</f>
        <v>0</v>
      </c>
      <c r="F1017" s="354"/>
      <c r="G1017" s="358" t="s">
        <v>2343</v>
      </c>
      <c r="H1017" s="359">
        <v>29.17</v>
      </c>
      <c r="I1017" s="356">
        <f>Таблица37[[#This Row],[Цена]]+Таблица37[[#This Row],[Трудозатраты]]*1.1</f>
        <v>32.087000000000003</v>
      </c>
      <c r="J1017" s="357"/>
      <c r="K1017" s="220" t="e">
        <f>VLOOKUP(Таблица37[[#This Row],[Оболочки]],'[3]Расчет себес оболочек'!$A$3:$E$35,5,0)</f>
        <v>#N/A</v>
      </c>
    </row>
    <row r="1018" spans="2:11" x14ac:dyDescent="0.25">
      <c r="B1018" s="350" t="s">
        <v>312</v>
      </c>
      <c r="C1018" s="361" t="s">
        <v>2281</v>
      </c>
      <c r="D1018" s="352"/>
      <c r="E1018" s="353">
        <f t="shared" si="25"/>
        <v>0</v>
      </c>
      <c r="F1018" s="354"/>
      <c r="G1018" s="358" t="s">
        <v>2343</v>
      </c>
      <c r="H1018" s="359">
        <v>29.17</v>
      </c>
      <c r="I1018" s="356">
        <f>Таблица37[[#This Row],[Цена]]+Таблица37[[#This Row],[Трудозатраты]]*1.1</f>
        <v>32.087000000000003</v>
      </c>
      <c r="J1018" s="357"/>
      <c r="K1018" s="220" t="e">
        <f>VLOOKUP(Таблица37[[#This Row],[Оболочки]],'[3]Расчет себес оболочек'!$A$3:$E$35,5,0)</f>
        <v>#N/A</v>
      </c>
    </row>
    <row r="1019" spans="2:11" x14ac:dyDescent="0.25">
      <c r="B1019" s="350" t="s">
        <v>316</v>
      </c>
      <c r="C1019" s="361" t="s">
        <v>2282</v>
      </c>
      <c r="D1019" s="352"/>
      <c r="E1019" s="353">
        <f>VLOOKUP(Таблица37[[#This Row],[Оболочки]],'предоставленные цены'!$B$4:$D$328,2,0)</f>
        <v>45.2</v>
      </c>
      <c r="F1019" s="354"/>
      <c r="G1019" s="358" t="s">
        <v>2343</v>
      </c>
      <c r="H1019" s="359">
        <v>29.17</v>
      </c>
      <c r="I1019" s="356">
        <f>Таблица37[[#This Row],[Цена]]+Таблица37[[#This Row],[Трудозатраты]]*1.1</f>
        <v>77.287000000000006</v>
      </c>
      <c r="J1019" s="357"/>
      <c r="K1019" s="220" t="e">
        <f>VLOOKUP(Таблица37[[#This Row],[Оболочки]],'[3]Расчет себес оболочек'!$A$3:$E$35,5,0)</f>
        <v>#N/A</v>
      </c>
    </row>
    <row r="1020" spans="2:11" x14ac:dyDescent="0.25">
      <c r="B1020" s="350" t="s">
        <v>320</v>
      </c>
      <c r="C1020" s="361" t="s">
        <v>2283</v>
      </c>
      <c r="D1020" s="352"/>
      <c r="E1020" s="353">
        <f>VLOOKUP(Таблица37[[#This Row],[Оболочки]],'предоставленные цены'!$B$4:$D$328,2,0)</f>
        <v>72.349999999999994</v>
      </c>
      <c r="F1020" s="354"/>
      <c r="G1020" s="358" t="s">
        <v>2343</v>
      </c>
      <c r="H1020" s="359">
        <v>29.17</v>
      </c>
      <c r="I1020" s="356">
        <f>Таблица37[[#This Row],[Цена]]+Таблица37[[#This Row],[Трудозатраты]]*1.1</f>
        <v>104.437</v>
      </c>
      <c r="J1020" s="357"/>
      <c r="K1020" s="220" t="e">
        <f>VLOOKUP(Таблица37[[#This Row],[Оболочки]],'[3]Расчет себес оболочек'!$A$3:$E$35,5,0)</f>
        <v>#N/A</v>
      </c>
    </row>
    <row r="1021" spans="2:11" x14ac:dyDescent="0.25">
      <c r="B1021" s="350" t="s">
        <v>324</v>
      </c>
      <c r="C1021" s="361" t="s">
        <v>2284</v>
      </c>
      <c r="D1021" s="352"/>
      <c r="E1021" s="353">
        <f>VLOOKUP(Таблица37[[#This Row],[Оболочки]],'предоставленные цены'!$B$4:$D$328,2,0)</f>
        <v>122.46</v>
      </c>
      <c r="F1021" s="354"/>
      <c r="G1021" s="358" t="s">
        <v>2343</v>
      </c>
      <c r="H1021" s="359">
        <v>29.17</v>
      </c>
      <c r="I1021" s="356">
        <f>Таблица37[[#This Row],[Цена]]+Таблица37[[#This Row],[Трудозатраты]]*1.1</f>
        <v>154.547</v>
      </c>
      <c r="J1021" s="357"/>
      <c r="K1021" s="220" t="e">
        <f>VLOOKUP(Таблица37[[#This Row],[Оболочки]],'[3]Расчет себес оболочек'!$A$3:$E$35,5,0)</f>
        <v>#N/A</v>
      </c>
    </row>
    <row r="1022" spans="2:11" x14ac:dyDescent="0.25">
      <c r="B1022" s="350" t="s">
        <v>328</v>
      </c>
      <c r="C1022" s="361" t="s">
        <v>2285</v>
      </c>
      <c r="D1022" s="352"/>
      <c r="E1022" s="353">
        <f>VLOOKUP(Таблица37[[#This Row],[Оболочки]],'предоставленные цены'!$B$4:$D$328,2,0)</f>
        <v>157</v>
      </c>
      <c r="F1022" s="354"/>
      <c r="G1022" s="358" t="s">
        <v>2343</v>
      </c>
      <c r="H1022" s="359">
        <v>29.17</v>
      </c>
      <c r="I1022" s="356">
        <f>Таблица37[[#This Row],[Цена]]+Таблица37[[#This Row],[Трудозатраты]]*1.1</f>
        <v>189.08699999999999</v>
      </c>
      <c r="J1022" s="357"/>
      <c r="K1022" s="220" t="e">
        <f>VLOOKUP(Таблица37[[#This Row],[Оболочки]],'[3]Расчет себес оболочек'!$A$3:$E$35,5,0)</f>
        <v>#N/A</v>
      </c>
    </row>
    <row r="1023" spans="2:11" x14ac:dyDescent="0.25">
      <c r="B1023" s="350" t="s">
        <v>332</v>
      </c>
      <c r="C1023" s="361" t="s">
        <v>2286</v>
      </c>
      <c r="D1023" s="352"/>
      <c r="E1023" s="353">
        <f>VLOOKUP(Таблица37[[#This Row],[Оболочки]],'предоставленные цены'!$B$4:$D$328,2,0)</f>
        <v>349.3</v>
      </c>
      <c r="F1023" s="354"/>
      <c r="G1023" s="358" t="s">
        <v>2343</v>
      </c>
      <c r="H1023" s="359">
        <v>29.17</v>
      </c>
      <c r="I1023" s="356">
        <f>Таблица37[[#This Row],[Цена]]+Таблица37[[#This Row],[Трудозатраты]]*1.1</f>
        <v>381.387</v>
      </c>
      <c r="J1023" s="357"/>
      <c r="K1023" s="220" t="e">
        <f>VLOOKUP(Таблица37[[#This Row],[Оболочки]],'[3]Расчет себес оболочек'!$A$3:$E$35,5,0)</f>
        <v>#N/A</v>
      </c>
    </row>
    <row r="1024" spans="2:11" x14ac:dyDescent="0.25">
      <c r="B1024" s="350" t="s">
        <v>294</v>
      </c>
      <c r="C1024" s="361" t="s">
        <v>2268</v>
      </c>
      <c r="D1024" s="352"/>
      <c r="E1024" s="353">
        <f t="shared" ref="E1024:E1087" si="26">J1024</f>
        <v>0</v>
      </c>
      <c r="F1024" s="354"/>
      <c r="G1024" s="358" t="s">
        <v>2343</v>
      </c>
      <c r="H1024" s="359">
        <v>29.17</v>
      </c>
      <c r="I1024" s="356">
        <f>Таблица37[[#This Row],[Цена]]+Таблица37[[#This Row],[Трудозатраты]]*1.1</f>
        <v>32.087000000000003</v>
      </c>
      <c r="J1024" s="357"/>
      <c r="K1024" s="220" t="e">
        <f>VLOOKUP(Таблица37[[#This Row],[Оболочки]],'[3]Расчет себес оболочек'!$A$3:$E$35,5,0)</f>
        <v>#N/A</v>
      </c>
    </row>
    <row r="1025" spans="2:11" x14ac:dyDescent="0.25">
      <c r="B1025" s="350" t="s">
        <v>295</v>
      </c>
      <c r="C1025" s="361" t="s">
        <v>2270</v>
      </c>
      <c r="D1025" s="352"/>
      <c r="E1025" s="353">
        <f t="shared" si="26"/>
        <v>0</v>
      </c>
      <c r="F1025" s="354"/>
      <c r="G1025" s="358" t="s">
        <v>2343</v>
      </c>
      <c r="H1025" s="359">
        <v>29.17</v>
      </c>
      <c r="I1025" s="356">
        <f>Таблица37[[#This Row],[Цена]]+Таблица37[[#This Row],[Трудозатраты]]*1.1</f>
        <v>32.087000000000003</v>
      </c>
      <c r="J1025" s="357"/>
      <c r="K1025" s="220" t="e">
        <f>VLOOKUP(Таблица37[[#This Row],[Оболочки]],'[3]Расчет себес оболочек'!$A$3:$E$35,5,0)</f>
        <v>#N/A</v>
      </c>
    </row>
    <row r="1026" spans="2:11" x14ac:dyDescent="0.25">
      <c r="B1026" s="350" t="s">
        <v>296</v>
      </c>
      <c r="C1026" s="361" t="s">
        <v>2271</v>
      </c>
      <c r="D1026" s="352"/>
      <c r="E1026" s="353">
        <f t="shared" si="26"/>
        <v>0</v>
      </c>
      <c r="F1026" s="354"/>
      <c r="G1026" s="358" t="s">
        <v>2343</v>
      </c>
      <c r="H1026" s="359">
        <v>29.17</v>
      </c>
      <c r="I1026" s="356">
        <f>Таблица37[[#This Row],[Цена]]+Таблица37[[#This Row],[Трудозатраты]]*1.1</f>
        <v>32.087000000000003</v>
      </c>
      <c r="J1026" s="357"/>
      <c r="K1026" s="220" t="e">
        <f>VLOOKUP(Таблица37[[#This Row],[Оболочки]],'[3]Расчет себес оболочек'!$A$3:$E$35,5,0)</f>
        <v>#N/A</v>
      </c>
    </row>
    <row r="1027" spans="2:11" x14ac:dyDescent="0.25">
      <c r="B1027" s="350" t="s">
        <v>297</v>
      </c>
      <c r="C1027" s="361" t="s">
        <v>2272</v>
      </c>
      <c r="D1027" s="352"/>
      <c r="E1027" s="353">
        <f t="shared" si="26"/>
        <v>0</v>
      </c>
      <c r="F1027" s="354"/>
      <c r="G1027" s="358" t="s">
        <v>2343</v>
      </c>
      <c r="H1027" s="359">
        <v>29.17</v>
      </c>
      <c r="I1027" s="356">
        <f>Таблица37[[#This Row],[Цена]]+Таблица37[[#This Row],[Трудозатраты]]*1.1</f>
        <v>32.087000000000003</v>
      </c>
      <c r="J1027" s="357"/>
      <c r="K1027" s="220" t="e">
        <f>VLOOKUP(Таблица37[[#This Row],[Оболочки]],'[3]Расчет себес оболочек'!$A$3:$E$35,5,0)</f>
        <v>#N/A</v>
      </c>
    </row>
    <row r="1028" spans="2:11" x14ac:dyDescent="0.25">
      <c r="B1028" s="350" t="s">
        <v>298</v>
      </c>
      <c r="C1028" s="361" t="s">
        <v>2273</v>
      </c>
      <c r="D1028" s="352"/>
      <c r="E1028" s="353">
        <f t="shared" si="26"/>
        <v>0</v>
      </c>
      <c r="F1028" s="354"/>
      <c r="G1028" s="358" t="s">
        <v>2343</v>
      </c>
      <c r="H1028" s="359">
        <v>29.17</v>
      </c>
      <c r="I1028" s="356">
        <f>Таблица37[[#This Row],[Цена]]+Таблица37[[#This Row],[Трудозатраты]]*1.1</f>
        <v>32.087000000000003</v>
      </c>
      <c r="J1028" s="357"/>
      <c r="K1028" s="220" t="e">
        <f>VLOOKUP(Таблица37[[#This Row],[Оболочки]],'[3]Расчет себес оболочек'!$A$3:$E$35,5,0)</f>
        <v>#N/A</v>
      </c>
    </row>
    <row r="1029" spans="2:11" x14ac:dyDescent="0.25">
      <c r="B1029" s="350" t="s">
        <v>299</v>
      </c>
      <c r="C1029" s="361" t="s">
        <v>2274</v>
      </c>
      <c r="D1029" s="352"/>
      <c r="E1029" s="353">
        <f t="shared" si="26"/>
        <v>0</v>
      </c>
      <c r="F1029" s="354"/>
      <c r="G1029" s="358" t="s">
        <v>2343</v>
      </c>
      <c r="H1029" s="359">
        <v>29.17</v>
      </c>
      <c r="I1029" s="356">
        <f>Таблица37[[#This Row],[Цена]]+Таблица37[[#This Row],[Трудозатраты]]*1.1</f>
        <v>32.087000000000003</v>
      </c>
      <c r="J1029" s="357"/>
      <c r="K1029" s="220" t="e">
        <f>VLOOKUP(Таблица37[[#This Row],[Оболочки]],'[3]Расчет себес оболочек'!$A$3:$E$35,5,0)</f>
        <v>#N/A</v>
      </c>
    </row>
    <row r="1030" spans="2:11" x14ac:dyDescent="0.25">
      <c r="B1030" s="350" t="s">
        <v>300</v>
      </c>
      <c r="C1030" s="361" t="s">
        <v>2275</v>
      </c>
      <c r="D1030" s="352"/>
      <c r="E1030" s="353">
        <f t="shared" si="26"/>
        <v>0</v>
      </c>
      <c r="F1030" s="354"/>
      <c r="G1030" s="358" t="s">
        <v>2343</v>
      </c>
      <c r="H1030" s="359">
        <v>29.17</v>
      </c>
      <c r="I1030" s="356">
        <f>Таблица37[[#This Row],[Цена]]+Таблица37[[#This Row],[Трудозатраты]]*1.1</f>
        <v>32.087000000000003</v>
      </c>
      <c r="J1030" s="357"/>
      <c r="K1030" s="220" t="e">
        <f>VLOOKUP(Таблица37[[#This Row],[Оболочки]],'[3]Расчет себес оболочек'!$A$3:$E$35,5,0)</f>
        <v>#N/A</v>
      </c>
    </row>
    <row r="1031" spans="2:11" x14ac:dyDescent="0.25">
      <c r="B1031" s="350" t="s">
        <v>301</v>
      </c>
      <c r="C1031" s="361" t="s">
        <v>2276</v>
      </c>
      <c r="D1031" s="352"/>
      <c r="E1031" s="353">
        <f t="shared" si="26"/>
        <v>0</v>
      </c>
      <c r="F1031" s="354"/>
      <c r="G1031" s="358" t="s">
        <v>2343</v>
      </c>
      <c r="H1031" s="359">
        <v>29.17</v>
      </c>
      <c r="I1031" s="356">
        <f>Таблица37[[#This Row],[Цена]]+Таблица37[[#This Row],[Трудозатраты]]*1.1</f>
        <v>32.087000000000003</v>
      </c>
      <c r="J1031" s="357"/>
      <c r="K1031" s="220" t="e">
        <f>VLOOKUP(Таблица37[[#This Row],[Оболочки]],'[3]Расчет себес оболочек'!$A$3:$E$35,5,0)</f>
        <v>#N/A</v>
      </c>
    </row>
    <row r="1032" spans="2:11" x14ac:dyDescent="0.25">
      <c r="B1032" s="350" t="s">
        <v>302</v>
      </c>
      <c r="C1032" s="361" t="s">
        <v>2277</v>
      </c>
      <c r="D1032" s="352"/>
      <c r="E1032" s="353">
        <f t="shared" si="26"/>
        <v>0</v>
      </c>
      <c r="F1032" s="354"/>
      <c r="G1032" s="358" t="s">
        <v>2343</v>
      </c>
      <c r="H1032" s="359">
        <v>29.17</v>
      </c>
      <c r="I1032" s="356">
        <f>Таблица37[[#This Row],[Цена]]+Таблица37[[#This Row],[Трудозатраты]]*1.1</f>
        <v>32.087000000000003</v>
      </c>
      <c r="J1032" s="357"/>
      <c r="K1032" s="220" t="e">
        <f>VLOOKUP(Таблица37[[#This Row],[Оболочки]],'[3]Расчет себес оболочек'!$A$3:$E$35,5,0)</f>
        <v>#N/A</v>
      </c>
    </row>
    <row r="1033" spans="2:11" x14ac:dyDescent="0.25">
      <c r="B1033" s="350" t="s">
        <v>303</v>
      </c>
      <c r="C1033" s="361" t="s">
        <v>2278</v>
      </c>
      <c r="D1033" s="352"/>
      <c r="E1033" s="353">
        <f t="shared" si="26"/>
        <v>0</v>
      </c>
      <c r="F1033" s="354"/>
      <c r="G1033" s="358" t="s">
        <v>2343</v>
      </c>
      <c r="H1033" s="359">
        <v>29.17</v>
      </c>
      <c r="I1033" s="356">
        <f>Таблица37[[#This Row],[Цена]]+Таблица37[[#This Row],[Трудозатраты]]*1.1</f>
        <v>32.087000000000003</v>
      </c>
      <c r="J1033" s="357"/>
      <c r="K1033" s="220" t="e">
        <f>VLOOKUP(Таблица37[[#This Row],[Оболочки]],'[3]Расчет себес оболочек'!$A$3:$E$35,5,0)</f>
        <v>#N/A</v>
      </c>
    </row>
    <row r="1034" spans="2:11" x14ac:dyDescent="0.25">
      <c r="B1034" s="350" t="s">
        <v>304</v>
      </c>
      <c r="C1034" s="361" t="s">
        <v>2279</v>
      </c>
      <c r="D1034" s="352"/>
      <c r="E1034" s="353">
        <f t="shared" si="26"/>
        <v>0</v>
      </c>
      <c r="F1034" s="354"/>
      <c r="G1034" s="358" t="s">
        <v>2343</v>
      </c>
      <c r="H1034" s="359">
        <v>29.17</v>
      </c>
      <c r="I1034" s="356">
        <f>Таблица37[[#This Row],[Цена]]+Таблица37[[#This Row],[Трудозатраты]]*1.1</f>
        <v>32.087000000000003</v>
      </c>
      <c r="J1034" s="357"/>
      <c r="K1034" s="220" t="e">
        <f>VLOOKUP(Таблица37[[#This Row],[Оболочки]],'[3]Расчет себес оболочек'!$A$3:$E$35,5,0)</f>
        <v>#N/A</v>
      </c>
    </row>
    <row r="1035" spans="2:11" x14ac:dyDescent="0.25">
      <c r="B1035" s="350" t="s">
        <v>305</v>
      </c>
      <c r="C1035" s="361" t="s">
        <v>2280</v>
      </c>
      <c r="D1035" s="352"/>
      <c r="E1035" s="353">
        <f t="shared" si="26"/>
        <v>0</v>
      </c>
      <c r="F1035" s="354"/>
      <c r="G1035" s="358" t="s">
        <v>2343</v>
      </c>
      <c r="H1035" s="359">
        <v>29.17</v>
      </c>
      <c r="I1035" s="356">
        <f>Таблица37[[#This Row],[Цена]]+Таблица37[[#This Row],[Трудозатраты]]*1.1</f>
        <v>32.087000000000003</v>
      </c>
      <c r="J1035" s="357"/>
      <c r="K1035" s="220" t="e">
        <f>VLOOKUP(Таблица37[[#This Row],[Оболочки]],'[3]Расчет себес оболочек'!$A$3:$E$35,5,0)</f>
        <v>#N/A</v>
      </c>
    </row>
    <row r="1036" spans="2:11" x14ac:dyDescent="0.25">
      <c r="B1036" s="350" t="s">
        <v>333</v>
      </c>
      <c r="C1036" s="361" t="s">
        <v>2293</v>
      </c>
      <c r="D1036" s="352"/>
      <c r="E1036" s="353">
        <f t="shared" si="26"/>
        <v>0</v>
      </c>
      <c r="F1036" s="354"/>
      <c r="G1036" s="358" t="s">
        <v>2343</v>
      </c>
      <c r="H1036" s="359">
        <v>29.17</v>
      </c>
      <c r="I1036" s="356">
        <f>Таблица37[[#This Row],[Цена]]+Таблица37[[#This Row],[Трудозатраты]]*1.1</f>
        <v>32.087000000000003</v>
      </c>
      <c r="J1036" s="357"/>
      <c r="K1036" s="220" t="e">
        <f>VLOOKUP(Таблица37[[#This Row],[Оболочки]],'[3]Расчет себес оболочек'!$A$3:$E$35,5,0)</f>
        <v>#N/A</v>
      </c>
    </row>
    <row r="1037" spans="2:11" x14ac:dyDescent="0.25">
      <c r="B1037" s="350" t="s">
        <v>340</v>
      </c>
      <c r="C1037" s="361" t="s">
        <v>2294</v>
      </c>
      <c r="D1037" s="352"/>
      <c r="E1037" s="353">
        <f t="shared" si="26"/>
        <v>0</v>
      </c>
      <c r="F1037" s="354"/>
      <c r="G1037" s="358" t="s">
        <v>2343</v>
      </c>
      <c r="H1037" s="359">
        <v>29.17</v>
      </c>
      <c r="I1037" s="356">
        <f>Таблица37[[#This Row],[Цена]]+Таблица37[[#This Row],[Трудозатраты]]*1.1</f>
        <v>32.087000000000003</v>
      </c>
      <c r="J1037" s="357"/>
      <c r="K1037" s="220" t="e">
        <f>VLOOKUP(Таблица37[[#This Row],[Оболочки]],'[3]Расчет себес оболочек'!$A$3:$E$35,5,0)</f>
        <v>#N/A</v>
      </c>
    </row>
    <row r="1038" spans="2:11" x14ac:dyDescent="0.25">
      <c r="B1038" s="350" t="s">
        <v>345</v>
      </c>
      <c r="C1038" s="361" t="s">
        <v>2295</v>
      </c>
      <c r="D1038" s="352"/>
      <c r="E1038" s="353">
        <f t="shared" si="26"/>
        <v>0</v>
      </c>
      <c r="F1038" s="354"/>
      <c r="G1038" s="358" t="s">
        <v>2343</v>
      </c>
      <c r="H1038" s="359">
        <v>29.17</v>
      </c>
      <c r="I1038" s="356">
        <f>Таблица37[[#This Row],[Цена]]+Таблица37[[#This Row],[Трудозатраты]]*1.1</f>
        <v>32.087000000000003</v>
      </c>
      <c r="J1038" s="357"/>
      <c r="K1038" s="220" t="e">
        <f>VLOOKUP(Таблица37[[#This Row],[Оболочки]],'[3]Расчет себес оболочек'!$A$3:$E$35,5,0)</f>
        <v>#N/A</v>
      </c>
    </row>
    <row r="1039" spans="2:11" x14ac:dyDescent="0.25">
      <c r="B1039" s="350" t="s">
        <v>351</v>
      </c>
      <c r="C1039" s="361" t="s">
        <v>2296</v>
      </c>
      <c r="D1039" s="352"/>
      <c r="E1039" s="353">
        <f t="shared" si="26"/>
        <v>0</v>
      </c>
      <c r="F1039" s="354"/>
      <c r="G1039" s="358" t="s">
        <v>2343</v>
      </c>
      <c r="H1039" s="359">
        <v>29.17</v>
      </c>
      <c r="I1039" s="356">
        <f>Таблица37[[#This Row],[Цена]]+Таблица37[[#This Row],[Трудозатраты]]*1.1</f>
        <v>32.087000000000003</v>
      </c>
      <c r="J1039" s="357"/>
      <c r="K1039" s="220" t="e">
        <f>VLOOKUP(Таблица37[[#This Row],[Оболочки]],'[3]Расчет себес оболочек'!$A$3:$E$35,5,0)</f>
        <v>#N/A</v>
      </c>
    </row>
    <row r="1040" spans="2:11" x14ac:dyDescent="0.25">
      <c r="B1040" s="350" t="s">
        <v>357</v>
      </c>
      <c r="C1040" s="361" t="s">
        <v>2297</v>
      </c>
      <c r="D1040" s="352"/>
      <c r="E1040" s="353">
        <f t="shared" si="26"/>
        <v>0</v>
      </c>
      <c r="F1040" s="354"/>
      <c r="G1040" s="358" t="s">
        <v>2343</v>
      </c>
      <c r="H1040" s="359">
        <v>29.17</v>
      </c>
      <c r="I1040" s="356">
        <f>Таблица37[[#This Row],[Цена]]+Таблица37[[#This Row],[Трудозатраты]]*1.1</f>
        <v>32.087000000000003</v>
      </c>
      <c r="J1040" s="357"/>
      <c r="K1040" s="220" t="e">
        <f>VLOOKUP(Таблица37[[#This Row],[Оболочки]],'[3]Расчет себес оболочек'!$A$3:$E$35,5,0)</f>
        <v>#N/A</v>
      </c>
    </row>
    <row r="1041" spans="2:11" x14ac:dyDescent="0.25">
      <c r="B1041" s="350" t="s">
        <v>363</v>
      </c>
      <c r="C1041" s="361" t="s">
        <v>2298</v>
      </c>
      <c r="D1041" s="352"/>
      <c r="E1041" s="353">
        <f t="shared" si="26"/>
        <v>0</v>
      </c>
      <c r="F1041" s="354"/>
      <c r="G1041" s="358" t="s">
        <v>2343</v>
      </c>
      <c r="H1041" s="359">
        <v>29.17</v>
      </c>
      <c r="I1041" s="356">
        <f>Таблица37[[#This Row],[Цена]]+Таблица37[[#This Row],[Трудозатраты]]*1.1</f>
        <v>32.087000000000003</v>
      </c>
      <c r="J1041" s="357"/>
      <c r="K1041" s="220" t="e">
        <f>VLOOKUP(Таблица37[[#This Row],[Оболочки]],'[3]Расчет себес оболочек'!$A$3:$E$35,5,0)</f>
        <v>#N/A</v>
      </c>
    </row>
    <row r="1042" spans="2:11" x14ac:dyDescent="0.25">
      <c r="B1042" s="350" t="s">
        <v>369</v>
      </c>
      <c r="C1042" s="361" t="s">
        <v>2299</v>
      </c>
      <c r="D1042" s="352"/>
      <c r="E1042" s="353">
        <f t="shared" si="26"/>
        <v>0</v>
      </c>
      <c r="F1042" s="354"/>
      <c r="G1042" s="358" t="s">
        <v>2343</v>
      </c>
      <c r="H1042" s="359">
        <v>29.17</v>
      </c>
      <c r="I1042" s="356">
        <f>Таблица37[[#This Row],[Цена]]+Таблица37[[#This Row],[Трудозатраты]]*1.1</f>
        <v>32.087000000000003</v>
      </c>
      <c r="J1042" s="357"/>
      <c r="K1042" s="220" t="e">
        <f>VLOOKUP(Таблица37[[#This Row],[Оболочки]],'[3]Расчет себес оболочек'!$A$3:$E$35,5,0)</f>
        <v>#N/A</v>
      </c>
    </row>
    <row r="1043" spans="2:11" x14ac:dyDescent="0.25">
      <c r="B1043" s="350" t="s">
        <v>374</v>
      </c>
      <c r="C1043" s="361" t="s">
        <v>2300</v>
      </c>
      <c r="D1043" s="352"/>
      <c r="E1043" s="353">
        <f t="shared" si="26"/>
        <v>0</v>
      </c>
      <c r="F1043" s="354"/>
      <c r="G1043" s="358" t="s">
        <v>2343</v>
      </c>
      <c r="H1043" s="359">
        <v>29.17</v>
      </c>
      <c r="I1043" s="356">
        <f>Таблица37[[#This Row],[Цена]]+Таблица37[[#This Row],[Трудозатраты]]*1.1</f>
        <v>32.087000000000003</v>
      </c>
      <c r="J1043" s="357"/>
      <c r="K1043" s="220" t="e">
        <f>VLOOKUP(Таблица37[[#This Row],[Оболочки]],'[3]Расчет себес оболочек'!$A$3:$E$35,5,0)</f>
        <v>#N/A</v>
      </c>
    </row>
    <row r="1044" spans="2:11" x14ac:dyDescent="0.25">
      <c r="B1044" s="350" t="s">
        <v>374</v>
      </c>
      <c r="C1044" s="361" t="s">
        <v>2301</v>
      </c>
      <c r="D1044" s="352"/>
      <c r="E1044" s="353">
        <f t="shared" si="26"/>
        <v>0</v>
      </c>
      <c r="F1044" s="354"/>
      <c r="G1044" s="358" t="s">
        <v>2343</v>
      </c>
      <c r="H1044" s="359">
        <v>29.17</v>
      </c>
      <c r="I1044" s="356">
        <f>Таблица37[[#This Row],[Цена]]+Таблица37[[#This Row],[Трудозатраты]]*1.1</f>
        <v>32.087000000000003</v>
      </c>
      <c r="J1044" s="357"/>
      <c r="K1044" s="220" t="e">
        <f>VLOOKUP(Таблица37[[#This Row],[Оболочки]],'[3]Расчет себес оболочек'!$A$3:$E$35,5,0)</f>
        <v>#N/A</v>
      </c>
    </row>
    <row r="1045" spans="2:11" x14ac:dyDescent="0.25">
      <c r="B1045" s="350" t="s">
        <v>334</v>
      </c>
      <c r="C1045" s="361" t="s">
        <v>2281</v>
      </c>
      <c r="D1045" s="352"/>
      <c r="E1045" s="353">
        <f t="shared" si="26"/>
        <v>0</v>
      </c>
      <c r="F1045" s="354"/>
      <c r="G1045" s="358" t="s">
        <v>2343</v>
      </c>
      <c r="H1045" s="359">
        <v>29.17</v>
      </c>
      <c r="I1045" s="356">
        <f>Таблица37[[#This Row],[Цена]]+Таблица37[[#This Row],[Трудозатраты]]*1.1</f>
        <v>32.087000000000003</v>
      </c>
      <c r="J1045" s="357"/>
      <c r="K1045" s="220" t="e">
        <f>VLOOKUP(Таблица37[[#This Row],[Оболочки]],'[3]Расчет себес оболочек'!$A$3:$E$35,5,0)</f>
        <v>#N/A</v>
      </c>
    </row>
    <row r="1046" spans="2:11" x14ac:dyDescent="0.25">
      <c r="B1046" s="350" t="s">
        <v>341</v>
      </c>
      <c r="C1046" s="361" t="s">
        <v>2282</v>
      </c>
      <c r="D1046" s="352"/>
      <c r="E1046" s="353">
        <f t="shared" si="26"/>
        <v>0</v>
      </c>
      <c r="F1046" s="354"/>
      <c r="G1046" s="358" t="s">
        <v>2343</v>
      </c>
      <c r="H1046" s="359">
        <v>29.17</v>
      </c>
      <c r="I1046" s="356">
        <f>Таблица37[[#This Row],[Цена]]+Таблица37[[#This Row],[Трудозатраты]]*1.1</f>
        <v>32.087000000000003</v>
      </c>
      <c r="J1046" s="357"/>
      <c r="K1046" s="220" t="e">
        <f>VLOOKUP(Таблица37[[#This Row],[Оболочки]],'[3]Расчет себес оболочек'!$A$3:$E$35,5,0)</f>
        <v>#N/A</v>
      </c>
    </row>
    <row r="1047" spans="2:11" x14ac:dyDescent="0.25">
      <c r="B1047" s="350" t="s">
        <v>346</v>
      </c>
      <c r="C1047" s="361" t="s">
        <v>2283</v>
      </c>
      <c r="D1047" s="352"/>
      <c r="E1047" s="353">
        <f t="shared" si="26"/>
        <v>0</v>
      </c>
      <c r="F1047" s="354"/>
      <c r="G1047" s="358" t="s">
        <v>2343</v>
      </c>
      <c r="H1047" s="359">
        <v>29.17</v>
      </c>
      <c r="I1047" s="356">
        <f>Таблица37[[#This Row],[Цена]]+Таблица37[[#This Row],[Трудозатраты]]*1.1</f>
        <v>32.087000000000003</v>
      </c>
      <c r="J1047" s="357"/>
      <c r="K1047" s="220" t="e">
        <f>VLOOKUP(Таблица37[[#This Row],[Оболочки]],'[3]Расчет себес оболочек'!$A$3:$E$35,5,0)</f>
        <v>#N/A</v>
      </c>
    </row>
    <row r="1048" spans="2:11" x14ac:dyDescent="0.25">
      <c r="B1048" s="350" t="s">
        <v>352</v>
      </c>
      <c r="C1048" s="361" t="s">
        <v>2284</v>
      </c>
      <c r="D1048" s="352"/>
      <c r="E1048" s="353">
        <f t="shared" si="26"/>
        <v>0</v>
      </c>
      <c r="F1048" s="354"/>
      <c r="G1048" s="358" t="s">
        <v>2343</v>
      </c>
      <c r="H1048" s="359">
        <v>29.17</v>
      </c>
      <c r="I1048" s="356">
        <f>Таблица37[[#This Row],[Цена]]+Таблица37[[#This Row],[Трудозатраты]]*1.1</f>
        <v>32.087000000000003</v>
      </c>
      <c r="J1048" s="357"/>
      <c r="K1048" s="220" t="e">
        <f>VLOOKUP(Таблица37[[#This Row],[Оболочки]],'[3]Расчет себес оболочек'!$A$3:$E$35,5,0)</f>
        <v>#N/A</v>
      </c>
    </row>
    <row r="1049" spans="2:11" x14ac:dyDescent="0.25">
      <c r="B1049" s="350" t="s">
        <v>358</v>
      </c>
      <c r="C1049" s="361" t="s">
        <v>2285</v>
      </c>
      <c r="D1049" s="352"/>
      <c r="E1049" s="353">
        <f t="shared" si="26"/>
        <v>0</v>
      </c>
      <c r="F1049" s="354"/>
      <c r="G1049" s="358" t="s">
        <v>2343</v>
      </c>
      <c r="H1049" s="359">
        <v>29.17</v>
      </c>
      <c r="I1049" s="356">
        <f>Таблица37[[#This Row],[Цена]]+Таблица37[[#This Row],[Трудозатраты]]*1.1</f>
        <v>32.087000000000003</v>
      </c>
      <c r="J1049" s="357"/>
      <c r="K1049" s="220" t="e">
        <f>VLOOKUP(Таблица37[[#This Row],[Оболочки]],'[3]Расчет себес оболочек'!$A$3:$E$35,5,0)</f>
        <v>#N/A</v>
      </c>
    </row>
    <row r="1050" spans="2:11" x14ac:dyDescent="0.25">
      <c r="B1050" s="350" t="s">
        <v>364</v>
      </c>
      <c r="C1050" s="361" t="s">
        <v>2286</v>
      </c>
      <c r="D1050" s="352"/>
      <c r="E1050" s="353">
        <f t="shared" si="26"/>
        <v>0</v>
      </c>
      <c r="F1050" s="354"/>
      <c r="G1050" s="358" t="s">
        <v>2343</v>
      </c>
      <c r="H1050" s="359">
        <v>29.17</v>
      </c>
      <c r="I1050" s="356">
        <f>Таблица37[[#This Row],[Цена]]+Таблица37[[#This Row],[Трудозатраты]]*1.1</f>
        <v>32.087000000000003</v>
      </c>
      <c r="J1050" s="357"/>
      <c r="K1050" s="220" t="e">
        <f>VLOOKUP(Таблица37[[#This Row],[Оболочки]],'[3]Расчет себес оболочек'!$A$3:$E$35,5,0)</f>
        <v>#N/A</v>
      </c>
    </row>
    <row r="1051" spans="2:11" x14ac:dyDescent="0.25">
      <c r="B1051" s="350" t="s">
        <v>370</v>
      </c>
      <c r="C1051" s="361" t="s">
        <v>2287</v>
      </c>
      <c r="D1051" s="352"/>
      <c r="E1051" s="353">
        <f t="shared" si="26"/>
        <v>0</v>
      </c>
      <c r="F1051" s="354"/>
      <c r="G1051" s="358" t="s">
        <v>2343</v>
      </c>
      <c r="H1051" s="359">
        <v>29.17</v>
      </c>
      <c r="I1051" s="356">
        <f>Таблица37[[#This Row],[Цена]]+Таблица37[[#This Row],[Трудозатраты]]*1.1</f>
        <v>32.087000000000003</v>
      </c>
      <c r="J1051" s="357"/>
      <c r="K1051" s="220" t="e">
        <f>VLOOKUP(Таблица37[[#This Row],[Оболочки]],'[3]Расчет себес оболочек'!$A$3:$E$35,5,0)</f>
        <v>#N/A</v>
      </c>
    </row>
    <row r="1052" spans="2:11" x14ac:dyDescent="0.25">
      <c r="B1052" s="350" t="s">
        <v>375</v>
      </c>
      <c r="C1052" s="361" t="s">
        <v>2288</v>
      </c>
      <c r="D1052" s="352"/>
      <c r="E1052" s="353">
        <f t="shared" si="26"/>
        <v>0</v>
      </c>
      <c r="F1052" s="354"/>
      <c r="G1052" s="358" t="s">
        <v>2343</v>
      </c>
      <c r="H1052" s="359">
        <v>29.17</v>
      </c>
      <c r="I1052" s="356">
        <f>Таблица37[[#This Row],[Цена]]+Таблица37[[#This Row],[Трудозатраты]]*1.1</f>
        <v>32.087000000000003</v>
      </c>
      <c r="J1052" s="357"/>
      <c r="K1052" s="220" t="e">
        <f>VLOOKUP(Таблица37[[#This Row],[Оболочки]],'[3]Расчет себес оболочек'!$A$3:$E$35,5,0)</f>
        <v>#N/A</v>
      </c>
    </row>
    <row r="1053" spans="2:11" x14ac:dyDescent="0.25">
      <c r="B1053" s="350" t="s">
        <v>376</v>
      </c>
      <c r="C1053" s="361" t="s">
        <v>2289</v>
      </c>
      <c r="D1053" s="352"/>
      <c r="E1053" s="353">
        <f t="shared" si="26"/>
        <v>0</v>
      </c>
      <c r="F1053" s="354"/>
      <c r="G1053" s="358" t="s">
        <v>2343</v>
      </c>
      <c r="H1053" s="359">
        <v>29.17</v>
      </c>
      <c r="I1053" s="356">
        <f>Таблица37[[#This Row],[Цена]]+Таблица37[[#This Row],[Трудозатраты]]*1.1</f>
        <v>32.087000000000003</v>
      </c>
      <c r="J1053" s="357"/>
      <c r="K1053" s="220" t="e">
        <f>VLOOKUP(Таблица37[[#This Row],[Оболочки]],'[3]Расчет себес оболочек'!$A$3:$E$35,5,0)</f>
        <v>#N/A</v>
      </c>
    </row>
    <row r="1054" spans="2:11" x14ac:dyDescent="0.25">
      <c r="B1054" s="350" t="s">
        <v>377</v>
      </c>
      <c r="C1054" s="361" t="s">
        <v>2290</v>
      </c>
      <c r="D1054" s="352"/>
      <c r="E1054" s="353">
        <f t="shared" si="26"/>
        <v>0</v>
      </c>
      <c r="F1054" s="354"/>
      <c r="G1054" s="358" t="s">
        <v>2343</v>
      </c>
      <c r="H1054" s="359">
        <v>29.17</v>
      </c>
      <c r="I1054" s="356">
        <f>Таблица37[[#This Row],[Цена]]+Таблица37[[#This Row],[Трудозатраты]]*1.1</f>
        <v>32.087000000000003</v>
      </c>
      <c r="J1054" s="357"/>
      <c r="K1054" s="220" t="e">
        <f>VLOOKUP(Таблица37[[#This Row],[Оболочки]],'[3]Расчет себес оболочек'!$A$3:$E$35,5,0)</f>
        <v>#N/A</v>
      </c>
    </row>
    <row r="1055" spans="2:11" x14ac:dyDescent="0.25">
      <c r="B1055" s="350" t="s">
        <v>377</v>
      </c>
      <c r="C1055" s="361" t="s">
        <v>2291</v>
      </c>
      <c r="D1055" s="352"/>
      <c r="E1055" s="353">
        <f t="shared" si="26"/>
        <v>0</v>
      </c>
      <c r="F1055" s="354"/>
      <c r="G1055" s="358" t="s">
        <v>2343</v>
      </c>
      <c r="H1055" s="359">
        <v>29.17</v>
      </c>
      <c r="I1055" s="356">
        <f>Таблица37[[#This Row],[Цена]]+Таблица37[[#This Row],[Трудозатраты]]*1.1</f>
        <v>32.087000000000003</v>
      </c>
      <c r="J1055" s="357"/>
      <c r="K1055" s="220" t="e">
        <f>VLOOKUP(Таблица37[[#This Row],[Оболочки]],'[3]Расчет себес оболочек'!$A$3:$E$35,5,0)</f>
        <v>#N/A</v>
      </c>
    </row>
    <row r="1056" spans="2:11" x14ac:dyDescent="0.25">
      <c r="B1056" s="350" t="s">
        <v>378</v>
      </c>
      <c r="C1056" s="361" t="s">
        <v>2292</v>
      </c>
      <c r="D1056" s="352"/>
      <c r="E1056" s="353">
        <f t="shared" si="26"/>
        <v>0</v>
      </c>
      <c r="F1056" s="354"/>
      <c r="G1056" s="358" t="s">
        <v>2343</v>
      </c>
      <c r="H1056" s="359">
        <v>29.17</v>
      </c>
      <c r="I1056" s="356">
        <f>Таблица37[[#This Row],[Цена]]+Таблица37[[#This Row],[Трудозатраты]]*1.1</f>
        <v>32.087000000000003</v>
      </c>
      <c r="J1056" s="357"/>
      <c r="K1056" s="220" t="e">
        <f>VLOOKUP(Таблица37[[#This Row],[Оболочки]],'[3]Расчет себес оболочек'!$A$3:$E$35,5,0)</f>
        <v>#N/A</v>
      </c>
    </row>
    <row r="1057" spans="2:20" x14ac:dyDescent="0.25">
      <c r="B1057" s="350" t="s">
        <v>607</v>
      </c>
      <c r="C1057" s="361" t="s">
        <v>2306</v>
      </c>
      <c r="D1057" s="352"/>
      <c r="E1057" s="353">
        <f t="shared" si="26"/>
        <v>0</v>
      </c>
      <c r="F1057" s="354"/>
      <c r="G1057" s="358" t="s">
        <v>2343</v>
      </c>
      <c r="H1057" s="359">
        <v>29.17</v>
      </c>
      <c r="I1057" s="356">
        <f>Таблица37[[#This Row],[Цена]]+Таблица37[[#This Row],[Трудозатраты]]*1.1</f>
        <v>32.087000000000003</v>
      </c>
      <c r="J1057" s="357"/>
      <c r="K1057" s="220" t="e">
        <f>VLOOKUP(Таблица37[[#This Row],[Оболочки]],'[3]Расчет себес оболочек'!$A$3:$E$35,5,0)</f>
        <v>#N/A</v>
      </c>
    </row>
    <row r="1058" spans="2:20" x14ac:dyDescent="0.25">
      <c r="B1058" s="350" t="s">
        <v>610</v>
      </c>
      <c r="C1058" s="361" t="s">
        <v>2307</v>
      </c>
      <c r="D1058" s="352"/>
      <c r="E1058" s="353">
        <f t="shared" si="26"/>
        <v>0</v>
      </c>
      <c r="F1058" s="354"/>
      <c r="G1058" s="358" t="s">
        <v>2343</v>
      </c>
      <c r="H1058" s="359"/>
      <c r="I1058" s="356">
        <f>Таблица37[[#This Row],[Цена]]+Таблица37[[#This Row],[Трудозатраты]]</f>
        <v>0</v>
      </c>
      <c r="J1058" s="357"/>
      <c r="K1058" s="220" t="e">
        <f>VLOOKUP(Таблица37[[#This Row],[Оболочки]],'[3]Расчет себес оболочек'!$A$3:$E$35,5,0)</f>
        <v>#N/A</v>
      </c>
    </row>
    <row r="1059" spans="2:20" x14ac:dyDescent="0.25">
      <c r="B1059" s="350" t="s">
        <v>611</v>
      </c>
      <c r="C1059" s="361" t="s">
        <v>2308</v>
      </c>
      <c r="D1059" s="352"/>
      <c r="E1059" s="353">
        <f t="shared" si="26"/>
        <v>0</v>
      </c>
      <c r="F1059" s="354"/>
      <c r="G1059" s="358" t="s">
        <v>2343</v>
      </c>
      <c r="H1059" s="359"/>
      <c r="I1059" s="356">
        <f>Таблица37[[#This Row],[Цена]]+Таблица37[[#This Row],[Трудозатраты]]</f>
        <v>0</v>
      </c>
      <c r="J1059" s="357"/>
      <c r="K1059" s="220" t="e">
        <f>VLOOKUP(Таблица37[[#This Row],[Оболочки]],'[3]Расчет себес оболочек'!$A$3:$E$35,5,0)</f>
        <v>#N/A</v>
      </c>
      <c r="S1059" s="221" t="s">
        <v>2405</v>
      </c>
    </row>
    <row r="1060" spans="2:20" x14ac:dyDescent="0.25">
      <c r="B1060" s="350" t="s">
        <v>608</v>
      </c>
      <c r="C1060" s="361" t="s">
        <v>2309</v>
      </c>
      <c r="D1060" s="352"/>
      <c r="E1060" s="353">
        <f t="shared" si="26"/>
        <v>0</v>
      </c>
      <c r="F1060" s="354"/>
      <c r="G1060" s="358" t="s">
        <v>2343</v>
      </c>
      <c r="H1060" s="359"/>
      <c r="I1060" s="356">
        <f>Таблица37[[#This Row],[Цена]]+Таблица37[[#This Row],[Трудозатраты]]</f>
        <v>0</v>
      </c>
      <c r="J1060" s="357"/>
      <c r="K1060" s="220" t="e">
        <f>VLOOKUP(Таблица37[[#This Row],[Оболочки]],'[3]Расчет себес оболочек'!$A$3:$E$35,5,0)</f>
        <v>#N/A</v>
      </c>
    </row>
    <row r="1061" spans="2:20" x14ac:dyDescent="0.25">
      <c r="B1061" s="350" t="s">
        <v>609</v>
      </c>
      <c r="C1061" s="361" t="s">
        <v>2310</v>
      </c>
      <c r="D1061" s="352"/>
      <c r="E1061" s="353">
        <f t="shared" si="26"/>
        <v>0</v>
      </c>
      <c r="F1061" s="354"/>
      <c r="G1061" s="358" t="s">
        <v>2343</v>
      </c>
      <c r="H1061" s="359"/>
      <c r="I1061" s="356">
        <f>Таблица37[[#This Row],[Цена]]+Таблица37[[#This Row],[Трудозатраты]]</f>
        <v>0</v>
      </c>
      <c r="J1061" s="357"/>
      <c r="K1061" s="220" t="e">
        <f>VLOOKUP(Таблица37[[#This Row],[Оболочки]],'[3]Расчет себес оболочек'!$A$3:$E$35,5,0)</f>
        <v>#N/A</v>
      </c>
      <c r="L1061" s="305" t="s">
        <v>2402</v>
      </c>
      <c r="M1061" s="13" t="s">
        <v>2403</v>
      </c>
      <c r="N1061" s="13" t="s">
        <v>617</v>
      </c>
      <c r="O1061" s="220" t="s">
        <v>2404</v>
      </c>
    </row>
    <row r="1062" spans="2:20" x14ac:dyDescent="0.25">
      <c r="B1062" s="350" t="s">
        <v>521</v>
      </c>
      <c r="C1062" s="361" t="s">
        <v>531</v>
      </c>
      <c r="D1062" s="352"/>
      <c r="E1062" s="353">
        <f t="shared" si="26"/>
        <v>17.9712</v>
      </c>
      <c r="F1062" s="354"/>
      <c r="G1062" s="358" t="s">
        <v>2332</v>
      </c>
      <c r="H1062" s="359"/>
      <c r="I1062" s="356">
        <f>Таблица37[[#This Row],[Цена]]+Таблица37[[#This Row],[Трудозатраты]]</f>
        <v>17.9712</v>
      </c>
      <c r="J1062" s="357">
        <v>17.9712</v>
      </c>
      <c r="K1062" s="220" t="e">
        <f>VLOOKUP(Таблица37[[#This Row],[Оболочки]],'[3]Расчет себес оболочек'!$A$3:$E$35,5,0)</f>
        <v>#N/A</v>
      </c>
      <c r="L1062" s="305">
        <v>48</v>
      </c>
      <c r="M1062" s="13" t="e">
        <f>K1062*L1062/1000000</f>
        <v>#N/A</v>
      </c>
      <c r="N1062" s="13">
        <v>7800</v>
      </c>
      <c r="O1062" s="220" t="e">
        <f>M1062*N1062</f>
        <v>#N/A</v>
      </c>
    </row>
    <row r="1063" spans="2:20" x14ac:dyDescent="0.25">
      <c r="B1063" s="350" t="s">
        <v>520</v>
      </c>
      <c r="C1063" s="361" t="s">
        <v>531</v>
      </c>
      <c r="D1063" s="352"/>
      <c r="E1063" s="353">
        <f t="shared" si="26"/>
        <v>110.8224</v>
      </c>
      <c r="F1063" s="354"/>
      <c r="G1063" s="358" t="s">
        <v>2333</v>
      </c>
      <c r="H1063" s="359"/>
      <c r="I1063" s="356">
        <f>Таблица37[[#This Row],[Цена]]+Таблица37[[#This Row],[Трудозатраты]]</f>
        <v>110.8224</v>
      </c>
      <c r="J1063" s="357">
        <v>110.8224</v>
      </c>
      <c r="K1063" s="220" t="e">
        <f>VLOOKUP(Таблица37[[#This Row],[Оболочки]],'[3]Расчет себес оболочек'!$A$3:$E$35,5,0)</f>
        <v>#N/A</v>
      </c>
      <c r="L1063" s="305">
        <v>48</v>
      </c>
      <c r="M1063" s="13" t="e">
        <f t="shared" ref="M1063:M1072" si="27">K1063*L1063/1000000</f>
        <v>#N/A</v>
      </c>
      <c r="N1063" s="13">
        <v>7800</v>
      </c>
      <c r="O1063" s="220" t="e">
        <f t="shared" ref="O1063:O1072" si="28">M1063*N1063</f>
        <v>#N/A</v>
      </c>
    </row>
    <row r="1064" spans="2:20" x14ac:dyDescent="0.25">
      <c r="B1064" s="350" t="s">
        <v>522</v>
      </c>
      <c r="C1064" s="361" t="s">
        <v>531</v>
      </c>
      <c r="D1064" s="352"/>
      <c r="E1064" s="353">
        <f t="shared" si="26"/>
        <v>28.08</v>
      </c>
      <c r="F1064" s="354"/>
      <c r="G1064" s="358" t="s">
        <v>2334</v>
      </c>
      <c r="H1064" s="359"/>
      <c r="I1064" s="356">
        <f>Таблица37[[#This Row],[Цена]]+Таблица37[[#This Row],[Трудозатраты]]</f>
        <v>28.08</v>
      </c>
      <c r="J1064" s="357">
        <v>28.08</v>
      </c>
      <c r="K1064" s="220" t="e">
        <f>VLOOKUP(Таблица37[[#This Row],[Оболочки]],'[3]Расчет себес оболочек'!$A$3:$E$35,5,0)</f>
        <v>#N/A</v>
      </c>
      <c r="L1064" s="305">
        <v>60</v>
      </c>
      <c r="M1064" s="13" t="e">
        <f t="shared" si="27"/>
        <v>#N/A</v>
      </c>
      <c r="N1064" s="13">
        <v>7800</v>
      </c>
      <c r="O1064" s="220" t="e">
        <f t="shared" si="28"/>
        <v>#N/A</v>
      </c>
      <c r="R1064" s="224"/>
      <c r="S1064" s="224"/>
      <c r="T1064" s="224"/>
    </row>
    <row r="1065" spans="2:20" x14ac:dyDescent="0.25">
      <c r="B1065" s="350" t="s">
        <v>523</v>
      </c>
      <c r="C1065" s="361" t="s">
        <v>531</v>
      </c>
      <c r="D1065" s="352"/>
      <c r="E1065" s="353">
        <f t="shared" si="26"/>
        <v>43.875</v>
      </c>
      <c r="F1065" s="354"/>
      <c r="G1065" s="358" t="s">
        <v>2335</v>
      </c>
      <c r="H1065" s="359"/>
      <c r="I1065" s="356">
        <f>Таблица37[[#This Row],[Цена]]+Таблица37[[#This Row],[Трудозатраты]]</f>
        <v>43.875</v>
      </c>
      <c r="J1065" s="357">
        <v>43.875</v>
      </c>
      <c r="K1065" s="220" t="e">
        <f>VLOOKUP(Таблица37[[#This Row],[Оболочки]],'[3]Расчет себес оболочек'!$A$3:$E$35,5,0)</f>
        <v>#N/A</v>
      </c>
      <c r="L1065" s="305">
        <v>75</v>
      </c>
      <c r="M1065" s="13" t="e">
        <f t="shared" si="27"/>
        <v>#N/A</v>
      </c>
      <c r="N1065" s="13">
        <v>7800</v>
      </c>
      <c r="O1065" s="220" t="e">
        <f t="shared" si="28"/>
        <v>#N/A</v>
      </c>
      <c r="R1065" s="224"/>
      <c r="S1065" s="224"/>
      <c r="T1065" s="224"/>
    </row>
    <row r="1066" spans="2:20" x14ac:dyDescent="0.25">
      <c r="B1066" s="350" t="s">
        <v>524</v>
      </c>
      <c r="C1066" s="361" t="s">
        <v>531</v>
      </c>
      <c r="D1066" s="352"/>
      <c r="E1066" s="353">
        <f t="shared" si="26"/>
        <v>87.75</v>
      </c>
      <c r="F1066" s="354"/>
      <c r="G1066" s="358" t="s">
        <v>2336</v>
      </c>
      <c r="H1066" s="359"/>
      <c r="I1066" s="356">
        <f>Таблица37[[#This Row],[Цена]]+Таблица37[[#This Row],[Трудозатраты]]</f>
        <v>87.75</v>
      </c>
      <c r="J1066" s="357">
        <v>87.75</v>
      </c>
      <c r="K1066" s="220" t="e">
        <f>VLOOKUP(Таблица37[[#This Row],[Оболочки]],'[3]Расчет себес оболочек'!$A$3:$E$35,5,0)</f>
        <v>#N/A</v>
      </c>
      <c r="L1066" s="305">
        <v>75</v>
      </c>
      <c r="M1066" s="13" t="e">
        <f t="shared" si="27"/>
        <v>#N/A</v>
      </c>
      <c r="N1066" s="13">
        <v>7800</v>
      </c>
      <c r="O1066" s="220" t="e">
        <f t="shared" si="28"/>
        <v>#N/A</v>
      </c>
      <c r="R1066" s="224"/>
      <c r="S1066" s="224"/>
      <c r="T1066" s="224"/>
    </row>
    <row r="1067" spans="2:20" x14ac:dyDescent="0.25">
      <c r="B1067" s="350" t="s">
        <v>525</v>
      </c>
      <c r="C1067" s="361" t="s">
        <v>531</v>
      </c>
      <c r="D1067" s="352"/>
      <c r="E1067" s="353">
        <f t="shared" si="26"/>
        <v>175.5</v>
      </c>
      <c r="F1067" s="354"/>
      <c r="G1067" s="358" t="s">
        <v>2337</v>
      </c>
      <c r="H1067" s="359"/>
      <c r="I1067" s="356">
        <f>Таблица37[[#This Row],[Цена]]+Таблица37[[#This Row],[Трудозатраты]]</f>
        <v>175.5</v>
      </c>
      <c r="J1067" s="357">
        <v>175.5</v>
      </c>
      <c r="K1067" s="220" t="e">
        <f>VLOOKUP(Таблица37[[#This Row],[Оболочки]],'[3]Расчет себес оболочек'!$A$3:$E$35,5,0)</f>
        <v>#N/A</v>
      </c>
      <c r="L1067" s="305">
        <v>150</v>
      </c>
      <c r="M1067" s="13" t="e">
        <f t="shared" si="27"/>
        <v>#N/A</v>
      </c>
      <c r="N1067" s="13">
        <v>7800</v>
      </c>
      <c r="O1067" s="220" t="e">
        <f t="shared" si="28"/>
        <v>#N/A</v>
      </c>
      <c r="R1067" s="224"/>
      <c r="S1067" s="224"/>
      <c r="T1067" s="224"/>
    </row>
    <row r="1068" spans="2:20" x14ac:dyDescent="0.25">
      <c r="B1068" s="350" t="s">
        <v>526</v>
      </c>
      <c r="C1068" s="361" t="s">
        <v>531</v>
      </c>
      <c r="D1068" s="352"/>
      <c r="E1068" s="353">
        <f t="shared" si="26"/>
        <v>175.5</v>
      </c>
      <c r="F1068" s="354"/>
      <c r="G1068" s="358" t="s">
        <v>2338</v>
      </c>
      <c r="H1068" s="359"/>
      <c r="I1068" s="356">
        <f>Таблица37[[#This Row],[Цена]]+Таблица37[[#This Row],[Трудозатраты]]</f>
        <v>175.5</v>
      </c>
      <c r="J1068" s="357">
        <v>175.5</v>
      </c>
      <c r="K1068" s="220" t="e">
        <f>VLOOKUP(Таблица37[[#This Row],[Оболочки]],'[3]Расчет себес оболочек'!$A$3:$E$35,5,0)</f>
        <v>#N/A</v>
      </c>
      <c r="L1068" s="305">
        <v>75</v>
      </c>
      <c r="M1068" s="13" t="e">
        <f t="shared" si="27"/>
        <v>#N/A</v>
      </c>
      <c r="N1068" s="13">
        <v>7800</v>
      </c>
      <c r="O1068" s="220" t="e">
        <f t="shared" si="28"/>
        <v>#N/A</v>
      </c>
      <c r="R1068" s="224"/>
      <c r="S1068" s="224"/>
      <c r="T1068" s="224"/>
    </row>
    <row r="1069" spans="2:20" x14ac:dyDescent="0.25">
      <c r="B1069" s="350" t="s">
        <v>527</v>
      </c>
      <c r="C1069" s="361" t="s">
        <v>531</v>
      </c>
      <c r="D1069" s="352"/>
      <c r="E1069" s="353">
        <f t="shared" si="26"/>
        <v>351</v>
      </c>
      <c r="F1069" s="354"/>
      <c r="G1069" s="358" t="s">
        <v>2339</v>
      </c>
      <c r="H1069" s="359"/>
      <c r="I1069" s="356">
        <f>Таблица37[[#This Row],[Цена]]+Таблица37[[#This Row],[Трудозатраты]]</f>
        <v>351</v>
      </c>
      <c r="J1069" s="357">
        <v>351</v>
      </c>
      <c r="K1069" s="220" t="e">
        <f>VLOOKUP(Таблица37[[#This Row],[Оболочки]],'[3]Расчет себес оболочек'!$A$3:$E$35,5,0)</f>
        <v>#N/A</v>
      </c>
      <c r="L1069" s="305">
        <v>150</v>
      </c>
      <c r="M1069" s="13" t="e">
        <f t="shared" si="27"/>
        <v>#N/A</v>
      </c>
      <c r="N1069" s="13">
        <v>7800</v>
      </c>
      <c r="O1069" s="220" t="e">
        <f t="shared" si="28"/>
        <v>#N/A</v>
      </c>
      <c r="R1069" s="224"/>
      <c r="S1069" s="224"/>
      <c r="T1069" s="224"/>
    </row>
    <row r="1070" spans="2:20" x14ac:dyDescent="0.25">
      <c r="B1070" s="350" t="s">
        <v>528</v>
      </c>
      <c r="C1070" s="361" t="s">
        <v>531</v>
      </c>
      <c r="D1070" s="352"/>
      <c r="E1070" s="353">
        <f t="shared" si="26"/>
        <v>468</v>
      </c>
      <c r="F1070" s="354"/>
      <c r="G1070" s="358" t="s">
        <v>2340</v>
      </c>
      <c r="H1070" s="359"/>
      <c r="I1070" s="356">
        <f>Таблица37[[#This Row],[Цена]]+Таблица37[[#This Row],[Трудозатраты]]</f>
        <v>468</v>
      </c>
      <c r="J1070" s="357">
        <v>468</v>
      </c>
      <c r="K1070" s="220" t="e">
        <f>VLOOKUP(Таблица37[[#This Row],[Оболочки]],'[3]Расчет себес оболочек'!$A$3:$E$35,5,0)</f>
        <v>#N/A</v>
      </c>
      <c r="L1070" s="305">
        <v>200</v>
      </c>
      <c r="M1070" s="13" t="e">
        <f t="shared" si="27"/>
        <v>#N/A</v>
      </c>
      <c r="N1070" s="13">
        <v>7800</v>
      </c>
      <c r="O1070" s="220" t="e">
        <f t="shared" si="28"/>
        <v>#N/A</v>
      </c>
      <c r="R1070" s="224"/>
      <c r="S1070" s="224"/>
      <c r="T1070" s="224"/>
    </row>
    <row r="1071" spans="2:20" x14ac:dyDescent="0.25">
      <c r="B1071" s="350" t="s">
        <v>529</v>
      </c>
      <c r="C1071" s="361" t="s">
        <v>531</v>
      </c>
      <c r="D1071" s="352"/>
      <c r="E1071" s="353">
        <f t="shared" si="26"/>
        <v>702</v>
      </c>
      <c r="F1071" s="354"/>
      <c r="G1071" s="358" t="s">
        <v>2341</v>
      </c>
      <c r="H1071" s="359"/>
      <c r="I1071" s="356">
        <f>Таблица37[[#This Row],[Цена]]+Таблица37[[#This Row],[Трудозатраты]]</f>
        <v>702</v>
      </c>
      <c r="J1071" s="357">
        <v>702</v>
      </c>
      <c r="K1071" s="220" t="e">
        <f>VLOOKUP(Таблица37[[#This Row],[Оболочки]],'[3]Расчет себес оболочек'!$A$3:$E$35,5,0)</f>
        <v>#N/A</v>
      </c>
      <c r="L1071" s="305">
        <v>300</v>
      </c>
      <c r="M1071" s="13" t="e">
        <f t="shared" si="27"/>
        <v>#N/A</v>
      </c>
      <c r="N1071" s="13">
        <v>7800</v>
      </c>
      <c r="O1071" s="220" t="e">
        <f t="shared" si="28"/>
        <v>#N/A</v>
      </c>
      <c r="R1071" s="224"/>
      <c r="S1071" s="224"/>
      <c r="T1071" s="224"/>
    </row>
    <row r="1072" spans="2:20" x14ac:dyDescent="0.25">
      <c r="B1072" s="350" t="s">
        <v>530</v>
      </c>
      <c r="C1072" s="361" t="s">
        <v>531</v>
      </c>
      <c r="D1072" s="352"/>
      <c r="E1072" s="353">
        <f t="shared" si="26"/>
        <v>1053</v>
      </c>
      <c r="F1072" s="354"/>
      <c r="G1072" s="358" t="s">
        <v>2342</v>
      </c>
      <c r="H1072" s="359"/>
      <c r="I1072" s="356">
        <f>Таблица37[[#This Row],[Цена]]+Таблица37[[#This Row],[Трудозатраты]]</f>
        <v>1053</v>
      </c>
      <c r="J1072" s="357">
        <v>1053</v>
      </c>
      <c r="K1072" s="220" t="e">
        <f>VLOOKUP(Таблица37[[#This Row],[Оболочки]],'[3]Расчет себес оболочек'!$A$3:$E$35,5,0)</f>
        <v>#N/A</v>
      </c>
      <c r="L1072" s="305">
        <v>300</v>
      </c>
      <c r="M1072" s="13" t="e">
        <f t="shared" si="27"/>
        <v>#N/A</v>
      </c>
      <c r="N1072" s="13">
        <v>7800</v>
      </c>
      <c r="O1072" s="220" t="e">
        <f t="shared" si="28"/>
        <v>#N/A</v>
      </c>
      <c r="R1072" s="224"/>
      <c r="S1072" s="224"/>
      <c r="T1072" s="224"/>
    </row>
    <row r="1073" spans="2:22" x14ac:dyDescent="0.25">
      <c r="B1073" s="350" t="s">
        <v>495</v>
      </c>
      <c r="C1073" s="361" t="s">
        <v>534</v>
      </c>
      <c r="D1073" s="352"/>
      <c r="E1073" s="353">
        <f t="shared" si="26"/>
        <v>549.36</v>
      </c>
      <c r="F1073" s="354"/>
      <c r="G1073" s="358" t="s">
        <v>2317</v>
      </c>
      <c r="H1073" s="359">
        <v>159</v>
      </c>
      <c r="I1073" s="356">
        <f>Таблица37[[#This Row],[Цена]]+Таблица37[[#This Row],[Трудозатраты]]</f>
        <v>708.36</v>
      </c>
      <c r="J1073" s="303">
        <v>549.36</v>
      </c>
      <c r="K1073" s="220" t="e">
        <f>VLOOKUP(Таблица37[[#This Row],[Оболочки]],'[3]Расчет себес оболочек'!$A$3:$E$35,5,0)</f>
        <v>#N/A</v>
      </c>
      <c r="R1073" s="224"/>
      <c r="S1073" s="224"/>
      <c r="T1073" s="224"/>
      <c r="U1073" s="224"/>
      <c r="V1073" s="224"/>
    </row>
    <row r="1074" spans="2:22" x14ac:dyDescent="0.25">
      <c r="B1074" s="350" t="s">
        <v>496</v>
      </c>
      <c r="C1074" s="361" t="s">
        <v>535</v>
      </c>
      <c r="D1074" s="352"/>
      <c r="E1074" s="353">
        <f t="shared" si="26"/>
        <v>755.53</v>
      </c>
      <c r="F1074" s="354"/>
      <c r="G1074" s="358" t="s">
        <v>2317</v>
      </c>
      <c r="H1074" s="359">
        <v>159</v>
      </c>
      <c r="I1074" s="356">
        <f>Таблица37[[#This Row],[Цена]]+Таблица37[[#This Row],[Трудозатраты]]</f>
        <v>914.53</v>
      </c>
      <c r="J1074" s="303">
        <v>755.53</v>
      </c>
      <c r="K1074" s="220" t="e">
        <f>VLOOKUP(Таблица37[[#This Row],[Оболочки]],'[3]Расчет себес оболочек'!$A$3:$E$35,5,0)</f>
        <v>#N/A</v>
      </c>
      <c r="R1074" s="224"/>
      <c r="S1074" s="224"/>
      <c r="T1074" s="224"/>
      <c r="U1074" s="224"/>
      <c r="V1074" s="224"/>
    </row>
    <row r="1075" spans="2:22" x14ac:dyDescent="0.25">
      <c r="B1075" s="350" t="s">
        <v>542</v>
      </c>
      <c r="C1075" s="361" t="s">
        <v>543</v>
      </c>
      <c r="D1075" s="352"/>
      <c r="E1075" s="353">
        <f t="shared" si="26"/>
        <v>650.07999999999993</v>
      </c>
      <c r="F1075" s="354"/>
      <c r="G1075" s="358" t="s">
        <v>2317</v>
      </c>
      <c r="H1075" s="359">
        <v>159</v>
      </c>
      <c r="I1075" s="356">
        <f>Таблица37[[#This Row],[Цена]]+Таблица37[[#This Row],[Трудозатраты]]</f>
        <v>809.07999999999993</v>
      </c>
      <c r="J1075" s="303">
        <v>650.07999999999993</v>
      </c>
      <c r="K1075" s="220" t="e">
        <f>VLOOKUP(Таблица37[[#This Row],[Оболочки]],'[3]Расчет себес оболочек'!$A$3:$E$35,5,0)</f>
        <v>#N/A</v>
      </c>
      <c r="R1075" s="224"/>
      <c r="S1075" s="224"/>
      <c r="T1075" s="224"/>
      <c r="U1075" s="224"/>
      <c r="V1075" s="224"/>
    </row>
    <row r="1076" spans="2:22" x14ac:dyDescent="0.25">
      <c r="B1076" s="350" t="s">
        <v>544</v>
      </c>
      <c r="C1076" s="361" t="s">
        <v>545</v>
      </c>
      <c r="D1076" s="352"/>
      <c r="E1076" s="353">
        <f t="shared" si="26"/>
        <v>1100.08</v>
      </c>
      <c r="F1076" s="354"/>
      <c r="G1076" s="358" t="s">
        <v>2317</v>
      </c>
      <c r="H1076" s="359"/>
      <c r="I1076" s="356">
        <f>Таблица37[[#This Row],[Цена]]+Таблица37[[#This Row],[Трудозатраты]]</f>
        <v>1100.08</v>
      </c>
      <c r="J1076" s="303">
        <v>1100.08</v>
      </c>
      <c r="K1076" s="220" t="e">
        <f>VLOOKUP(Таблица37[[#This Row],[Оболочки]],'[3]Расчет себес оболочек'!$A$3:$E$35,5,0)</f>
        <v>#N/A</v>
      </c>
    </row>
    <row r="1077" spans="2:22" x14ac:dyDescent="0.25">
      <c r="B1077" s="362" t="s">
        <v>464</v>
      </c>
      <c r="C1077" s="361" t="s">
        <v>485</v>
      </c>
      <c r="D1077" s="352"/>
      <c r="E1077" s="353">
        <f t="shared" si="26"/>
        <v>37.341666666666669</v>
      </c>
      <c r="F1077" s="354"/>
      <c r="G1077" s="358" t="s">
        <v>2343</v>
      </c>
      <c r="H1077" s="359"/>
      <c r="I1077" s="356">
        <f>Таблица37[[#This Row],[Цена]]+Таблица37[[#This Row],[Трудозатраты]]</f>
        <v>37.341666666666669</v>
      </c>
      <c r="J1077" s="357">
        <v>37.341666666666669</v>
      </c>
      <c r="K1077" s="220" t="e">
        <f>VLOOKUP(Таблица37[[#This Row],[Оболочки]],'[3]Расчет себес оболочек'!$A$3:$E$35,5,0)</f>
        <v>#N/A</v>
      </c>
    </row>
    <row r="1078" spans="2:22" x14ac:dyDescent="0.25">
      <c r="B1078" s="362" t="s">
        <v>465</v>
      </c>
      <c r="C1078" s="361" t="str">
        <f t="shared" ref="C1078:C1083" si="29">"Шина PE земля на DIN-изолятоPE "&amp;B1078</f>
        <v>Шина PE земля на DIN-изолятоPE ШНИ-6х9-10-Д-Ж</v>
      </c>
      <c r="D1078" s="352"/>
      <c r="E1078" s="353">
        <f t="shared" si="26"/>
        <v>43.158333333333331</v>
      </c>
      <c r="F1078" s="354"/>
      <c r="G1078" s="358" t="s">
        <v>2343</v>
      </c>
      <c r="H1078" s="359"/>
      <c r="I1078" s="356">
        <f>Таблица37[[#This Row],[Цена]]+Таблица37[[#This Row],[Трудозатраты]]</f>
        <v>43.158333333333331</v>
      </c>
      <c r="J1078" s="357">
        <v>43.158333333333331</v>
      </c>
      <c r="K1078" s="220" t="e">
        <f>VLOOKUP(Таблица37[[#This Row],[Оболочки]],'[3]Расчет себес оболочек'!$A$3:$E$35,5,0)</f>
        <v>#N/A</v>
      </c>
    </row>
    <row r="1079" spans="2:22" x14ac:dyDescent="0.25">
      <c r="B1079" s="362" t="s">
        <v>467</v>
      </c>
      <c r="C1079" s="361" t="str">
        <f t="shared" si="29"/>
        <v>Шина PE земля на DIN-изолятоPE ШНИ-6х9-12-Д-Ж</v>
      </c>
      <c r="D1079" s="352"/>
      <c r="E1079" s="353">
        <f t="shared" si="26"/>
        <v>49.591666666666669</v>
      </c>
      <c r="F1079" s="354"/>
      <c r="G1079" s="358" t="s">
        <v>2343</v>
      </c>
      <c r="H1079" s="359"/>
      <c r="I1079" s="356">
        <f>Таблица37[[#This Row],[Цена]]+Таблица37[[#This Row],[Трудозатраты]]</f>
        <v>49.591666666666669</v>
      </c>
      <c r="J1079" s="357">
        <v>49.591666666666669</v>
      </c>
      <c r="K1079" s="220" t="e">
        <f>VLOOKUP(Таблица37[[#This Row],[Оболочки]],'[3]Расчет себес оболочек'!$A$3:$E$35,5,0)</f>
        <v>#N/A</v>
      </c>
    </row>
    <row r="1080" spans="2:22" x14ac:dyDescent="0.25">
      <c r="B1080" s="362" t="s">
        <v>469</v>
      </c>
      <c r="C1080" s="361" t="str">
        <f t="shared" si="29"/>
        <v>Шина PE земля на DIN-изолятоPE ШНИ-6х9-14-Д-Ж</v>
      </c>
      <c r="D1080" s="352"/>
      <c r="E1080" s="353">
        <f t="shared" si="26"/>
        <v>54.80833333333333</v>
      </c>
      <c r="F1080" s="354"/>
      <c r="G1080" s="358" t="s">
        <v>2343</v>
      </c>
      <c r="H1080" s="359"/>
      <c r="I1080" s="356">
        <f>Таблица37[[#This Row],[Цена]]+Таблица37[[#This Row],[Трудозатраты]]</f>
        <v>54.80833333333333</v>
      </c>
      <c r="J1080" s="357">
        <v>54.80833333333333</v>
      </c>
      <c r="K1080" s="220" t="e">
        <f>VLOOKUP(Таблица37[[#This Row],[Оболочки]],'[3]Расчет себес оболочек'!$A$3:$E$35,5,0)</f>
        <v>#N/A</v>
      </c>
    </row>
    <row r="1081" spans="2:22" x14ac:dyDescent="0.25">
      <c r="B1081" s="362" t="s">
        <v>470</v>
      </c>
      <c r="C1081" s="361" t="str">
        <f t="shared" si="29"/>
        <v>Шина PE земля на DIN-изолятоPE ШНИ-6х9-16-Д-Ж</v>
      </c>
      <c r="D1081" s="352"/>
      <c r="E1081" s="353">
        <f t="shared" si="26"/>
        <v>61.816666666666677</v>
      </c>
      <c r="F1081" s="354"/>
      <c r="G1081" s="358" t="s">
        <v>2343</v>
      </c>
      <c r="H1081" s="359"/>
      <c r="I1081" s="356">
        <f>Таблица37[[#This Row],[Цена]]+Таблица37[[#This Row],[Трудозатраты]]</f>
        <v>61.816666666666677</v>
      </c>
      <c r="J1081" s="357">
        <v>61.816666666666677</v>
      </c>
      <c r="K1081" s="220" t="e">
        <f>VLOOKUP(Таблица37[[#This Row],[Оболочки]],'[3]Расчет себес оболочек'!$A$3:$E$35,5,0)</f>
        <v>#N/A</v>
      </c>
    </row>
    <row r="1082" spans="2:22" x14ac:dyDescent="0.25">
      <c r="B1082" s="362" t="s">
        <v>472</v>
      </c>
      <c r="C1082" s="361" t="str">
        <f t="shared" si="29"/>
        <v>Шина PE земля на DIN-изолятоPE ШНИ-6х9-18-Д-Ж</v>
      </c>
      <c r="D1082" s="352"/>
      <c r="E1082" s="353">
        <f t="shared" si="26"/>
        <v>67.641666666666666</v>
      </c>
      <c r="F1082" s="354"/>
      <c r="G1082" s="358" t="s">
        <v>2343</v>
      </c>
      <c r="H1082" s="359"/>
      <c r="I1082" s="356">
        <f>Таблица37[[#This Row],[Цена]]+Таблица37[[#This Row],[Трудозатраты]]</f>
        <v>67.641666666666666</v>
      </c>
      <c r="J1082" s="357">
        <v>67.641666666666666</v>
      </c>
      <c r="K1082" s="220" t="e">
        <f>VLOOKUP(Таблица37[[#This Row],[Оболочки]],'[3]Расчет себес оболочек'!$A$3:$E$35,5,0)</f>
        <v>#N/A</v>
      </c>
    </row>
    <row r="1083" spans="2:22" x14ac:dyDescent="0.25">
      <c r="B1083" s="362" t="s">
        <v>474</v>
      </c>
      <c r="C1083" s="361" t="str">
        <f t="shared" si="29"/>
        <v>Шина PE земля на DIN-изолятоPE ШНИ-6х9-20-Д-Ж</v>
      </c>
      <c r="D1083" s="352"/>
      <c r="E1083" s="353">
        <f t="shared" si="26"/>
        <v>75.8</v>
      </c>
      <c r="F1083" s="354"/>
      <c r="G1083" s="358" t="s">
        <v>2343</v>
      </c>
      <c r="H1083" s="359"/>
      <c r="I1083" s="356">
        <f>Таблица37[[#This Row],[Цена]]+Таблица37[[#This Row],[Трудозатраты]]</f>
        <v>75.8</v>
      </c>
      <c r="J1083" s="357">
        <v>75.8</v>
      </c>
      <c r="K1083" s="220" t="e">
        <f>VLOOKUP(Таблица37[[#This Row],[Оболочки]],'[3]Расчет себес оболочек'!$A$3:$E$35,5,0)</f>
        <v>#N/A</v>
      </c>
    </row>
    <row r="1084" spans="2:22" x14ac:dyDescent="0.25">
      <c r="B1084" s="362" t="s">
        <v>476</v>
      </c>
      <c r="C1084" s="361" t="str">
        <f t="shared" ref="C1084:C1090" si="30">"Шина нулевая на DIN-изолятоPE "&amp;B1084</f>
        <v>Шина нулевая на DIN-изолятоPE ШНИ-6х9-8-Д-С</v>
      </c>
      <c r="D1084" s="352"/>
      <c r="E1084" s="353">
        <f t="shared" si="26"/>
        <v>37.341666666666669</v>
      </c>
      <c r="F1084" s="354"/>
      <c r="G1084" s="358" t="s">
        <v>2343</v>
      </c>
      <c r="H1084" s="359"/>
      <c r="I1084" s="356">
        <f>Таблица37[[#This Row],[Цена]]+Таблица37[[#This Row],[Трудозатраты]]</f>
        <v>37.341666666666669</v>
      </c>
      <c r="J1084" s="357">
        <v>37.341666666666669</v>
      </c>
      <c r="K1084" s="220" t="e">
        <f>VLOOKUP(Таблица37[[#This Row],[Оболочки]],'[3]Расчет себес оболочек'!$A$3:$E$35,5,0)</f>
        <v>#N/A</v>
      </c>
    </row>
    <row r="1085" spans="2:22" x14ac:dyDescent="0.25">
      <c r="B1085" s="362" t="s">
        <v>477</v>
      </c>
      <c r="C1085" s="361" t="str">
        <f t="shared" si="30"/>
        <v>Шина нулевая на DIN-изолятоPE ШНИ-6х9-10-Д-С</v>
      </c>
      <c r="D1085" s="352"/>
      <c r="E1085" s="353">
        <f t="shared" si="26"/>
        <v>43.158333333333331</v>
      </c>
      <c r="F1085" s="354"/>
      <c r="G1085" s="358" t="s">
        <v>2343</v>
      </c>
      <c r="H1085" s="359"/>
      <c r="I1085" s="356">
        <f>Таблица37[[#This Row],[Цена]]+Таблица37[[#This Row],[Трудозатраты]]</f>
        <v>43.158333333333331</v>
      </c>
      <c r="J1085" s="357">
        <v>43.158333333333331</v>
      </c>
      <c r="K1085" s="220" t="e">
        <f>VLOOKUP(Таблица37[[#This Row],[Оболочки]],'[3]Расчет себес оболочек'!$A$3:$E$35,5,0)</f>
        <v>#N/A</v>
      </c>
    </row>
    <row r="1086" spans="2:22" x14ac:dyDescent="0.25">
      <c r="B1086" s="362" t="s">
        <v>478</v>
      </c>
      <c r="C1086" s="361" t="str">
        <f t="shared" si="30"/>
        <v>Шина нулевая на DIN-изолятоPE ШНИ-6х9-12-Д-С</v>
      </c>
      <c r="D1086" s="352"/>
      <c r="E1086" s="353">
        <f t="shared" si="26"/>
        <v>49.591666666666669</v>
      </c>
      <c r="F1086" s="354"/>
      <c r="G1086" s="358" t="s">
        <v>2343</v>
      </c>
      <c r="H1086" s="359"/>
      <c r="I1086" s="356">
        <f>Таблица37[[#This Row],[Цена]]+Таблица37[[#This Row],[Трудозатраты]]</f>
        <v>49.591666666666669</v>
      </c>
      <c r="J1086" s="357">
        <v>49.591666666666669</v>
      </c>
      <c r="K1086" s="220" t="e">
        <f>VLOOKUP(Таблица37[[#This Row],[Оболочки]],'[3]Расчет себес оболочек'!$A$3:$E$35,5,0)</f>
        <v>#N/A</v>
      </c>
    </row>
    <row r="1087" spans="2:22" x14ac:dyDescent="0.25">
      <c r="B1087" s="362" t="s">
        <v>479</v>
      </c>
      <c r="C1087" s="361" t="str">
        <f t="shared" si="30"/>
        <v>Шина нулевая на DIN-изолятоPE ШНИ-6х9-14-Д-С</v>
      </c>
      <c r="D1087" s="352"/>
      <c r="E1087" s="353">
        <f t="shared" si="26"/>
        <v>54.80833333333333</v>
      </c>
      <c r="F1087" s="354"/>
      <c r="G1087" s="358" t="s">
        <v>2343</v>
      </c>
      <c r="H1087" s="359"/>
      <c r="I1087" s="356">
        <f>Таблица37[[#This Row],[Цена]]+Таблица37[[#This Row],[Трудозатраты]]</f>
        <v>54.80833333333333</v>
      </c>
      <c r="J1087" s="357">
        <v>54.80833333333333</v>
      </c>
      <c r="K1087" s="220" t="e">
        <f>VLOOKUP(Таблица37[[#This Row],[Оболочки]],'[3]Расчет себес оболочек'!$A$3:$E$35,5,0)</f>
        <v>#N/A</v>
      </c>
    </row>
    <row r="1088" spans="2:22" x14ac:dyDescent="0.25">
      <c r="B1088" s="362" t="s">
        <v>480</v>
      </c>
      <c r="C1088" s="361" t="str">
        <f t="shared" si="30"/>
        <v>Шина нулевая на DIN-изолятоPE ШНИ-6х9-16-Д-С</v>
      </c>
      <c r="D1088" s="352"/>
      <c r="E1088" s="353">
        <f t="shared" ref="E1088:E1093" si="31">J1088</f>
        <v>61.816666666666677</v>
      </c>
      <c r="F1088" s="354"/>
      <c r="G1088" s="358" t="s">
        <v>2343</v>
      </c>
      <c r="H1088" s="359"/>
      <c r="I1088" s="356">
        <f>Таблица37[[#This Row],[Цена]]+Таблица37[[#This Row],[Трудозатраты]]</f>
        <v>61.816666666666677</v>
      </c>
      <c r="J1088" s="357">
        <v>61.816666666666677</v>
      </c>
      <c r="K1088" s="220" t="e">
        <f>VLOOKUP(Таблица37[[#This Row],[Оболочки]],'[3]Расчет себес оболочек'!$A$3:$E$35,5,0)</f>
        <v>#N/A</v>
      </c>
    </row>
    <row r="1089" spans="2:11" x14ac:dyDescent="0.25">
      <c r="B1089" s="362" t="s">
        <v>481</v>
      </c>
      <c r="C1089" s="361" t="str">
        <f t="shared" si="30"/>
        <v>Шина нулевая на DIN-изолятоPE ШНИ-6х9-18-Д-С</v>
      </c>
      <c r="D1089" s="352"/>
      <c r="E1089" s="353">
        <f t="shared" si="31"/>
        <v>67.641666666666666</v>
      </c>
      <c r="F1089" s="354"/>
      <c r="G1089" s="358" t="s">
        <v>2343</v>
      </c>
      <c r="H1089" s="359"/>
      <c r="I1089" s="356">
        <f>Таблица37[[#This Row],[Цена]]+Таблица37[[#This Row],[Трудозатраты]]</f>
        <v>67.641666666666666</v>
      </c>
      <c r="J1089" s="357">
        <v>67.641666666666666</v>
      </c>
      <c r="K1089" s="220" t="e">
        <f>VLOOKUP(Таблица37[[#This Row],[Оболочки]],'[3]Расчет себес оболочек'!$A$3:$E$35,5,0)</f>
        <v>#N/A</v>
      </c>
    </row>
    <row r="1090" spans="2:11" x14ac:dyDescent="0.25">
      <c r="B1090" s="362" t="s">
        <v>482</v>
      </c>
      <c r="C1090" s="361" t="str">
        <f t="shared" si="30"/>
        <v>Шина нулевая на DIN-изолятоPE ШНИ-6х9-20-Д-С</v>
      </c>
      <c r="D1090" s="352"/>
      <c r="E1090" s="353">
        <f t="shared" si="31"/>
        <v>75.8</v>
      </c>
      <c r="F1090" s="354"/>
      <c r="G1090" s="358" t="s">
        <v>2343</v>
      </c>
      <c r="H1090" s="359"/>
      <c r="I1090" s="356">
        <f>Таблица37[[#This Row],[Цена]]+Таблица37[[#This Row],[Трудозатраты]]</f>
        <v>75.8</v>
      </c>
      <c r="J1090" s="357">
        <v>75.8</v>
      </c>
      <c r="K1090" s="220" t="e">
        <f>VLOOKUP(Таблица37[[#This Row],[Оболочки]],'[3]Расчет себес оболочек'!$A$3:$E$35,5,0)</f>
        <v>#N/A</v>
      </c>
    </row>
    <row r="1091" spans="2:11" x14ac:dyDescent="0.25">
      <c r="B1091" s="350" t="s">
        <v>2347</v>
      </c>
      <c r="C1091" s="361" t="s">
        <v>2348</v>
      </c>
      <c r="D1091" s="352"/>
      <c r="E1091" s="353">
        <f t="shared" si="31"/>
        <v>138325</v>
      </c>
      <c r="F1091" s="354"/>
      <c r="G1091" s="355"/>
      <c r="H1091" s="359"/>
      <c r="I1091" s="356">
        <f>Таблица37[[#This Row],[Цена]]+Таблица37[[#This Row],[Трудозатраты]]</f>
        <v>138325</v>
      </c>
      <c r="J1091" s="357">
        <v>138325</v>
      </c>
      <c r="K1091" s="220" t="e">
        <f>VLOOKUP(Таблица37[[#This Row],[Оболочки]],'[3]Расчет себес оболочек'!$A$3:$E$35,5,0)</f>
        <v>#N/A</v>
      </c>
    </row>
    <row r="1092" spans="2:11" x14ac:dyDescent="0.25">
      <c r="B1092" s="350" t="s">
        <v>2346</v>
      </c>
      <c r="C1092" s="361" t="s">
        <v>2349</v>
      </c>
      <c r="D1092" s="352"/>
      <c r="E1092" s="353">
        <v>112000</v>
      </c>
      <c r="F1092" s="354"/>
      <c r="G1092" s="355"/>
      <c r="H1092" s="359"/>
      <c r="I1092" s="356">
        <f>Таблица37[[#This Row],[Цена]]+Таблица37[[#This Row],[Трудозатраты]]</f>
        <v>112000</v>
      </c>
      <c r="J1092" s="357">
        <v>112000</v>
      </c>
      <c r="K1092" s="220" t="e">
        <f>VLOOKUP(Таблица37[[#This Row],[Оболочки]],'[3]Расчет себес оболочек'!$A$3:$E$35,5,0)</f>
        <v>#N/A</v>
      </c>
    </row>
    <row r="1093" spans="2:11" x14ac:dyDescent="0.25">
      <c r="B1093" s="350" t="s">
        <v>2528</v>
      </c>
      <c r="C1093" s="361" t="s">
        <v>2547</v>
      </c>
      <c r="D1093" s="352" t="s">
        <v>640</v>
      </c>
      <c r="E1093" s="353">
        <f t="shared" si="31"/>
        <v>180000</v>
      </c>
      <c r="F1093" s="354">
        <v>177.02</v>
      </c>
      <c r="G1093" s="355"/>
      <c r="H1093" s="359"/>
      <c r="I1093" s="356">
        <f>Таблица37[[#This Row],[Цена]]+Таблица37[[#This Row],[Трудозатраты]]</f>
        <v>180000</v>
      </c>
      <c r="J1093" s="357">
        <v>180000</v>
      </c>
      <c r="K1093" s="220" t="e">
        <f>VLOOKUP(Таблица37[[#This Row],[Оболочки]],'[3]Расчет себес оболочек'!$A$3:$E$35,5,0)</f>
        <v>#N/A</v>
      </c>
    </row>
    <row r="1094" spans="2:11" x14ac:dyDescent="0.25">
      <c r="B1094" s="350" t="s">
        <v>104</v>
      </c>
      <c r="C1094" s="361"/>
      <c r="D1094" s="352"/>
      <c r="E1094" s="353">
        <f>VLOOKUP(Таблица37[[#This Row],[Оболочки]],'предоставленные цены'!$B$4:$D$328,2,0)</f>
        <v>1823.39901792</v>
      </c>
      <c r="F1094" s="354"/>
      <c r="G1094" s="355"/>
      <c r="H1094" s="359"/>
      <c r="I1094" s="356">
        <f>Таблица37[[#This Row],[Цена]]+Таблица37[[#This Row],[Трудозатраты]]</f>
        <v>1823.39901792</v>
      </c>
      <c r="J1094" s="363">
        <v>506</v>
      </c>
      <c r="K1094" s="304">
        <f>VLOOKUP(Таблица37[[#This Row],[Оболочки]],'[3]Расчет себес оболочек'!$A$3:$E$35,5,0)</f>
        <v>1823.39901792</v>
      </c>
    </row>
    <row r="1095" spans="2:11" x14ac:dyDescent="0.25">
      <c r="B1095" s="350" t="s">
        <v>105</v>
      </c>
      <c r="C1095" s="361"/>
      <c r="D1095" s="352"/>
      <c r="E1095" s="353">
        <f>VLOOKUP(Таблица37[[#This Row],[Оболочки]],'предоставленные цены'!$B$4:$D$328,2,0)</f>
        <v>1954.5430128</v>
      </c>
      <c r="F1095" s="354"/>
      <c r="G1095" s="355"/>
      <c r="H1095" s="359"/>
      <c r="I1095" s="356">
        <f>Таблица37[[#This Row],[Цена]]+Таблица37[[#This Row],[Трудозатраты]]</f>
        <v>1954.5430128</v>
      </c>
      <c r="J1095" s="363">
        <v>641</v>
      </c>
      <c r="K1095" s="304">
        <f>VLOOKUP(Таблица37[[#This Row],[Оболочки]],'[3]Расчет себес оболочек'!$A$3:$E$35,5,0)</f>
        <v>1954.5430128</v>
      </c>
    </row>
    <row r="1096" spans="2:11" x14ac:dyDescent="0.25">
      <c r="B1096" s="350" t="s">
        <v>83</v>
      </c>
      <c r="C1096" s="351" t="s">
        <v>2352</v>
      </c>
      <c r="D1096" s="352" t="s">
        <v>640</v>
      </c>
      <c r="E1096" s="353">
        <f>VLOOKUP(Таблица37[[#This Row],[Оболочки]],'предоставленные цены'!$B$4:$D$328,2,0)</f>
        <v>11526.4836228</v>
      </c>
      <c r="F1096" s="354"/>
      <c r="G1096" s="355">
        <v>0</v>
      </c>
      <c r="H1096" s="359"/>
      <c r="I1096" s="356">
        <f>Таблица37[[#This Row],[Цена]]+Таблица37[[#This Row],[Трудозатраты]]</f>
        <v>11526.4836228</v>
      </c>
      <c r="J1096" s="357">
        <v>2800</v>
      </c>
      <c r="K1096" s="304">
        <f>VLOOKUP(Таблица37[[#This Row],[Оболочки]],'[3]Расчет себес оболочек'!$A$3:$E$35,5,0)</f>
        <v>13437.9636228</v>
      </c>
    </row>
    <row r="1097" spans="2:11" x14ac:dyDescent="0.25">
      <c r="B1097" s="350" t="s">
        <v>85</v>
      </c>
      <c r="C1097" s="351" t="s">
        <v>2353</v>
      </c>
      <c r="D1097" s="352" t="s">
        <v>640</v>
      </c>
      <c r="E1097" s="353">
        <f>VLOOKUP(Таблица37[[#This Row],[Оболочки]],'предоставленные цены'!$B$4:$D$328,2,0)</f>
        <v>12867.7836228</v>
      </c>
      <c r="F1097" s="354"/>
      <c r="G1097" s="355"/>
      <c r="H1097" s="359"/>
      <c r="I1097" s="356">
        <f>Таблица37[[#This Row],[Цена]]+Таблица37[[#This Row],[Трудозатраты]]</f>
        <v>12867.7836228</v>
      </c>
      <c r="J1097" s="357">
        <v>3900</v>
      </c>
      <c r="K1097" s="304">
        <f>VLOOKUP(Таблица37[[#This Row],[Оболочки]],'[3]Расчет себес оболочек'!$A$3:$E$35,5,0)</f>
        <v>14774.163622800001</v>
      </c>
    </row>
    <row r="1098" spans="2:11" x14ac:dyDescent="0.25">
      <c r="B1098" s="350" t="s">
        <v>87</v>
      </c>
      <c r="C1098" s="351" t="s">
        <v>2354</v>
      </c>
      <c r="D1098" s="352" t="s">
        <v>640</v>
      </c>
      <c r="E1098" s="353">
        <f>VLOOKUP(Таблица37[[#This Row],[Оболочки]],'предоставленные цены'!$B$4:$D$328,2,0)</f>
        <v>15717.663622800001</v>
      </c>
      <c r="F1098" s="354"/>
      <c r="G1098" s="355"/>
      <c r="H1098" s="359"/>
      <c r="I1098" s="356">
        <f>Таблица37[[#This Row],[Цена]]+Таблица37[[#This Row],[Трудозатраты]]</f>
        <v>15717.663622800001</v>
      </c>
      <c r="J1098" s="357">
        <v>4900</v>
      </c>
      <c r="K1098" s="304">
        <f>VLOOKUP(Таблица37[[#This Row],[Оболочки]],'[3]Расчет себес оболочек'!$A$3:$E$35,5,0)</f>
        <v>18119.763622799997</v>
      </c>
    </row>
    <row r="1099" spans="2:11" x14ac:dyDescent="0.25">
      <c r="B1099" s="350"/>
      <c r="C1099" s="361"/>
      <c r="D1099" s="352"/>
      <c r="E1099" s="353">
        <f>J1099</f>
        <v>0</v>
      </c>
      <c r="F1099" s="354"/>
      <c r="G1099" s="355"/>
      <c r="H1099" s="359"/>
      <c r="I1099" s="356">
        <f>Таблица37[[#This Row],[Цена]]+Таблица37[[#This Row],[Трудозатраты]]</f>
        <v>0</v>
      </c>
      <c r="J1099" s="357"/>
      <c r="K1099" s="220" t="e">
        <f>VLOOKUP(Таблица37[[#This Row],[Оболочки]],'[3]Расчет себес оболочек'!$A$3:$E$35,5,0)</f>
        <v>#N/A</v>
      </c>
    </row>
    <row r="1100" spans="2:11" x14ac:dyDescent="0.25">
      <c r="B1100" s="350" t="s">
        <v>94</v>
      </c>
      <c r="C1100" s="351" t="s">
        <v>2370</v>
      </c>
      <c r="D1100" s="352" t="s">
        <v>640</v>
      </c>
      <c r="E1100" s="353">
        <f>VLOOKUP(Таблица37[[#This Row],[Оболочки]],'предоставленные цены'!$B$4:$D$328,2,0)</f>
        <v>3368.6720328000001</v>
      </c>
      <c r="F1100" s="354"/>
      <c r="G1100" s="355"/>
      <c r="H1100" s="359"/>
      <c r="I1100" s="356">
        <f>Таблица37[[#This Row],[Цена]]+Таблица37[[#This Row],[Трудозатраты]]</f>
        <v>3368.6720328000001</v>
      </c>
      <c r="J1100" s="357">
        <v>888</v>
      </c>
      <c r="K1100" s="304">
        <f>VLOOKUP(Таблица37[[#This Row],[Оболочки]],'[3]Расчет себес оболочек'!$A$3:$E$35,5,0)</f>
        <v>3368.6720328000001</v>
      </c>
    </row>
    <row r="1101" spans="2:11" x14ac:dyDescent="0.25">
      <c r="B1101" s="350" t="s">
        <v>96</v>
      </c>
      <c r="C1101" s="351" t="s">
        <v>2370</v>
      </c>
      <c r="D1101" s="352" t="s">
        <v>640</v>
      </c>
      <c r="E1101" s="353">
        <f>J1101</f>
        <v>1241</v>
      </c>
      <c r="F1101" s="354"/>
      <c r="G1101" s="355"/>
      <c r="H1101" s="359"/>
      <c r="I1101" s="356">
        <f>Таблица37[[#This Row],[Цена]]+Таблица37[[#This Row],[Трудозатраты]]</f>
        <v>1241</v>
      </c>
      <c r="J1101" s="357">
        <v>1241</v>
      </c>
      <c r="K1101" s="220" t="e">
        <f>VLOOKUP(Таблица37[[#This Row],[Оболочки]],'[3]Расчет себес оболочек'!$A$3:$E$35,5,0)</f>
        <v>#N/A</v>
      </c>
    </row>
    <row r="1102" spans="2:11" x14ac:dyDescent="0.25">
      <c r="B1102" s="350" t="s">
        <v>98</v>
      </c>
      <c r="C1102" s="351" t="s">
        <v>2370</v>
      </c>
      <c r="D1102" s="352" t="s">
        <v>640</v>
      </c>
      <c r="E1102" s="353">
        <f>VLOOKUP(Таблица37[[#This Row],[Оболочки]],'предоставленные цены'!$B$4:$D$328,2,0)</f>
        <v>5929.4840328</v>
      </c>
      <c r="F1102" s="354"/>
      <c r="G1102" s="355"/>
      <c r="H1102" s="359"/>
      <c r="I1102" s="356">
        <f>Таблица37[[#This Row],[Цена]]+Таблица37[[#This Row],[Трудозатраты]]</f>
        <v>5929.4840328</v>
      </c>
      <c r="J1102" s="364">
        <v>1723.5350079152413</v>
      </c>
      <c r="K1102" s="304">
        <f>VLOOKUP(Таблица37[[#This Row],[Оболочки]],'[3]Расчет себес оболочек'!$A$3:$E$35,5,0)</f>
        <v>5929.4840328</v>
      </c>
    </row>
    <row r="1103" spans="2:11" x14ac:dyDescent="0.25">
      <c r="B1103" s="350" t="s">
        <v>100</v>
      </c>
      <c r="C1103" s="351" t="s">
        <v>2370</v>
      </c>
      <c r="D1103" s="352" t="s">
        <v>640</v>
      </c>
      <c r="E1103" s="353">
        <f>J1103</f>
        <v>0</v>
      </c>
      <c r="F1103" s="354"/>
      <c r="G1103" s="355"/>
      <c r="H1103" s="359"/>
      <c r="I1103" s="356">
        <f>Таблица37[[#This Row],[Цена]]+Таблица37[[#This Row],[Трудозатраты]]</f>
        <v>0</v>
      </c>
      <c r="J1103" s="364"/>
      <c r="K1103" s="220" t="e">
        <f>VLOOKUP(Таблица37[[#This Row],[Оболочки]],'[3]Расчет себес оболочек'!$A$3:$E$35,5,0)</f>
        <v>#N/A</v>
      </c>
    </row>
    <row r="1104" spans="2:11" x14ac:dyDescent="0.25">
      <c r="B1104" s="350" t="s">
        <v>2365</v>
      </c>
      <c r="C1104" s="351"/>
      <c r="D1104" s="352" t="s">
        <v>640</v>
      </c>
      <c r="E1104" s="353">
        <f>VLOOKUP(Таблица37[[#This Row],[Оболочки]],'предоставленные цены'!$B$4:$D$328,2,0)</f>
        <v>7834.8440328000006</v>
      </c>
      <c r="F1104" s="354"/>
      <c r="G1104" s="355"/>
      <c r="H1104" s="359"/>
      <c r="I1104" s="356">
        <f>Таблица37[[#This Row],[Цена]]+Таблица37[[#This Row],[Трудозатраты]]</f>
        <v>7834.8440328000006</v>
      </c>
      <c r="J1104" s="364">
        <v>2562.3730620743222</v>
      </c>
      <c r="K1104" s="304">
        <f>VLOOKUP(Таблица37[[#This Row],[Оболочки]],'[3]Расчет себес оболочек'!$A$3:$E$35,5,0)</f>
        <v>7834.8440328000006</v>
      </c>
    </row>
    <row r="1105" spans="2:11" x14ac:dyDescent="0.25">
      <c r="B1105" s="350" t="s">
        <v>2366</v>
      </c>
      <c r="C1105" s="351"/>
      <c r="D1105" s="352" t="s">
        <v>640</v>
      </c>
      <c r="E1105" s="353">
        <f>VLOOKUP(Таблица37[[#This Row],[Оболочки]],'предоставленные цены'!$B$4:$D$328,2,0)</f>
        <v>12343.597462799999</v>
      </c>
      <c r="F1105" s="354"/>
      <c r="G1105" s="355"/>
      <c r="H1105" s="359"/>
      <c r="I1105" s="356">
        <f>Таблица37[[#This Row],[Цена]]+Таблица37[[#This Row],[Трудозатраты]]</f>
        <v>12343.597462799999</v>
      </c>
      <c r="J1105" s="364">
        <v>4335.1301656632268</v>
      </c>
      <c r="K1105" s="304">
        <f>VLOOKUP(Таблица37[[#This Row],[Оболочки]],'[3]Расчет себес оболочек'!$A$3:$E$35,5,0)</f>
        <v>12343.597462799999</v>
      </c>
    </row>
    <row r="1106" spans="2:11" x14ac:dyDescent="0.25">
      <c r="B1106" s="350" t="s">
        <v>2367</v>
      </c>
      <c r="C1106" s="351"/>
      <c r="D1106" s="352" t="s">
        <v>640</v>
      </c>
      <c r="E1106" s="353">
        <f>VLOOKUP(Таблица37[[#This Row],[Оболочки]],'предоставленные цены'!$B$4:$D$328,2,0)</f>
        <v>31291.117462800001</v>
      </c>
      <c r="F1106" s="354"/>
      <c r="G1106" s="355"/>
      <c r="H1106" s="359"/>
      <c r="I1106" s="356">
        <f>Таблица37[[#This Row],[Цена]]+Таблица37[[#This Row],[Трудозатраты]]</f>
        <v>31291.117462800001</v>
      </c>
      <c r="J1106" s="364">
        <v>13109.044000000002</v>
      </c>
      <c r="K1106" s="304">
        <f>VLOOKUP(Таблица37[[#This Row],[Оболочки]],'[3]Расчет себес оболочек'!$A$3:$E$35,5,0)</f>
        <v>31291.117462800001</v>
      </c>
    </row>
    <row r="1107" spans="2:11" x14ac:dyDescent="0.25">
      <c r="B1107" s="350" t="s">
        <v>2368</v>
      </c>
      <c r="C1107" s="351"/>
      <c r="D1107" s="352" t="s">
        <v>640</v>
      </c>
      <c r="E1107" s="353">
        <f>VLOOKUP(Таблица37[[#This Row],[Оболочки]],'предоставленные цены'!$B$4:$D$328,2,0)</f>
        <v>43158.162622800002</v>
      </c>
      <c r="F1107" s="354"/>
      <c r="G1107" s="355"/>
      <c r="H1107" s="359"/>
      <c r="I1107" s="356">
        <f>Таблица37[[#This Row],[Цена]]+Таблица37[[#This Row],[Трудозатраты]]</f>
        <v>43158.162622800002</v>
      </c>
      <c r="J1107" s="364">
        <v>18498.636000000002</v>
      </c>
      <c r="K1107" s="304">
        <f>VLOOKUP(Таблица37[[#This Row],[Оболочки]],'[3]Расчет себес оболочек'!$A$3:$E$35,5,0)</f>
        <v>43158.162622800002</v>
      </c>
    </row>
    <row r="1108" spans="2:11" x14ac:dyDescent="0.25">
      <c r="B1108" s="350" t="s">
        <v>2369</v>
      </c>
      <c r="C1108" s="351"/>
      <c r="D1108" s="352" t="s">
        <v>640</v>
      </c>
      <c r="E1108" s="353">
        <f>VLOOKUP(Таблица37[[#This Row],[Оболочки]],'предоставленные цены'!$B$4:$D$328,2,0)</f>
        <v>72125.142622800005</v>
      </c>
      <c r="F1108" s="354"/>
      <c r="G1108" s="355"/>
      <c r="H1108" s="359"/>
      <c r="I1108" s="356">
        <f>Таблица37[[#This Row],[Цена]]+Таблица37[[#This Row],[Трудозатраты]]</f>
        <v>72125.142622800005</v>
      </c>
      <c r="J1108" s="364">
        <v>38668.890000000007</v>
      </c>
      <c r="K1108" s="304">
        <f>VLOOKUP(Таблица37[[#This Row],[Оболочки]],'[3]Расчет себес оболочек'!$A$3:$E$35,5,0)</f>
        <v>72125.142622800005</v>
      </c>
    </row>
    <row r="1109" spans="2:11" x14ac:dyDescent="0.25">
      <c r="B1109" s="350" t="s">
        <v>102</v>
      </c>
      <c r="C1109" s="351"/>
      <c r="D1109" s="352" t="s">
        <v>640</v>
      </c>
      <c r="E1109" s="353">
        <f>VLOOKUP(Таблица37[[#This Row],[Оболочки]],'предоставленные цены'!$B$4:$D$328,2,0)</f>
        <v>1485.0632472</v>
      </c>
      <c r="F1109" s="354"/>
      <c r="G1109" s="355"/>
      <c r="H1109" s="359"/>
      <c r="I1109" s="356">
        <f>Таблица37[[#This Row],[Цена]]+Таблица37[[#This Row],[Трудозатраты]]</f>
        <v>1485.0632472</v>
      </c>
      <c r="J1109" s="357"/>
      <c r="K1109" s="304">
        <f>VLOOKUP(Таблица37[[#This Row],[Оболочки]],'[3]Расчет себес оболочек'!$A$3:$E$35,5,0)</f>
        <v>1485.0632472</v>
      </c>
    </row>
    <row r="1110" spans="2:11" x14ac:dyDescent="0.25">
      <c r="B1110" s="350" t="s">
        <v>2440</v>
      </c>
      <c r="C1110" s="351"/>
      <c r="D1110" s="352" t="s">
        <v>640</v>
      </c>
      <c r="E1110" s="353">
        <f>VLOOKUP(Таблица37[[#This Row],[Оболочки]],'предоставленные цены'!$B$4:$D$328,2,0)</f>
        <v>1608.8650127999999</v>
      </c>
      <c r="F1110" s="354"/>
      <c r="G1110" s="355"/>
      <c r="H1110" s="359"/>
      <c r="I1110" s="356">
        <f>Таблица37[[#This Row],[Цена]]+Таблица37[[#This Row],[Трудозатраты]]</f>
        <v>1608.8650127999999</v>
      </c>
      <c r="J1110" s="357"/>
      <c r="K1110" s="304">
        <f>VLOOKUP(Таблица37[[#This Row],[Оболочки]],'[3]Расчет себес оболочек'!$A$3:$E$35,5,0)</f>
        <v>1608.8650127999999</v>
      </c>
    </row>
    <row r="1111" spans="2:11" x14ac:dyDescent="0.25">
      <c r="B1111" s="350" t="s">
        <v>107</v>
      </c>
      <c r="C1111" s="351"/>
      <c r="D1111" s="352" t="s">
        <v>640</v>
      </c>
      <c r="E1111" s="353">
        <f>VLOOKUP(Таблица37[[#This Row],[Оболочки]],'предоставленные цены'!$B$4:$D$328,2,0)</f>
        <v>2029.5410179199998</v>
      </c>
      <c r="F1111" s="354"/>
      <c r="G1111" s="355"/>
      <c r="H1111" s="359"/>
      <c r="I1111" s="356">
        <f>Таблица37[[#This Row],[Цена]]+Таблица37[[#This Row],[Трудозатраты]]</f>
        <v>2029.5410179199998</v>
      </c>
      <c r="J1111" s="357"/>
      <c r="K1111" s="304">
        <f>VLOOKUP(Таблица37[[#This Row],[Оболочки]],'[3]Расчет себес оболочек'!$A$3:$E$35,5,0)</f>
        <v>2029.5410179199998</v>
      </c>
    </row>
    <row r="1112" spans="2:11" x14ac:dyDescent="0.25">
      <c r="B1112" s="350" t="s">
        <v>109</v>
      </c>
      <c r="C1112" s="351"/>
      <c r="D1112" s="352" t="s">
        <v>640</v>
      </c>
      <c r="E1112" s="353">
        <f>VLOOKUP(Таблица37[[#This Row],[Оболочки]],'предоставленные цены'!$B$4:$D$328,2,0)</f>
        <v>2192.1010127999998</v>
      </c>
      <c r="F1112" s="354"/>
      <c r="G1112" s="355"/>
      <c r="H1112" s="359"/>
      <c r="I1112" s="356">
        <f>Таблица37[[#This Row],[Цена]]+Таблица37[[#This Row],[Трудозатраты]]</f>
        <v>2192.1010127999998</v>
      </c>
      <c r="J1112" s="357"/>
      <c r="K1112" s="304">
        <f>VLOOKUP(Таблица37[[#This Row],[Оболочки]],'[3]Расчет себес оболочек'!$A$3:$E$35,5,0)</f>
        <v>2192.1010127999998</v>
      </c>
    </row>
    <row r="1113" spans="2:11" x14ac:dyDescent="0.25">
      <c r="B1113" s="350" t="s">
        <v>2441</v>
      </c>
      <c r="C1113" s="351"/>
      <c r="D1113" s="352" t="s">
        <v>640</v>
      </c>
      <c r="E1113" s="353">
        <f>VLOOKUP(Таблица37[[#This Row],[Оболочки]],'предоставленные цены'!$B$4:$D$328,2,0)</f>
        <v>3023.0950127999999</v>
      </c>
      <c r="F1113" s="354"/>
      <c r="G1113" s="355"/>
      <c r="H1113" s="359"/>
      <c r="I1113" s="356">
        <f>Таблица37[[#This Row],[Цена]]+Таблица37[[#This Row],[Трудозатраты]]</f>
        <v>3023.0950127999999</v>
      </c>
      <c r="J1113" s="357"/>
      <c r="K1113" s="304">
        <f>VLOOKUP(Таблица37[[#This Row],[Оболочки]],'[3]Расчет себес оболочек'!$A$3:$E$35,5,0)</f>
        <v>3023.0950127999999</v>
      </c>
    </row>
    <row r="1114" spans="2:11" x14ac:dyDescent="0.25">
      <c r="B1114" s="350" t="s">
        <v>2442</v>
      </c>
      <c r="C1114" s="351"/>
      <c r="D1114" s="352" t="s">
        <v>640</v>
      </c>
      <c r="E1114" s="353">
        <f>VLOOKUP(Таблица37[[#This Row],[Оболочки]],'предоставленные цены'!$B$4:$D$328,2,0)</f>
        <v>40274.515012799995</v>
      </c>
      <c r="F1114" s="354"/>
      <c r="G1114" s="355"/>
      <c r="H1114" s="359"/>
      <c r="I1114" s="356">
        <f>Таблица37[[#This Row],[Цена]]+Таблица37[[#This Row],[Трудозатраты]]</f>
        <v>40274.515012799995</v>
      </c>
      <c r="J1114" s="357"/>
      <c r="K1114" s="304">
        <f>VLOOKUP(Таблица37[[#This Row],[Оболочки]],'[3]Расчет себес оболочек'!$A$3:$E$35,5,0)</f>
        <v>40274.515012799995</v>
      </c>
    </row>
    <row r="1115" spans="2:11" x14ac:dyDescent="0.25">
      <c r="B1115" s="350" t="s">
        <v>2443</v>
      </c>
      <c r="C1115" s="351"/>
      <c r="D1115" s="352" t="s">
        <v>640</v>
      </c>
      <c r="E1115" s="353">
        <f>VLOOKUP(Таблица37[[#This Row],[Оболочки]],'предоставленные цены'!$B$4:$D$328,2,0)</f>
        <v>7154.0950127999995</v>
      </c>
      <c r="F1115" s="354"/>
      <c r="G1115" s="355"/>
      <c r="H1115" s="359"/>
      <c r="I1115" s="356">
        <f>Таблица37[[#This Row],[Цена]]+Таблица37[[#This Row],[Трудозатраты]]</f>
        <v>7154.0950127999995</v>
      </c>
      <c r="J1115" s="357"/>
      <c r="K1115" s="304">
        <f>VLOOKUP(Таблица37[[#This Row],[Оболочки]],'[3]Расчет себес оболочек'!$A$3:$E$35,5,0)</f>
        <v>7154.0950127999995</v>
      </c>
    </row>
    <row r="1116" spans="2:11" x14ac:dyDescent="0.25">
      <c r="B1116" s="350" t="s">
        <v>2444</v>
      </c>
      <c r="C1116" s="351"/>
      <c r="D1116" s="352" t="s">
        <v>640</v>
      </c>
      <c r="E1116" s="353">
        <f>VLOOKUP(Таблица37[[#This Row],[Оболочки]],'предоставленные цены'!$B$4:$D$328,2,0)</f>
        <v>11927.343765600001</v>
      </c>
      <c r="F1116" s="354"/>
      <c r="G1116" s="355"/>
      <c r="H1116" s="359"/>
      <c r="I1116" s="356">
        <f>Таблица37[[#This Row],[Цена]]+Таблица37[[#This Row],[Трудозатраты]]</f>
        <v>11927.343765600001</v>
      </c>
      <c r="J1116" s="357"/>
      <c r="K1116" s="304">
        <f>VLOOKUP(Таблица37[[#This Row],[Оболочки]],'[3]Расчет себес оболочек'!$A$3:$E$35,5,0)</f>
        <v>11927.343765600001</v>
      </c>
    </row>
    <row r="1117" spans="2:11" x14ac:dyDescent="0.25">
      <c r="B1117" s="350" t="s">
        <v>2445</v>
      </c>
      <c r="C1117" s="351"/>
      <c r="D1117" s="352" t="s">
        <v>640</v>
      </c>
      <c r="E1117" s="353">
        <f>VLOOKUP(Таблица37[[#This Row],[Оболочки]],'предоставленные цены'!$B$4:$D$328,2,0)</f>
        <v>11005.263765600001</v>
      </c>
      <c r="F1117" s="354"/>
      <c r="G1117" s="355"/>
      <c r="H1117" s="359"/>
      <c r="I1117" s="356">
        <f>Таблица37[[#This Row],[Цена]]+Таблица37[[#This Row],[Трудозатраты]]</f>
        <v>11005.263765600001</v>
      </c>
      <c r="J1117" s="357"/>
      <c r="K1117" s="304">
        <f>VLOOKUP(Таблица37[[#This Row],[Оболочки]],'[3]Расчет себес оболочек'!$A$3:$E$35,5,0)</f>
        <v>11005.263765600001</v>
      </c>
    </row>
    <row r="1118" spans="2:11" x14ac:dyDescent="0.25">
      <c r="B1118" s="350" t="s">
        <v>2446</v>
      </c>
      <c r="C1118" s="351"/>
      <c r="D1118" s="352" t="s">
        <v>640</v>
      </c>
      <c r="E1118" s="353">
        <f>VLOOKUP(Таблица37[[#This Row],[Оболочки]],'предоставленные цены'!$B$4:$D$328,2,0)</f>
        <v>19318.263765600001</v>
      </c>
      <c r="F1118" s="354"/>
      <c r="G1118" s="355"/>
      <c r="H1118" s="359"/>
      <c r="I1118" s="356">
        <f>Таблица37[[#This Row],[Цена]]+Таблица37[[#This Row],[Трудозатраты]]</f>
        <v>19318.263765600001</v>
      </c>
      <c r="J1118" s="357"/>
      <c r="K1118" s="304">
        <f>VLOOKUP(Таблица37[[#This Row],[Оболочки]],'[3]Расчет себес оболочек'!$A$3:$E$35,5,0)</f>
        <v>19318.263765600001</v>
      </c>
    </row>
    <row r="1119" spans="2:11" x14ac:dyDescent="0.25">
      <c r="B1119" s="350" t="s">
        <v>2447</v>
      </c>
      <c r="C1119" s="351"/>
      <c r="D1119" s="352" t="s">
        <v>640</v>
      </c>
      <c r="E1119" s="353">
        <f>VLOOKUP(Таблица37[[#This Row],[Оболочки]],'предоставленные цены'!$B$4:$D$328,2,0)</f>
        <v>36624.805725600003</v>
      </c>
      <c r="F1119" s="354"/>
      <c r="G1119" s="355"/>
      <c r="H1119" s="359"/>
      <c r="I1119" s="356">
        <f>Таблица37[[#This Row],[Цена]]+Таблица37[[#This Row],[Трудозатраты]]</f>
        <v>36624.805725600003</v>
      </c>
      <c r="J1119" s="357"/>
      <c r="K1119" s="304">
        <f>VLOOKUP(Таблица37[[#This Row],[Оболочки]],'[3]Расчет себес оболочек'!$A$3:$E$35,5,0)</f>
        <v>36624.805725600003</v>
      </c>
    </row>
    <row r="1120" spans="2:11" x14ac:dyDescent="0.25">
      <c r="B1120" s="350" t="s">
        <v>2448</v>
      </c>
      <c r="C1120" s="351"/>
      <c r="D1120" s="352" t="s">
        <v>640</v>
      </c>
      <c r="E1120" s="353">
        <f>VLOOKUP(Таблица37[[#This Row],[Оболочки]],'предоставленные цены'!$B$4:$D$328,2,0)</f>
        <v>7857.2840328000002</v>
      </c>
      <c r="F1120" s="354"/>
      <c r="G1120" s="355"/>
      <c r="H1120" s="359"/>
      <c r="I1120" s="356">
        <f>Таблица37[[#This Row],[Цена]]+Таблица37[[#This Row],[Трудозатраты]]</f>
        <v>7857.2840328000002</v>
      </c>
      <c r="J1120" s="357"/>
      <c r="K1120" s="304">
        <f>VLOOKUP(Таблица37[[#This Row],[Оболочки]],'[3]Расчет себес оболочек'!$A$3:$E$35,5,0)</f>
        <v>9824.8640328000001</v>
      </c>
    </row>
    <row r="1121" spans="2:11" x14ac:dyDescent="0.25">
      <c r="B1121" s="350" t="s">
        <v>2449</v>
      </c>
      <c r="C1121" s="351"/>
      <c r="D1121" s="352" t="s">
        <v>640</v>
      </c>
      <c r="E1121" s="353">
        <f>VLOOKUP(Таблица37[[#This Row],[Оболочки]],'предоставленные цены'!$B$4:$D$328,2,0)</f>
        <v>8767.1240328000004</v>
      </c>
      <c r="F1121" s="354"/>
      <c r="G1121" s="355"/>
      <c r="H1121" s="359"/>
      <c r="I1121" s="356">
        <f>Таблица37[[#This Row],[Цена]]+Таблица37[[#This Row],[Трудозатраты]]</f>
        <v>8767.1240328000004</v>
      </c>
      <c r="J1121" s="357"/>
      <c r="K1121" s="304">
        <f>VLOOKUP(Таблица37[[#This Row],[Оболочки]],'[3]Расчет себес оболочек'!$A$3:$E$35,5,0)</f>
        <v>8767.1240328000004</v>
      </c>
    </row>
    <row r="1122" spans="2:11" x14ac:dyDescent="0.25">
      <c r="B1122" s="350" t="s">
        <v>2450</v>
      </c>
      <c r="C1122" s="351"/>
      <c r="D1122" s="352" t="s">
        <v>640</v>
      </c>
      <c r="E1122" s="353">
        <f>VLOOKUP(Таблица37[[#This Row],[Оболочки]],'предоставленные цены'!$B$4:$D$328,2,0)</f>
        <v>12249.183400000002</v>
      </c>
      <c r="F1122" s="354"/>
      <c r="G1122" s="355"/>
      <c r="H1122" s="359"/>
      <c r="I1122" s="356">
        <f>Таблица37[[#This Row],[Цена]]+Таблица37[[#This Row],[Трудозатраты]]</f>
        <v>12249.183400000002</v>
      </c>
      <c r="J1122" s="357"/>
      <c r="K1122" s="304">
        <f>VLOOKUP(Таблица37[[#This Row],[Оболочки]],'[3]Расчет себес оболочек'!$A$3:$E$35,5,0)</f>
        <v>15086.823400000001</v>
      </c>
    </row>
    <row r="1123" spans="2:11" x14ac:dyDescent="0.25">
      <c r="B1123" s="350" t="s">
        <v>2451</v>
      </c>
      <c r="C1123" s="351"/>
      <c r="D1123" s="352" t="s">
        <v>640</v>
      </c>
      <c r="E1123" s="353">
        <f>VLOOKUP(Таблица37[[#This Row],[Оболочки]],'предоставленные цены'!$B$4:$D$328,2,0)</f>
        <v>25095.063400000003</v>
      </c>
      <c r="F1123" s="354"/>
      <c r="G1123" s="355"/>
      <c r="H1123" s="359"/>
      <c r="I1123" s="356">
        <f>Таблица37[[#This Row],[Цена]]+Таблица37[[#This Row],[Трудозатраты]]</f>
        <v>25095.063400000003</v>
      </c>
      <c r="J1123" s="357"/>
      <c r="K1123" s="304">
        <f>VLOOKUP(Таблица37[[#This Row],[Оболочки]],'[3]Расчет себес оболочек'!$A$3:$E$35,5,0)</f>
        <v>30468.4234</v>
      </c>
    </row>
    <row r="1124" spans="2:11" x14ac:dyDescent="0.25">
      <c r="B1124" s="350" t="s">
        <v>2452</v>
      </c>
      <c r="C1124" s="351"/>
      <c r="D1124" s="352" t="s">
        <v>640</v>
      </c>
      <c r="E1124" s="353">
        <f>VLOOKUP(Таблица37[[#This Row],[Оболочки]],'предоставленные цены'!$B$4:$D$328,2,0)</f>
        <v>30671.403400000003</v>
      </c>
      <c r="F1124" s="354"/>
      <c r="G1124" s="355"/>
      <c r="H1124" s="359"/>
      <c r="I1124" s="356">
        <f>Таблица37[[#This Row],[Цена]]+Таблица37[[#This Row],[Трудозатраты]]</f>
        <v>30671.403400000003</v>
      </c>
      <c r="J1124" s="357"/>
      <c r="K1124" s="304">
        <f>VLOOKUP(Таблица37[[#This Row],[Оболочки]],'[3]Расчет себес оболочек'!$A$3:$E$35,5,0)</f>
        <v>37037.223400000003</v>
      </c>
    </row>
    <row r="1125" spans="2:11" x14ac:dyDescent="0.25">
      <c r="B1125" s="350" t="s">
        <v>2453</v>
      </c>
      <c r="C1125" s="351"/>
      <c r="D1125" s="352" t="s">
        <v>640</v>
      </c>
      <c r="E1125" s="353">
        <f>VLOOKUP(Таблица37[[#This Row],[Оболочки]],'предоставленные цены'!$B$4:$D$328,2,0)</f>
        <v>43147.023399999998</v>
      </c>
      <c r="F1125" s="354"/>
      <c r="G1125" s="355"/>
      <c r="H1125" s="359"/>
      <c r="I1125" s="356">
        <f>Таблица37[[#This Row],[Цена]]+Таблица37[[#This Row],[Трудозатраты]]</f>
        <v>43147.023399999998</v>
      </c>
      <c r="J1125" s="357"/>
      <c r="K1125" s="304">
        <f>VLOOKUP(Таблица37[[#This Row],[Оболочки]],'[3]Расчет себес оболочек'!$A$3:$E$35,5,0)</f>
        <v>51276.4234</v>
      </c>
    </row>
    <row r="1126" spans="2:11" x14ac:dyDescent="0.25">
      <c r="B1126" s="350" t="s">
        <v>2454</v>
      </c>
      <c r="C1126" s="351"/>
      <c r="D1126" s="352" t="s">
        <v>640</v>
      </c>
      <c r="E1126" s="353" t="e">
        <f>VLOOKUP(Таблица37[[#This Row],[Оболочки]],'предоставленные цены'!$B$4:$D$328,2,0)</f>
        <v>#N/A</v>
      </c>
      <c r="F1126" s="354"/>
      <c r="G1126" s="355"/>
      <c r="H1126" s="359"/>
      <c r="I1126" s="356" t="e">
        <f>Таблица37[[#This Row],[Цена]]+Таблица37[[#This Row],[Трудозатраты]]</f>
        <v>#N/A</v>
      </c>
      <c r="J1126" s="357"/>
      <c r="K1126" s="220" t="e">
        <f>VLOOKUP(Таблица37[[#This Row],[Оболочки]],'[3]Расчет себес оболочек'!$A$3:$E$35,5,0)</f>
        <v>#N/A</v>
      </c>
    </row>
    <row r="1127" spans="2:11" x14ac:dyDescent="0.25">
      <c r="B1127" s="350" t="s">
        <v>2455</v>
      </c>
      <c r="C1127" s="351"/>
      <c r="D1127" s="352" t="s">
        <v>640</v>
      </c>
      <c r="E1127" s="353">
        <f>VLOOKUP(Таблица37[[#This Row],[Оболочки]],'предоставленные цены'!$B$4:$D$328,2,0)</f>
        <v>142.957998</v>
      </c>
      <c r="F1127" s="354"/>
      <c r="G1127" s="355"/>
      <c r="H1127" s="359"/>
      <c r="I1127" s="356">
        <f>Таблица37[[#This Row],[Цена]]+Таблица37[[#This Row],[Трудозатраты]]</f>
        <v>142.957998</v>
      </c>
      <c r="J1127" s="357"/>
      <c r="K1127" s="220" t="e">
        <f>VLOOKUP(Таблица37[[#This Row],[Оболочки]],'[3]Расчет себес оболочек'!$A$3:$E$35,5,0)</f>
        <v>#N/A</v>
      </c>
    </row>
    <row r="1128" spans="2:11" x14ac:dyDescent="0.25">
      <c r="B1128" s="350" t="s">
        <v>2456</v>
      </c>
      <c r="C1128" s="351"/>
      <c r="D1128" s="352" t="s">
        <v>640</v>
      </c>
      <c r="E1128" s="353">
        <f>VLOOKUP(Таблица37[[#This Row],[Оболочки]],'предоставленные цены'!$B$4:$D$328,2,0)</f>
        <v>144.997998</v>
      </c>
      <c r="F1128" s="354"/>
      <c r="G1128" s="355"/>
      <c r="H1128" s="359"/>
      <c r="I1128" s="356">
        <f>Таблица37[[#This Row],[Цена]]+Таблица37[[#This Row],[Трудозатраты]]</f>
        <v>144.997998</v>
      </c>
      <c r="J1128" s="357"/>
      <c r="K1128" s="220" t="e">
        <f>VLOOKUP(Таблица37[[#This Row],[Оболочки]],'[3]Расчет себес оболочек'!$A$3:$E$35,5,0)</f>
        <v>#N/A</v>
      </c>
    </row>
    <row r="1129" spans="2:11" x14ac:dyDescent="0.25">
      <c r="B1129" s="350" t="s">
        <v>2457</v>
      </c>
      <c r="C1129" s="351"/>
      <c r="D1129" s="352" t="s">
        <v>640</v>
      </c>
      <c r="E1129" s="353">
        <f>VLOOKUP(Таблица37[[#This Row],[Оболочки]],'предоставленные цены'!$B$4:$D$328,2,0)</f>
        <v>148.057998</v>
      </c>
      <c r="F1129" s="354"/>
      <c r="G1129" s="355"/>
      <c r="H1129" s="359"/>
      <c r="I1129" s="356">
        <f>Таблица37[[#This Row],[Цена]]+Таблица37[[#This Row],[Трудозатраты]]</f>
        <v>148.057998</v>
      </c>
      <c r="J1129" s="357"/>
      <c r="K1129" s="220" t="e">
        <f>VLOOKUP(Таблица37[[#This Row],[Оболочки]],'[3]Расчет себес оболочек'!$A$3:$E$35,5,0)</f>
        <v>#N/A</v>
      </c>
    </row>
    <row r="1130" spans="2:11" x14ac:dyDescent="0.25">
      <c r="B1130" s="350" t="s">
        <v>2458</v>
      </c>
      <c r="C1130" s="351"/>
      <c r="D1130" s="352" t="s">
        <v>640</v>
      </c>
      <c r="E1130" s="353">
        <f>VLOOKUP(Таблица37[[#This Row],[Оболочки]],'предоставленные цены'!$B$4:$D$328,2,0)</f>
        <v>155.87961300000001</v>
      </c>
      <c r="F1130" s="354"/>
      <c r="G1130" s="355"/>
      <c r="H1130" s="359"/>
      <c r="I1130" s="356">
        <f>Таблица37[[#This Row],[Цена]]+Таблица37[[#This Row],[Трудозатраты]]</f>
        <v>155.87961300000001</v>
      </c>
      <c r="J1130" s="357"/>
      <c r="K1130" s="220" t="e">
        <f>VLOOKUP(Таблица37[[#This Row],[Оболочки]],'[3]Расчет себес оболочек'!$A$3:$E$35,5,0)</f>
        <v>#N/A</v>
      </c>
    </row>
    <row r="1131" spans="2:11" x14ac:dyDescent="0.25">
      <c r="B1131" s="350" t="s">
        <v>2459</v>
      </c>
      <c r="C1131" s="351"/>
      <c r="D1131" s="352" t="s">
        <v>640</v>
      </c>
      <c r="E1131" s="353">
        <f>VLOOKUP(Таблица37[[#This Row],[Оболочки]],'предоставленные цены'!$B$4:$D$328,2,0)</f>
        <v>167.85181200000002</v>
      </c>
      <c r="F1131" s="354"/>
      <c r="G1131" s="355"/>
      <c r="H1131" s="359"/>
      <c r="I1131" s="356">
        <f>Таблица37[[#This Row],[Цена]]+Таблица37[[#This Row],[Трудозатраты]]</f>
        <v>167.85181200000002</v>
      </c>
      <c r="J1131" s="357"/>
      <c r="K1131" s="220" t="e">
        <f>VLOOKUP(Таблица37[[#This Row],[Оболочки]],'[3]Расчет себес оболочек'!$A$3:$E$35,5,0)</f>
        <v>#N/A</v>
      </c>
    </row>
    <row r="1132" spans="2:11" x14ac:dyDescent="0.25">
      <c r="B1132" s="350" t="s">
        <v>2460</v>
      </c>
      <c r="C1132" s="351"/>
      <c r="D1132" s="352" t="s">
        <v>640</v>
      </c>
      <c r="E1132" s="353">
        <f>VLOOKUP(Таблица37[[#This Row],[Оболочки]],'предоставленные цены'!$B$4:$D$328,2,0)</f>
        <v>210.24882599999998</v>
      </c>
      <c r="F1132" s="354"/>
      <c r="G1132" s="355"/>
      <c r="H1132" s="359"/>
      <c r="I1132" s="356">
        <f>Таблица37[[#This Row],[Цена]]+Таблица37[[#This Row],[Трудозатраты]]</f>
        <v>210.24882599999998</v>
      </c>
      <c r="J1132" s="357"/>
      <c r="K1132" s="220" t="e">
        <f>VLOOKUP(Таблица37[[#This Row],[Оболочки]],'[3]Расчет себес оболочек'!$A$3:$E$35,5,0)</f>
        <v>#N/A</v>
      </c>
    </row>
    <row r="1133" spans="2:11" x14ac:dyDescent="0.25">
      <c r="B1133" s="350" t="s">
        <v>2461</v>
      </c>
      <c r="C1133" s="351"/>
      <c r="D1133" s="352" t="s">
        <v>640</v>
      </c>
      <c r="E1133" s="353">
        <f>VLOOKUP(Таблица37[[#This Row],[Оболочки]],'предоставленные цены'!$B$4:$D$328,2,0)</f>
        <v>493.725798</v>
      </c>
      <c r="F1133" s="354"/>
      <c r="G1133" s="355"/>
      <c r="H1133" s="359"/>
      <c r="I1133" s="356">
        <f>Таблица37[[#This Row],[Цена]]+Таблица37[[#This Row],[Трудозатраты]]</f>
        <v>493.725798</v>
      </c>
      <c r="J1133" s="357"/>
      <c r="K1133" s="220" t="e">
        <f>VLOOKUP(Таблица37[[#This Row],[Оболочки]],'[3]Расчет себес оболочек'!$A$3:$E$35,5,0)</f>
        <v>#N/A</v>
      </c>
    </row>
    <row r="1134" spans="2:11" x14ac:dyDescent="0.25">
      <c r="B1134" s="350" t="s">
        <v>2462</v>
      </c>
      <c r="C1134" s="351"/>
      <c r="D1134" s="352" t="s">
        <v>640</v>
      </c>
      <c r="E1134" s="353">
        <f>VLOOKUP(Таблица37[[#This Row],[Оболочки]],'предоставленные цены'!$B$4:$D$328,2,0)</f>
        <v>65.400000000000006</v>
      </c>
      <c r="F1134" s="354"/>
      <c r="G1134" s="355"/>
      <c r="H1134" s="359"/>
      <c r="I1134" s="356">
        <f>Таблица37[[#This Row],[Цена]]+Таблица37[[#This Row],[Трудозатраты]]</f>
        <v>65.400000000000006</v>
      </c>
      <c r="J1134" s="357"/>
      <c r="K1134" s="220" t="e">
        <f>VLOOKUP(Таблица37[[#This Row],[Оболочки]],'[3]Расчет себес оболочек'!$A$3:$E$35,5,0)</f>
        <v>#N/A</v>
      </c>
    </row>
    <row r="1135" spans="2:11" x14ac:dyDescent="0.25">
      <c r="B1135" s="350" t="s">
        <v>2463</v>
      </c>
      <c r="C1135" s="351"/>
      <c r="D1135" s="352" t="s">
        <v>640</v>
      </c>
      <c r="E1135" s="353">
        <f>VLOOKUP(Таблица37[[#This Row],[Оболочки]],'предоставленные цены'!$B$4:$D$328,2,0)</f>
        <v>65.400000000000006</v>
      </c>
      <c r="F1135" s="354"/>
      <c r="G1135" s="355"/>
      <c r="H1135" s="359"/>
      <c r="I1135" s="356">
        <f>Таблица37[[#This Row],[Цена]]+Таблица37[[#This Row],[Трудозатраты]]</f>
        <v>65.400000000000006</v>
      </c>
      <c r="J1135" s="357"/>
      <c r="K1135" s="220" t="e">
        <f>VLOOKUP(Таблица37[[#This Row],[Оболочки]],'[3]Расчет себес оболочек'!$A$3:$E$35,5,0)</f>
        <v>#N/A</v>
      </c>
    </row>
    <row r="1136" spans="2:11" x14ac:dyDescent="0.25">
      <c r="B1136" s="350" t="s">
        <v>2464</v>
      </c>
      <c r="C1136" s="351"/>
      <c r="D1136" s="352" t="s">
        <v>640</v>
      </c>
      <c r="E1136" s="353">
        <f>VLOOKUP(Таблица37[[#This Row],[Оболочки]],'предоставленные цены'!$B$4:$D$328,2,0)</f>
        <v>24.7</v>
      </c>
      <c r="F1136" s="354"/>
      <c r="G1136" s="355"/>
      <c r="H1136" s="359"/>
      <c r="I1136" s="356">
        <f>Таблица37[[#This Row],[Цена]]+Таблица37[[#This Row],[Трудозатраты]]</f>
        <v>24.7</v>
      </c>
      <c r="J1136" s="357"/>
      <c r="K1136" s="220" t="e">
        <f>VLOOKUP(Таблица37[[#This Row],[Оболочки]],'[3]Расчет себес оболочек'!$A$3:$E$35,5,0)</f>
        <v>#N/A</v>
      </c>
    </row>
    <row r="1137" spans="2:11" x14ac:dyDescent="0.25">
      <c r="B1137" s="350" t="s">
        <v>2465</v>
      </c>
      <c r="C1137" s="351"/>
      <c r="D1137" s="352" t="s">
        <v>640</v>
      </c>
      <c r="E1137" s="353">
        <f>VLOOKUP(Таблица37[[#This Row],[Оболочки]],'предоставленные цены'!$B$4:$D$328,2,0)</f>
        <v>13.15</v>
      </c>
      <c r="F1137" s="354"/>
      <c r="G1137" s="355"/>
      <c r="H1137" s="359"/>
      <c r="I1137" s="356">
        <f>Таблица37[[#This Row],[Цена]]+Таблица37[[#This Row],[Трудозатраты]]</f>
        <v>13.15</v>
      </c>
      <c r="J1137" s="357"/>
      <c r="K1137" s="220" t="e">
        <f>VLOOKUP(Таблица37[[#This Row],[Оболочки]],'[3]Расчет себес оболочек'!$A$3:$E$35,5,0)</f>
        <v>#N/A</v>
      </c>
    </row>
    <row r="1138" spans="2:11" x14ac:dyDescent="0.25">
      <c r="B1138" s="350" t="s">
        <v>2466</v>
      </c>
      <c r="C1138" s="351"/>
      <c r="D1138" s="352" t="s">
        <v>640</v>
      </c>
      <c r="E1138" s="353">
        <f>VLOOKUP(Таблица37[[#This Row],[Оболочки]],'предоставленные цены'!$B$4:$D$328,2,0)</f>
        <v>79.75</v>
      </c>
      <c r="F1138" s="354"/>
      <c r="G1138" s="355"/>
      <c r="H1138" s="359"/>
      <c r="I1138" s="356">
        <f>Таблица37[[#This Row],[Цена]]+Таблица37[[#This Row],[Трудозатраты]]</f>
        <v>79.75</v>
      </c>
      <c r="J1138" s="357"/>
      <c r="K1138" s="220" t="e">
        <f>VLOOKUP(Таблица37[[#This Row],[Оболочки]],'[3]Расчет себес оболочек'!$A$3:$E$35,5,0)</f>
        <v>#N/A</v>
      </c>
    </row>
    <row r="1139" spans="2:11" x14ac:dyDescent="0.25">
      <c r="B1139" s="350" t="s">
        <v>2467</v>
      </c>
      <c r="C1139" s="351"/>
      <c r="D1139" s="352" t="s">
        <v>640</v>
      </c>
      <c r="E1139" s="353">
        <f>VLOOKUP(Таблица37[[#This Row],[Оболочки]],'предоставленные цены'!$B$4:$D$328,2,0)</f>
        <v>90.45</v>
      </c>
      <c r="F1139" s="354"/>
      <c r="G1139" s="355"/>
      <c r="H1139" s="359"/>
      <c r="I1139" s="356">
        <f>Таблица37[[#This Row],[Цена]]+Таблица37[[#This Row],[Трудозатраты]]</f>
        <v>90.45</v>
      </c>
      <c r="J1139" s="357"/>
      <c r="K1139" s="220" t="e">
        <f>VLOOKUP(Таблица37[[#This Row],[Оболочки]],'[3]Расчет себес оболочек'!$A$3:$E$35,5,0)</f>
        <v>#N/A</v>
      </c>
    </row>
    <row r="1140" spans="2:11" x14ac:dyDescent="0.25">
      <c r="B1140" s="350" t="s">
        <v>2468</v>
      </c>
      <c r="C1140" s="351"/>
      <c r="D1140" s="352" t="s">
        <v>640</v>
      </c>
      <c r="E1140" s="353">
        <f>VLOOKUP(Таблица37[[#This Row],[Оболочки]],'предоставленные цены'!$B$4:$D$328,2,0)</f>
        <v>27.15</v>
      </c>
      <c r="F1140" s="354"/>
      <c r="G1140" s="355"/>
      <c r="H1140" s="359"/>
      <c r="I1140" s="356">
        <f>Таблица37[[#This Row],[Цена]]+Таблица37[[#This Row],[Трудозатраты]]</f>
        <v>27.15</v>
      </c>
      <c r="J1140" s="357"/>
      <c r="K1140" s="220" t="e">
        <f>VLOOKUP(Таблица37[[#This Row],[Оболочки]],'[3]Расчет себес оболочек'!$A$3:$E$35,5,0)</f>
        <v>#N/A</v>
      </c>
    </row>
    <row r="1141" spans="2:11" x14ac:dyDescent="0.25">
      <c r="B1141" s="350" t="s">
        <v>2469</v>
      </c>
      <c r="C1141" s="351"/>
      <c r="D1141" s="352" t="s">
        <v>640</v>
      </c>
      <c r="E1141" s="353">
        <f>VLOOKUP(Таблица37[[#This Row],[Оболочки]],'предоставленные цены'!$B$4:$D$328,2,0)</f>
        <v>29.6</v>
      </c>
      <c r="F1141" s="354"/>
      <c r="G1141" s="355"/>
      <c r="H1141" s="359"/>
      <c r="I1141" s="356">
        <f>Таблица37[[#This Row],[Цена]]+Таблица37[[#This Row],[Трудозатраты]]</f>
        <v>29.6</v>
      </c>
      <c r="J1141" s="357"/>
      <c r="K1141" s="220" t="e">
        <f>VLOOKUP(Таблица37[[#This Row],[Оболочки]],'[3]Расчет себес оболочек'!$A$3:$E$35,5,0)</f>
        <v>#N/A</v>
      </c>
    </row>
    <row r="1142" spans="2:11" x14ac:dyDescent="0.25">
      <c r="B1142" s="350"/>
      <c r="C1142" s="351"/>
      <c r="D1142" s="352"/>
      <c r="E1142" s="353"/>
      <c r="F1142" s="354"/>
      <c r="G1142" s="355"/>
      <c r="H1142" s="359"/>
      <c r="I1142" s="356">
        <f>Таблица37[[#This Row],[Цена]]+Таблица37[[#This Row],[Трудозатраты]]</f>
        <v>0</v>
      </c>
      <c r="J1142" s="357"/>
      <c r="K1142" s="220" t="e">
        <f>VLOOKUP(Таблица37[[#This Row],[Оболочки]],'[3]Расчет себес оболочек'!$A$3:$E$35,5,0)</f>
        <v>#N/A</v>
      </c>
    </row>
    <row r="1143" spans="2:11" x14ac:dyDescent="0.25">
      <c r="B1143" s="350"/>
      <c r="C1143" s="351"/>
      <c r="D1143" s="352"/>
      <c r="E1143" s="353"/>
      <c r="F1143" s="354"/>
      <c r="G1143" s="355"/>
      <c r="H1143" s="359"/>
      <c r="I1143" s="356">
        <f>Таблица37[[#This Row],[Цена]]+Таблица37[[#This Row],[Трудозатраты]]</f>
        <v>0</v>
      </c>
      <c r="J1143" s="357"/>
      <c r="K1143" s="220" t="e">
        <f>VLOOKUP(Таблица37[[#This Row],[Оболочки]],'[3]Расчет себес оболочек'!$A$3:$E$35,5,0)</f>
        <v>#N/A</v>
      </c>
    </row>
    <row r="1144" spans="2:11" x14ac:dyDescent="0.25">
      <c r="B1144" s="350"/>
      <c r="C1144" s="351"/>
      <c r="D1144" s="352"/>
      <c r="E1144" s="353"/>
      <c r="F1144" s="354"/>
      <c r="G1144" s="355"/>
      <c r="H1144" s="359"/>
      <c r="I1144" s="356">
        <f>Таблица37[[#This Row],[Цена]]+Таблица37[[#This Row],[Трудозатраты]]</f>
        <v>0</v>
      </c>
      <c r="J1144" s="357"/>
      <c r="K1144" s="220" t="e">
        <f>VLOOKUP(Таблица37[[#This Row],[Оболочки]],'[3]Расчет себес оболочек'!$A$3:$E$35,5,0)</f>
        <v>#N/A</v>
      </c>
    </row>
    <row r="1145" spans="2:11" x14ac:dyDescent="0.25">
      <c r="B1145" s="350"/>
      <c r="C1145" s="351"/>
      <c r="D1145" s="352"/>
      <c r="E1145" s="353"/>
      <c r="F1145" s="354"/>
      <c r="G1145" s="355"/>
      <c r="H1145" s="359"/>
      <c r="I1145" s="356">
        <f>Таблица37[[#This Row],[Цена]]+Таблица37[[#This Row],[Трудозатраты]]</f>
        <v>0</v>
      </c>
      <c r="J1145" s="357"/>
      <c r="K1145" s="220" t="e">
        <f>VLOOKUP(Таблица37[[#This Row],[Оболочки]],'[3]Расчет себес оболочек'!$A$3:$E$35,5,0)</f>
        <v>#N/A</v>
      </c>
    </row>
    <row r="1146" spans="2:11" x14ac:dyDescent="0.25">
      <c r="B1146" s="350"/>
      <c r="C1146" s="361"/>
      <c r="D1146" s="352"/>
      <c r="E1146" s="353"/>
      <c r="F1146" s="354"/>
      <c r="G1146" s="355"/>
      <c r="H1146" s="359"/>
      <c r="I1146" s="356">
        <f>Таблица37[[#This Row],[Цена]]+Таблица37[[#This Row],[Трудозатраты]]</f>
        <v>0</v>
      </c>
      <c r="J1146" s="357"/>
      <c r="K1146" s="220" t="e">
        <f>VLOOKUP(Таблица37[[#This Row],[Оболочки]],'[3]Расчет себес оболочек'!$A$3:$E$35,5,0)</f>
        <v>#N/A</v>
      </c>
    </row>
    <row r="1147" spans="2:11" x14ac:dyDescent="0.25">
      <c r="B1147" s="350"/>
      <c r="C1147" s="361"/>
      <c r="D1147" s="352"/>
      <c r="E1147" s="353"/>
      <c r="F1147" s="354"/>
      <c r="G1147" s="355"/>
      <c r="H1147" s="359"/>
      <c r="I1147" s="356">
        <f>Таблица37[[#This Row],[Цена]]+Таблица37[[#This Row],[Трудозатраты]]</f>
        <v>0</v>
      </c>
      <c r="J1147" s="357"/>
      <c r="K1147" s="220" t="e">
        <f>VLOOKUP(Таблица37[[#This Row],[Оболочки]],'[3]Расчет себес оболочек'!$A$3:$E$35,5,0)</f>
        <v>#N/A</v>
      </c>
    </row>
    <row r="1148" spans="2:11" x14ac:dyDescent="0.25">
      <c r="B1148" s="350"/>
      <c r="C1148" s="361"/>
      <c r="D1148" s="352"/>
      <c r="E1148" s="353"/>
      <c r="F1148" s="354"/>
      <c r="G1148" s="355"/>
      <c r="H1148" s="359"/>
      <c r="I1148" s="356">
        <f>Таблица37[[#This Row],[Цена]]+Таблица37[[#This Row],[Трудозатраты]]</f>
        <v>0</v>
      </c>
      <c r="J1148" s="357"/>
      <c r="K1148" s="220" t="e">
        <f>VLOOKUP(Таблица37[[#This Row],[Оболочки]],'[3]Расчет себес оболочек'!$A$3:$E$35,5,0)</f>
        <v>#N/A</v>
      </c>
    </row>
    <row r="1149" spans="2:11" x14ac:dyDescent="0.25">
      <c r="B1149" s="350"/>
      <c r="C1149" s="361"/>
      <c r="D1149" s="352"/>
      <c r="E1149" s="353"/>
      <c r="F1149" s="354"/>
      <c r="G1149" s="355"/>
      <c r="H1149" s="359"/>
      <c r="I1149" s="356">
        <f>Таблица37[[#This Row],[Цена]]+Таблица37[[#This Row],[Трудозатраты]]</f>
        <v>0</v>
      </c>
      <c r="J1149" s="357"/>
      <c r="K1149" s="220" t="e">
        <f>VLOOKUP(Таблица37[[#This Row],[Оболочки]],'[3]Расчет себес оболочек'!$A$3:$E$35,5,0)</f>
        <v>#N/A</v>
      </c>
    </row>
    <row r="1150" spans="2:11" x14ac:dyDescent="0.25">
      <c r="B1150" s="350"/>
      <c r="C1150" s="361"/>
      <c r="D1150" s="352"/>
      <c r="E1150" s="353"/>
      <c r="F1150" s="354"/>
      <c r="G1150" s="355"/>
      <c r="H1150" s="359"/>
      <c r="I1150" s="356">
        <f>Таблица37[[#This Row],[Цена]]+Таблица37[[#This Row],[Трудозатраты]]</f>
        <v>0</v>
      </c>
      <c r="J1150" s="357"/>
      <c r="K1150" s="220" t="e">
        <f>VLOOKUP(Таблица37[[#This Row],[Оболочки]],'[3]Расчет себес оболочек'!$A$3:$E$35,5,0)</f>
        <v>#N/A</v>
      </c>
    </row>
    <row r="1151" spans="2:11" x14ac:dyDescent="0.25">
      <c r="B1151" s="350"/>
      <c r="C1151" s="361"/>
      <c r="D1151" s="352"/>
      <c r="E1151" s="353"/>
      <c r="F1151" s="354"/>
      <c r="G1151" s="355"/>
      <c r="H1151" s="359"/>
      <c r="I1151" s="356">
        <f>Таблица37[[#This Row],[Цена]]+Таблица37[[#This Row],[Трудозатраты]]</f>
        <v>0</v>
      </c>
      <c r="J1151" s="357"/>
      <c r="K1151" s="220" t="e">
        <f>VLOOKUP(Таблица37[[#This Row],[Оболочки]],'[3]Расчет себес оболочек'!$A$3:$E$35,5,0)</f>
        <v>#N/A</v>
      </c>
    </row>
    <row r="1152" spans="2:11" x14ac:dyDescent="0.25">
      <c r="B1152" s="350"/>
      <c r="C1152" s="361"/>
      <c r="D1152" s="352"/>
      <c r="E1152" s="353"/>
      <c r="F1152" s="354"/>
      <c r="G1152" s="355"/>
      <c r="H1152" s="359"/>
      <c r="I1152" s="356">
        <f>Таблица37[[#This Row],[Цена]]+Таблица37[[#This Row],[Трудозатраты]]</f>
        <v>0</v>
      </c>
      <c r="J1152" s="357"/>
      <c r="K1152" s="220" t="e">
        <f>VLOOKUP(Таблица37[[#This Row],[Оболочки]],'[3]Расчет себес оболочек'!$A$3:$E$35,5,0)</f>
        <v>#N/A</v>
      </c>
    </row>
    <row r="1153" spans="2:11" x14ac:dyDescent="0.25">
      <c r="B1153" s="350"/>
      <c r="C1153" s="361"/>
      <c r="D1153" s="352"/>
      <c r="E1153" s="353"/>
      <c r="F1153" s="354"/>
      <c r="G1153" s="355"/>
      <c r="H1153" s="359"/>
      <c r="I1153" s="356">
        <f>Таблица37[[#This Row],[Цена]]+Таблица37[[#This Row],[Трудозатраты]]</f>
        <v>0</v>
      </c>
      <c r="J1153" s="357"/>
      <c r="K1153" s="220" t="e">
        <f>VLOOKUP(Таблица37[[#This Row],[Оболочки]],'[3]Расчет себес оболочек'!$A$3:$E$35,5,0)</f>
        <v>#N/A</v>
      </c>
    </row>
    <row r="1154" spans="2:11" x14ac:dyDescent="0.25">
      <c r="B1154" s="350"/>
      <c r="C1154" s="361"/>
      <c r="D1154" s="352"/>
      <c r="E1154" s="353"/>
      <c r="F1154" s="354"/>
      <c r="G1154" s="355"/>
      <c r="H1154" s="359"/>
      <c r="I1154" s="356">
        <f>Таблица37[[#This Row],[Цена]]+Таблица37[[#This Row],[Трудозатраты]]</f>
        <v>0</v>
      </c>
      <c r="J1154" s="357"/>
      <c r="K1154" s="220" t="e">
        <f>VLOOKUP(Таблица37[[#This Row],[Оболочки]],'[3]Расчет себес оболочек'!$A$3:$E$35,5,0)</f>
        <v>#N/A</v>
      </c>
    </row>
    <row r="1155" spans="2:11" x14ac:dyDescent="0.25">
      <c r="B1155" s="350"/>
      <c r="C1155" s="361"/>
      <c r="D1155" s="352"/>
      <c r="E1155" s="353"/>
      <c r="F1155" s="354"/>
      <c r="G1155" s="355"/>
      <c r="H1155" s="359"/>
      <c r="I1155" s="356">
        <f>Таблица37[[#This Row],[Цена]]+Таблица37[[#This Row],[Трудозатраты]]</f>
        <v>0</v>
      </c>
      <c r="J1155" s="357"/>
      <c r="K1155" s="220" t="e">
        <f>VLOOKUP(Таблица37[[#This Row],[Оболочки]],'[3]Расчет себес оболочек'!$A$3:$E$35,5,0)</f>
        <v>#N/A</v>
      </c>
    </row>
    <row r="1156" spans="2:11" x14ac:dyDescent="0.25">
      <c r="B1156" s="350"/>
      <c r="C1156" s="361"/>
      <c r="D1156" s="352"/>
      <c r="E1156" s="353"/>
      <c r="F1156" s="354"/>
      <c r="G1156" s="355"/>
      <c r="H1156" s="359"/>
      <c r="I1156" s="356">
        <f>Таблица37[[#This Row],[Цена]]+Таблица37[[#This Row],[Трудозатраты]]</f>
        <v>0</v>
      </c>
      <c r="J1156" s="357"/>
      <c r="K1156" s="220" t="e">
        <f>VLOOKUP(Таблица37[[#This Row],[Оболочки]],'[3]Расчет себес оболочек'!$A$3:$E$35,5,0)</f>
        <v>#N/A</v>
      </c>
    </row>
    <row r="1157" spans="2:11" x14ac:dyDescent="0.25">
      <c r="B1157" s="350"/>
      <c r="C1157" s="361"/>
      <c r="D1157" s="352"/>
      <c r="E1157" s="353"/>
      <c r="F1157" s="354"/>
      <c r="G1157" s="355"/>
      <c r="H1157" s="359"/>
      <c r="I1157" s="356">
        <f>Таблица37[[#This Row],[Цена]]+Таблица37[[#This Row],[Трудозатраты]]</f>
        <v>0</v>
      </c>
      <c r="J1157" s="357"/>
      <c r="K1157" s="220" t="e">
        <f>VLOOKUP(Таблица37[[#This Row],[Оболочки]],'[3]Расчет себес оболочек'!$A$3:$E$35,5,0)</f>
        <v>#N/A</v>
      </c>
    </row>
    <row r="1158" spans="2:11" x14ac:dyDescent="0.25">
      <c r="B1158" s="350"/>
      <c r="C1158" s="361"/>
      <c r="D1158" s="352"/>
      <c r="E1158" s="353"/>
      <c r="F1158" s="354"/>
      <c r="G1158" s="355"/>
      <c r="H1158" s="359"/>
      <c r="I1158" s="356">
        <f>Таблица37[[#This Row],[Цена]]+Таблица37[[#This Row],[Трудозатраты]]</f>
        <v>0</v>
      </c>
      <c r="J1158" s="357"/>
      <c r="K1158" s="220" t="e">
        <f>VLOOKUP(Таблица37[[#This Row],[Оболочки]],'[3]Расчет себес оболочек'!$A$3:$E$35,5,0)</f>
        <v>#N/A</v>
      </c>
    </row>
    <row r="1159" spans="2:11" x14ac:dyDescent="0.25">
      <c r="B1159" s="350"/>
      <c r="C1159" s="361"/>
      <c r="D1159" s="352"/>
      <c r="E1159" s="353"/>
      <c r="F1159" s="354"/>
      <c r="G1159" s="355"/>
      <c r="H1159" s="359"/>
      <c r="I1159" s="356">
        <f>Таблица37[[#This Row],[Цена]]+Таблица37[[#This Row],[Трудозатраты]]</f>
        <v>0</v>
      </c>
      <c r="J1159" s="357"/>
      <c r="K1159" s="220" t="e">
        <f>VLOOKUP(Таблица37[[#This Row],[Оболочки]],'[3]Расчет себес оболочек'!$A$3:$E$35,5,0)</f>
        <v>#N/A</v>
      </c>
    </row>
    <row r="1160" spans="2:11" x14ac:dyDescent="0.25">
      <c r="B1160" s="350"/>
      <c r="C1160" s="361"/>
      <c r="D1160" s="352"/>
      <c r="E1160" s="353"/>
      <c r="F1160" s="354"/>
      <c r="G1160" s="355"/>
      <c r="H1160" s="359"/>
      <c r="I1160" s="356">
        <f>Таблица37[[#This Row],[Цена]]+Таблица37[[#This Row],[Трудозатраты]]</f>
        <v>0</v>
      </c>
      <c r="J1160" s="357"/>
      <c r="K1160" s="220" t="e">
        <f>VLOOKUP(Таблица37[[#This Row],[Оболочки]],'[3]Расчет себес оболочек'!$A$3:$E$35,5,0)</f>
        <v>#N/A</v>
      </c>
    </row>
    <row r="1161" spans="2:11" x14ac:dyDescent="0.25">
      <c r="B1161" s="350"/>
      <c r="C1161" s="361"/>
      <c r="D1161" s="352"/>
      <c r="E1161" s="353"/>
      <c r="F1161" s="354"/>
      <c r="G1161" s="355"/>
      <c r="H1161" s="359"/>
      <c r="I1161" s="356">
        <f>Таблица37[[#This Row],[Цена]]+Таблица37[[#This Row],[Трудозатраты]]</f>
        <v>0</v>
      </c>
      <c r="J1161" s="357"/>
      <c r="K1161" s="220" t="e">
        <f>VLOOKUP(Таблица37[[#This Row],[Оболочки]],'[3]Расчет себес оболочек'!$A$3:$E$35,5,0)</f>
        <v>#N/A</v>
      </c>
    </row>
    <row r="1162" spans="2:11" x14ac:dyDescent="0.25">
      <c r="B1162" s="350"/>
      <c r="C1162" s="361"/>
      <c r="D1162" s="352"/>
      <c r="E1162" s="353"/>
      <c r="F1162" s="354"/>
      <c r="G1162" s="355"/>
      <c r="H1162" s="359"/>
      <c r="I1162" s="356">
        <f>Таблица37[[#This Row],[Цена]]+Таблица37[[#This Row],[Трудозатраты]]</f>
        <v>0</v>
      </c>
      <c r="J1162" s="357"/>
      <c r="K1162" s="220" t="e">
        <f>VLOOKUP(Таблица37[[#This Row],[Оболочки]],'[3]Расчет себес оболочек'!$A$3:$E$35,5,0)</f>
        <v>#N/A</v>
      </c>
    </row>
    <row r="1163" spans="2:11" x14ac:dyDescent="0.25">
      <c r="B1163" s="350"/>
      <c r="C1163" s="361"/>
      <c r="D1163" s="352"/>
      <c r="E1163" s="353"/>
      <c r="F1163" s="354"/>
      <c r="G1163" s="355"/>
      <c r="H1163" s="359"/>
      <c r="I1163" s="356">
        <f>Таблица37[[#This Row],[Цена]]+Таблица37[[#This Row],[Трудозатраты]]</f>
        <v>0</v>
      </c>
      <c r="J1163" s="357"/>
      <c r="K1163" s="220" t="e">
        <f>VLOOKUP(Таблица37[[#This Row],[Оболочки]],'[3]Расчет себес оболочек'!$A$3:$E$35,5,0)</f>
        <v>#N/A</v>
      </c>
    </row>
    <row r="1164" spans="2:11" x14ac:dyDescent="0.25">
      <c r="B1164" s="350"/>
      <c r="C1164" s="361"/>
      <c r="D1164" s="352"/>
      <c r="E1164" s="353"/>
      <c r="F1164" s="354"/>
      <c r="G1164" s="355"/>
      <c r="H1164" s="359"/>
      <c r="I1164" s="356">
        <f>Таблица37[[#This Row],[Цена]]+Таблица37[[#This Row],[Трудозатраты]]</f>
        <v>0</v>
      </c>
      <c r="J1164" s="357"/>
      <c r="K1164" s="220" t="e">
        <f>VLOOKUP(Таблица37[[#This Row],[Оболочки]],'[3]Расчет себес оболочек'!$A$3:$E$35,5,0)</f>
        <v>#N/A</v>
      </c>
    </row>
    <row r="1165" spans="2:11" x14ac:dyDescent="0.25">
      <c r="B1165" s="350"/>
      <c r="C1165" s="361"/>
      <c r="D1165" s="352"/>
      <c r="E1165" s="353"/>
      <c r="F1165" s="354"/>
      <c r="G1165" s="355"/>
      <c r="H1165" s="359"/>
      <c r="I1165" s="356">
        <f>Таблица37[[#This Row],[Цена]]+Таблица37[[#This Row],[Трудозатраты]]</f>
        <v>0</v>
      </c>
      <c r="J1165" s="357"/>
      <c r="K1165" s="220" t="e">
        <f>VLOOKUP(Таблица37[[#This Row],[Оболочки]],'[3]Расчет себес оболочек'!$A$3:$E$35,5,0)</f>
        <v>#N/A</v>
      </c>
    </row>
    <row r="1166" spans="2:11" x14ac:dyDescent="0.25">
      <c r="B1166" s="350"/>
      <c r="C1166" s="361"/>
      <c r="D1166" s="352"/>
      <c r="E1166" s="353"/>
      <c r="F1166" s="354"/>
      <c r="G1166" s="355"/>
      <c r="H1166" s="359"/>
      <c r="I1166" s="356">
        <f>Таблица37[[#This Row],[Цена]]+Таблица37[[#This Row],[Трудозатраты]]</f>
        <v>0</v>
      </c>
      <c r="J1166" s="357"/>
      <c r="K1166" s="220" t="e">
        <f>VLOOKUP(Таблица37[[#This Row],[Оболочки]],'[3]Расчет себес оболочек'!$A$3:$E$35,5,0)</f>
        <v>#N/A</v>
      </c>
    </row>
    <row r="1167" spans="2:11" x14ac:dyDescent="0.25">
      <c r="B1167" s="350"/>
      <c r="C1167" s="361"/>
      <c r="D1167" s="352"/>
      <c r="E1167" s="353"/>
      <c r="F1167" s="354"/>
      <c r="G1167" s="355"/>
      <c r="H1167" s="359"/>
      <c r="I1167" s="356">
        <f>Таблица37[[#This Row],[Цена]]+Таблица37[[#This Row],[Трудозатраты]]</f>
        <v>0</v>
      </c>
      <c r="J1167" s="357"/>
      <c r="K1167" s="220" t="e">
        <f>VLOOKUP(Таблица37[[#This Row],[Оболочки]],'[3]Расчет себес оболочек'!$A$3:$E$35,5,0)</f>
        <v>#N/A</v>
      </c>
    </row>
    <row r="1168" spans="2:11" x14ac:dyDescent="0.25">
      <c r="B1168" s="350"/>
      <c r="C1168" s="361"/>
      <c r="D1168" s="352"/>
      <c r="E1168" s="353"/>
      <c r="F1168" s="354"/>
      <c r="G1168" s="355"/>
      <c r="H1168" s="359"/>
      <c r="I1168" s="356">
        <f>Таблица37[[#This Row],[Цена]]+Таблица37[[#This Row],[Трудозатраты]]</f>
        <v>0</v>
      </c>
      <c r="J1168" s="357"/>
      <c r="K1168" s="220" t="e">
        <f>VLOOKUP(Таблица37[[#This Row],[Оболочки]],'[3]Расчет себес оболочек'!$A$3:$E$35,5,0)</f>
        <v>#N/A</v>
      </c>
    </row>
    <row r="1169" spans="2:11" x14ac:dyDescent="0.25">
      <c r="B1169" s="350"/>
      <c r="C1169" s="361"/>
      <c r="D1169" s="352"/>
      <c r="E1169" s="353"/>
      <c r="F1169" s="354"/>
      <c r="G1169" s="355"/>
      <c r="H1169" s="359"/>
      <c r="I1169" s="356">
        <f>Таблица37[[#This Row],[Цена]]+Таблица37[[#This Row],[Трудозатраты]]</f>
        <v>0</v>
      </c>
      <c r="J1169" s="357"/>
      <c r="K1169" s="220" t="e">
        <f>VLOOKUP(Таблица37[[#This Row],[Оболочки]],'[3]Расчет себес оболочек'!$A$3:$E$35,5,0)</f>
        <v>#N/A</v>
      </c>
    </row>
    <row r="1170" spans="2:11" x14ac:dyDescent="0.25">
      <c r="B1170" s="350"/>
      <c r="C1170" s="361"/>
      <c r="D1170" s="352"/>
      <c r="E1170" s="353"/>
      <c r="F1170" s="354"/>
      <c r="G1170" s="355"/>
      <c r="H1170" s="359"/>
      <c r="I1170" s="356">
        <f>Таблица37[[#This Row],[Цена]]+Таблица37[[#This Row],[Трудозатраты]]</f>
        <v>0</v>
      </c>
      <c r="J1170" s="357"/>
      <c r="K1170" s="220" t="e">
        <f>VLOOKUP(Таблица37[[#This Row],[Оболочки]],'[3]Расчет себес оболочек'!$A$3:$E$35,5,0)</f>
        <v>#N/A</v>
      </c>
    </row>
    <row r="1171" spans="2:11" x14ac:dyDescent="0.25">
      <c r="B1171" s="350"/>
      <c r="C1171" s="361"/>
      <c r="D1171" s="352"/>
      <c r="E1171" s="353"/>
      <c r="F1171" s="354"/>
      <c r="G1171" s="355"/>
      <c r="H1171" s="359"/>
      <c r="I1171" s="356">
        <f>Таблица37[[#This Row],[Цена]]+Таблица37[[#This Row],[Трудозатраты]]</f>
        <v>0</v>
      </c>
      <c r="J1171" s="357"/>
      <c r="K1171" s="220" t="e">
        <f>VLOOKUP(Таблица37[[#This Row],[Оболочки]],'[3]Расчет себес оболочек'!$A$3:$E$35,5,0)</f>
        <v>#N/A</v>
      </c>
    </row>
    <row r="1172" spans="2:11" x14ac:dyDescent="0.25">
      <c r="B1172" s="350"/>
      <c r="C1172" s="361"/>
      <c r="D1172" s="352"/>
      <c r="E1172" s="353"/>
      <c r="F1172" s="354"/>
      <c r="G1172" s="355"/>
      <c r="H1172" s="359"/>
      <c r="I1172" s="356">
        <f>Таблица37[[#This Row],[Цена]]+Таблица37[[#This Row],[Трудозатраты]]</f>
        <v>0</v>
      </c>
      <c r="J1172" s="357"/>
      <c r="K1172" s="220" t="e">
        <f>VLOOKUP(Таблица37[[#This Row],[Оболочки]],'[3]Расчет себес оболочек'!$A$3:$E$35,5,0)</f>
        <v>#N/A</v>
      </c>
    </row>
    <row r="1173" spans="2:11" x14ac:dyDescent="0.25">
      <c r="B1173" s="350"/>
      <c r="C1173" s="361"/>
      <c r="D1173" s="352"/>
      <c r="E1173" s="353"/>
      <c r="F1173" s="354"/>
      <c r="G1173" s="355"/>
      <c r="H1173" s="359"/>
      <c r="I1173" s="356">
        <f>Таблица37[[#This Row],[Цена]]+Таблица37[[#This Row],[Трудозатраты]]</f>
        <v>0</v>
      </c>
      <c r="J1173" s="357"/>
      <c r="K1173" s="220" t="e">
        <f>VLOOKUP(Таблица37[[#This Row],[Оболочки]],'[3]Расчет себес оболочек'!$A$3:$E$35,5,0)</f>
        <v>#N/A</v>
      </c>
    </row>
    <row r="1174" spans="2:11" x14ac:dyDescent="0.25">
      <c r="B1174" s="350"/>
      <c r="C1174" s="361"/>
      <c r="D1174" s="352"/>
      <c r="E1174" s="353"/>
      <c r="F1174" s="354"/>
      <c r="G1174" s="355"/>
      <c r="H1174" s="359"/>
      <c r="I1174" s="356">
        <f>Таблица37[[#This Row],[Цена]]+Таблица37[[#This Row],[Трудозатраты]]</f>
        <v>0</v>
      </c>
      <c r="J1174" s="357"/>
      <c r="K1174" s="220" t="e">
        <f>VLOOKUP(Таблица37[[#This Row],[Оболочки]],'[3]Расчет себес оболочек'!$A$3:$E$35,5,0)</f>
        <v>#N/A</v>
      </c>
    </row>
    <row r="1175" spans="2:11" x14ac:dyDescent="0.25">
      <c r="B1175" s="350"/>
      <c r="C1175" s="361"/>
      <c r="D1175" s="352"/>
      <c r="E1175" s="353"/>
      <c r="F1175" s="354"/>
      <c r="G1175" s="355"/>
      <c r="H1175" s="359"/>
      <c r="I1175" s="356">
        <f>Таблица37[[#This Row],[Цена]]+Таблица37[[#This Row],[Трудозатраты]]</f>
        <v>0</v>
      </c>
      <c r="J1175" s="357"/>
      <c r="K1175" s="220" t="e">
        <f>VLOOKUP(Таблица37[[#This Row],[Оболочки]],'[3]Расчет себес оболочек'!$A$3:$E$35,5,0)</f>
        <v>#N/A</v>
      </c>
    </row>
    <row r="1176" spans="2:11" x14ac:dyDescent="0.25">
      <c r="B1176" s="350"/>
      <c r="C1176" s="361"/>
      <c r="D1176" s="352"/>
      <c r="E1176" s="353"/>
      <c r="F1176" s="354"/>
      <c r="G1176" s="355"/>
      <c r="H1176" s="359"/>
      <c r="I1176" s="356">
        <f>Таблица37[[#This Row],[Цена]]+Таблица37[[#This Row],[Трудозатраты]]</f>
        <v>0</v>
      </c>
      <c r="J1176" s="357"/>
      <c r="K1176" s="220" t="e">
        <f>VLOOKUP(Таблица37[[#This Row],[Оболочки]],'[3]Расчет себес оболочек'!$A$3:$E$35,5,0)</f>
        <v>#N/A</v>
      </c>
    </row>
    <row r="1177" spans="2:11" x14ac:dyDescent="0.25">
      <c r="B1177" s="350"/>
      <c r="C1177" s="361"/>
      <c r="D1177" s="352"/>
      <c r="E1177" s="353"/>
      <c r="F1177" s="354"/>
      <c r="G1177" s="355"/>
      <c r="H1177" s="359"/>
      <c r="I1177" s="356">
        <f>Таблица37[[#This Row],[Цена]]+Таблица37[[#This Row],[Трудозатраты]]</f>
        <v>0</v>
      </c>
      <c r="J1177" s="357"/>
      <c r="K1177" s="220" t="e">
        <f>VLOOKUP(Таблица37[[#This Row],[Оболочки]],'[3]Расчет себес оболочек'!$A$3:$E$35,5,0)</f>
        <v>#N/A</v>
      </c>
    </row>
    <row r="1178" spans="2:11" x14ac:dyDescent="0.25">
      <c r="B1178" s="350"/>
      <c r="C1178" s="361"/>
      <c r="D1178" s="352"/>
      <c r="E1178" s="353"/>
      <c r="F1178" s="354"/>
      <c r="G1178" s="355"/>
      <c r="H1178" s="359"/>
      <c r="I1178" s="356">
        <f>Таблица37[[#This Row],[Цена]]+Таблица37[[#This Row],[Трудозатраты]]</f>
        <v>0</v>
      </c>
      <c r="J1178" s="357"/>
      <c r="K1178" s="220" t="e">
        <f>VLOOKUP(Таблица37[[#This Row],[Оболочки]],'[3]Расчет себес оболочек'!$A$3:$E$35,5,0)</f>
        <v>#N/A</v>
      </c>
    </row>
    <row r="1179" spans="2:11" x14ac:dyDescent="0.25">
      <c r="B1179" s="350"/>
      <c r="C1179" s="361"/>
      <c r="D1179" s="352"/>
      <c r="E1179" s="353"/>
      <c r="F1179" s="354"/>
      <c r="G1179" s="355"/>
      <c r="H1179" s="359"/>
      <c r="I1179" s="356">
        <f>Таблица37[[#This Row],[Цена]]+Таблица37[[#This Row],[Трудозатраты]]</f>
        <v>0</v>
      </c>
      <c r="J1179" s="357"/>
      <c r="K1179" s="220" t="e">
        <f>VLOOKUP(Таблица37[[#This Row],[Оболочки]],'[3]Расчет себес оболочек'!$A$3:$E$35,5,0)</f>
        <v>#N/A</v>
      </c>
    </row>
    <row r="1180" spans="2:11" x14ac:dyDescent="0.25">
      <c r="B1180" s="350"/>
      <c r="C1180" s="361"/>
      <c r="D1180" s="352"/>
      <c r="E1180" s="353"/>
      <c r="F1180" s="354"/>
      <c r="G1180" s="355"/>
      <c r="H1180" s="359"/>
      <c r="I1180" s="356">
        <f>Таблица37[[#This Row],[Цена]]+Таблица37[[#This Row],[Трудозатраты]]</f>
        <v>0</v>
      </c>
      <c r="J1180" s="357"/>
      <c r="K1180" s="220" t="e">
        <f>VLOOKUP(Таблица37[[#This Row],[Оболочки]],'[3]Расчет себес оболочек'!$A$3:$E$35,5,0)</f>
        <v>#N/A</v>
      </c>
    </row>
    <row r="1181" spans="2:11" x14ac:dyDescent="0.25">
      <c r="B1181" s="350"/>
      <c r="C1181" s="361"/>
      <c r="D1181" s="352"/>
      <c r="E1181" s="353"/>
      <c r="F1181" s="354"/>
      <c r="G1181" s="355"/>
      <c r="H1181" s="359"/>
      <c r="I1181" s="356">
        <f>Таблица37[[#This Row],[Цена]]+Таблица37[[#This Row],[Трудозатраты]]</f>
        <v>0</v>
      </c>
      <c r="J1181" s="357"/>
      <c r="K1181" s="220" t="e">
        <f>VLOOKUP(Таблица37[[#This Row],[Оболочки]],'[3]Расчет себес оболочек'!$A$3:$E$35,5,0)</f>
        <v>#N/A</v>
      </c>
    </row>
    <row r="1182" spans="2:11" x14ac:dyDescent="0.25">
      <c r="B1182" s="350"/>
      <c r="C1182" s="361"/>
      <c r="D1182" s="352"/>
      <c r="E1182" s="353"/>
      <c r="F1182" s="354"/>
      <c r="G1182" s="355"/>
      <c r="H1182" s="359"/>
      <c r="I1182" s="356">
        <f>Таблица37[[#This Row],[Цена]]+Таблица37[[#This Row],[Трудозатраты]]</f>
        <v>0</v>
      </c>
      <c r="J1182" s="357"/>
      <c r="K1182" s="220" t="e">
        <f>VLOOKUP(Таблица37[[#This Row],[Оболочки]],'[3]Расчет себес оболочек'!$A$3:$E$35,5,0)</f>
        <v>#N/A</v>
      </c>
    </row>
    <row r="1183" spans="2:11" x14ac:dyDescent="0.25">
      <c r="B1183" s="350"/>
      <c r="C1183" s="361"/>
      <c r="D1183" s="352"/>
      <c r="E1183" s="353"/>
      <c r="F1183" s="354"/>
      <c r="G1183" s="355"/>
      <c r="H1183" s="359"/>
      <c r="I1183" s="356">
        <f>Таблица37[[#This Row],[Цена]]+Таблица37[[#This Row],[Трудозатраты]]</f>
        <v>0</v>
      </c>
      <c r="J1183" s="357"/>
      <c r="K1183" s="220" t="e">
        <f>VLOOKUP(Таблица37[[#This Row],[Оболочки]],'[3]Расчет себес оболочек'!$A$3:$E$35,5,0)</f>
        <v>#N/A</v>
      </c>
    </row>
    <row r="1184" spans="2:11" x14ac:dyDescent="0.25">
      <c r="B1184" s="350"/>
      <c r="C1184" s="361"/>
      <c r="D1184" s="352"/>
      <c r="E1184" s="353"/>
      <c r="F1184" s="354"/>
      <c r="G1184" s="355"/>
      <c r="H1184" s="359"/>
      <c r="I1184" s="356">
        <f>Таблица37[[#This Row],[Цена]]+Таблица37[[#This Row],[Трудозатраты]]</f>
        <v>0</v>
      </c>
      <c r="J1184" s="357"/>
      <c r="K1184" s="220" t="e">
        <f>VLOOKUP(Таблица37[[#This Row],[Оболочки]],'[3]Расчет себес оболочек'!$A$3:$E$35,5,0)</f>
        <v>#N/A</v>
      </c>
    </row>
    <row r="1185" spans="2:11" x14ac:dyDescent="0.25">
      <c r="B1185" s="350"/>
      <c r="C1185" s="361"/>
      <c r="D1185" s="352"/>
      <c r="E1185" s="353"/>
      <c r="F1185" s="354"/>
      <c r="G1185" s="355"/>
      <c r="H1185" s="359"/>
      <c r="I1185" s="356">
        <f>Таблица37[[#This Row],[Цена]]+Таблица37[[#This Row],[Трудозатраты]]</f>
        <v>0</v>
      </c>
      <c r="J1185" s="357"/>
      <c r="K1185" s="220" t="e">
        <f>VLOOKUP(Таблица37[[#This Row],[Оболочки]],'[3]Расчет себес оболочек'!$A$3:$E$35,5,0)</f>
        <v>#N/A</v>
      </c>
    </row>
    <row r="1186" spans="2:11" x14ac:dyDescent="0.25">
      <c r="B1186" s="350"/>
      <c r="C1186" s="361"/>
      <c r="D1186" s="352"/>
      <c r="E1186" s="353"/>
      <c r="F1186" s="354"/>
      <c r="G1186" s="355"/>
      <c r="H1186" s="359"/>
      <c r="I1186" s="356">
        <f>Таблица37[[#This Row],[Цена]]+Таблица37[[#This Row],[Трудозатраты]]</f>
        <v>0</v>
      </c>
      <c r="J1186" s="357"/>
      <c r="K1186" s="220" t="e">
        <f>VLOOKUP(Таблица37[[#This Row],[Оболочки]],'[3]Расчет себес оболочек'!$A$3:$E$35,5,0)</f>
        <v>#N/A</v>
      </c>
    </row>
    <row r="1187" spans="2:11" x14ac:dyDescent="0.25">
      <c r="B1187" s="350"/>
      <c r="C1187" s="361"/>
      <c r="D1187" s="352"/>
      <c r="E1187" s="353"/>
      <c r="F1187" s="354"/>
      <c r="G1187" s="355"/>
      <c r="H1187" s="359"/>
      <c r="I1187" s="356">
        <f>Таблица37[[#This Row],[Цена]]+Таблица37[[#This Row],[Трудозатраты]]</f>
        <v>0</v>
      </c>
      <c r="J1187" s="357"/>
      <c r="K1187" s="220" t="e">
        <f>VLOOKUP(Таблица37[[#This Row],[Оболочки]],'[3]Расчет себес оболочек'!$A$3:$E$35,5,0)</f>
        <v>#N/A</v>
      </c>
    </row>
    <row r="1188" spans="2:11" x14ac:dyDescent="0.25">
      <c r="B1188" s="350"/>
      <c r="C1188" s="361"/>
      <c r="D1188" s="352"/>
      <c r="E1188" s="353"/>
      <c r="F1188" s="354"/>
      <c r="G1188" s="355"/>
      <c r="H1188" s="359"/>
      <c r="I1188" s="356">
        <f>Таблица37[[#This Row],[Цена]]+Таблица37[[#This Row],[Трудозатраты]]</f>
        <v>0</v>
      </c>
      <c r="J1188" s="357"/>
      <c r="K1188" s="220" t="e">
        <f>VLOOKUP(Таблица37[[#This Row],[Оболочки]],'[3]Расчет себес оболочек'!$A$3:$E$35,5,0)</f>
        <v>#N/A</v>
      </c>
    </row>
    <row r="1189" spans="2:11" x14ac:dyDescent="0.25">
      <c r="B1189" s="350"/>
      <c r="C1189" s="361"/>
      <c r="D1189" s="352"/>
      <c r="E1189" s="353"/>
      <c r="F1189" s="354"/>
      <c r="G1189" s="355"/>
      <c r="H1189" s="359"/>
      <c r="I1189" s="356">
        <f>Таблица37[[#This Row],[Цена]]+Таблица37[[#This Row],[Трудозатраты]]</f>
        <v>0</v>
      </c>
      <c r="J1189" s="357"/>
      <c r="K1189" s="220" t="e">
        <f>VLOOKUP(Таблица37[[#This Row],[Оболочки]],'[3]Расчет себес оболочек'!$A$3:$E$35,5,0)</f>
        <v>#N/A</v>
      </c>
    </row>
    <row r="1190" spans="2:11" x14ac:dyDescent="0.25">
      <c r="B1190" s="350"/>
      <c r="C1190" s="361"/>
      <c r="D1190" s="352"/>
      <c r="E1190" s="353"/>
      <c r="F1190" s="354"/>
      <c r="G1190" s="355"/>
      <c r="H1190" s="359"/>
      <c r="I1190" s="356">
        <f>Таблица37[[#This Row],[Цена]]+Таблица37[[#This Row],[Трудозатраты]]</f>
        <v>0</v>
      </c>
      <c r="J1190" s="357"/>
      <c r="K1190" s="220" t="e">
        <f>VLOOKUP(Таблица37[[#This Row],[Оболочки]],'[3]Расчет себес оболочек'!$A$3:$E$35,5,0)</f>
        <v>#N/A</v>
      </c>
    </row>
    <row r="1191" spans="2:11" x14ac:dyDescent="0.25">
      <c r="B1191" s="350"/>
      <c r="C1191" s="361"/>
      <c r="D1191" s="352"/>
      <c r="E1191" s="353"/>
      <c r="F1191" s="354"/>
      <c r="G1191" s="355"/>
      <c r="H1191" s="359"/>
      <c r="I1191" s="356">
        <f>Таблица37[[#This Row],[Цена]]+Таблица37[[#This Row],[Трудозатраты]]</f>
        <v>0</v>
      </c>
      <c r="J1191" s="357"/>
      <c r="K1191" s="220" t="e">
        <f>VLOOKUP(Таблица37[[#This Row],[Оболочки]],'[3]Расчет себес оболочек'!$A$3:$E$35,5,0)</f>
        <v>#N/A</v>
      </c>
    </row>
    <row r="1192" spans="2:11" x14ac:dyDescent="0.25">
      <c r="B1192" s="350"/>
      <c r="C1192" s="361"/>
      <c r="D1192" s="352"/>
      <c r="E1192" s="353"/>
      <c r="F1192" s="354"/>
      <c r="G1192" s="355"/>
      <c r="H1192" s="359"/>
      <c r="I1192" s="356">
        <f>Таблица37[[#This Row],[Цена]]+Таблица37[[#This Row],[Трудозатраты]]</f>
        <v>0</v>
      </c>
      <c r="J1192" s="357"/>
      <c r="K1192" s="220" t="e">
        <f>VLOOKUP(Таблица37[[#This Row],[Оболочки]],'[3]Расчет себес оболочек'!$A$3:$E$35,5,0)</f>
        <v>#N/A</v>
      </c>
    </row>
    <row r="1193" spans="2:11" x14ac:dyDescent="0.25">
      <c r="B1193" s="350"/>
      <c r="C1193" s="361"/>
      <c r="D1193" s="352"/>
      <c r="E1193" s="353"/>
      <c r="F1193" s="354"/>
      <c r="G1193" s="355"/>
      <c r="H1193" s="359"/>
      <c r="I1193" s="356">
        <f>Таблица37[[#This Row],[Цена]]+Таблица37[[#This Row],[Трудозатраты]]</f>
        <v>0</v>
      </c>
      <c r="J1193" s="357"/>
      <c r="K1193" s="220" t="e">
        <f>VLOOKUP(Таблица37[[#This Row],[Оболочки]],'[3]Расчет себес оболочек'!$A$3:$E$35,5,0)</f>
        <v>#N/A</v>
      </c>
    </row>
    <row r="1194" spans="2:11" x14ac:dyDescent="0.25">
      <c r="B1194" s="350"/>
      <c r="C1194" s="361"/>
      <c r="D1194" s="352"/>
      <c r="E1194" s="353"/>
      <c r="F1194" s="354"/>
      <c r="G1194" s="355"/>
      <c r="H1194" s="359"/>
      <c r="I1194" s="356">
        <f>Таблица37[[#This Row],[Цена]]+Таблица37[[#This Row],[Трудозатраты]]</f>
        <v>0</v>
      </c>
      <c r="J1194" s="357"/>
      <c r="K1194" s="220" t="e">
        <f>VLOOKUP(Таблица37[[#This Row],[Оболочки]],'[3]Расчет себес оболочек'!$A$3:$E$35,5,0)</f>
        <v>#N/A</v>
      </c>
    </row>
    <row r="1195" spans="2:11" x14ac:dyDescent="0.25">
      <c r="B1195" s="350"/>
      <c r="C1195" s="361"/>
      <c r="D1195" s="352"/>
      <c r="E1195" s="353"/>
      <c r="F1195" s="354"/>
      <c r="G1195" s="355"/>
      <c r="H1195" s="359"/>
      <c r="I1195" s="356">
        <f>Таблица37[[#This Row],[Цена]]+Таблица37[[#This Row],[Трудозатраты]]</f>
        <v>0</v>
      </c>
      <c r="J1195" s="357"/>
      <c r="K1195" s="220" t="e">
        <f>VLOOKUP(Таблица37[[#This Row],[Оболочки]],'[3]Расчет себес оболочек'!$A$3:$E$35,5,0)</f>
        <v>#N/A</v>
      </c>
    </row>
    <row r="1196" spans="2:11" x14ac:dyDescent="0.25">
      <c r="B1196" s="350"/>
      <c r="C1196" s="361"/>
      <c r="D1196" s="352"/>
      <c r="E1196" s="353"/>
      <c r="F1196" s="354"/>
      <c r="G1196" s="355"/>
      <c r="H1196" s="359"/>
      <c r="I1196" s="356">
        <f>Таблица37[[#This Row],[Цена]]+Таблица37[[#This Row],[Трудозатраты]]</f>
        <v>0</v>
      </c>
      <c r="J1196" s="357"/>
      <c r="K1196" s="220" t="e">
        <f>VLOOKUP(Таблица37[[#This Row],[Оболочки]],'[3]Расчет себес оболочек'!$A$3:$E$35,5,0)</f>
        <v>#N/A</v>
      </c>
    </row>
    <row r="1197" spans="2:11" x14ac:dyDescent="0.25">
      <c r="B1197" s="350"/>
      <c r="C1197" s="361"/>
      <c r="D1197" s="352"/>
      <c r="E1197" s="353"/>
      <c r="F1197" s="354"/>
      <c r="G1197" s="355"/>
      <c r="H1197" s="359"/>
      <c r="I1197" s="356">
        <f>Таблица37[[#This Row],[Цена]]+Таблица37[[#This Row],[Трудозатраты]]</f>
        <v>0</v>
      </c>
      <c r="J1197" s="357"/>
      <c r="K1197" s="220" t="e">
        <f>VLOOKUP(Таблица37[[#This Row],[Оболочки]],'[3]Расчет себес оболочек'!$A$3:$E$35,5,0)</f>
        <v>#N/A</v>
      </c>
    </row>
    <row r="1198" spans="2:11" x14ac:dyDescent="0.25">
      <c r="B1198" s="350"/>
      <c r="C1198" s="361"/>
      <c r="D1198" s="352"/>
      <c r="E1198" s="353"/>
      <c r="F1198" s="354"/>
      <c r="G1198" s="355"/>
      <c r="H1198" s="359"/>
      <c r="I1198" s="356">
        <f>Таблица37[[#This Row],[Цена]]+Таблица37[[#This Row],[Трудозатраты]]</f>
        <v>0</v>
      </c>
      <c r="J1198" s="357"/>
      <c r="K1198" s="220" t="e">
        <f>VLOOKUP(Таблица37[[#This Row],[Оболочки]],'[3]Расчет себес оболочек'!$A$3:$E$35,5,0)</f>
        <v>#N/A</v>
      </c>
    </row>
    <row r="1199" spans="2:11" x14ac:dyDescent="0.25">
      <c r="B1199" s="350"/>
      <c r="C1199" s="361"/>
      <c r="D1199" s="352"/>
      <c r="E1199" s="353"/>
      <c r="F1199" s="354"/>
      <c r="G1199" s="355"/>
      <c r="H1199" s="359"/>
      <c r="I1199" s="356">
        <f>Таблица37[[#This Row],[Цена]]+Таблица37[[#This Row],[Трудозатраты]]</f>
        <v>0</v>
      </c>
      <c r="J1199" s="357"/>
      <c r="K1199" s="220" t="e">
        <f>VLOOKUP(Таблица37[[#This Row],[Оболочки]],'[3]Расчет себес оболочек'!$A$3:$E$35,5,0)</f>
        <v>#N/A</v>
      </c>
    </row>
    <row r="1200" spans="2:11" x14ac:dyDescent="0.25">
      <c r="B1200" s="350"/>
      <c r="C1200" s="361"/>
      <c r="D1200" s="352"/>
      <c r="E1200" s="353"/>
      <c r="F1200" s="354"/>
      <c r="G1200" s="355"/>
      <c r="H1200" s="359"/>
      <c r="I1200" s="356">
        <f>Таблица37[[#This Row],[Цена]]+Таблица37[[#This Row],[Трудозатраты]]</f>
        <v>0</v>
      </c>
      <c r="J1200" s="357"/>
      <c r="K1200" s="220" t="e">
        <f>VLOOKUP(Таблица37[[#This Row],[Оболочки]],'[3]Расчет себес оболочек'!$A$3:$E$35,5,0)</f>
        <v>#N/A</v>
      </c>
    </row>
    <row r="1201" spans="2:11" x14ac:dyDescent="0.25">
      <c r="B1201" s="350"/>
      <c r="C1201" s="361"/>
      <c r="D1201" s="352"/>
      <c r="E1201" s="353"/>
      <c r="F1201" s="354"/>
      <c r="G1201" s="355"/>
      <c r="H1201" s="359"/>
      <c r="I1201" s="356">
        <f>Таблица37[[#This Row],[Цена]]+Таблица37[[#This Row],[Трудозатраты]]</f>
        <v>0</v>
      </c>
      <c r="J1201" s="357"/>
      <c r="K1201" s="220" t="e">
        <f>VLOOKUP(Таблица37[[#This Row],[Оболочки]],'[3]Расчет себес оболочек'!$A$3:$E$35,5,0)</f>
        <v>#N/A</v>
      </c>
    </row>
    <row r="1202" spans="2:11" x14ac:dyDescent="0.25">
      <c r="B1202" s="350"/>
      <c r="C1202" s="361"/>
      <c r="D1202" s="352"/>
      <c r="E1202" s="353"/>
      <c r="F1202" s="354"/>
      <c r="G1202" s="355"/>
      <c r="H1202" s="359"/>
      <c r="I1202" s="356">
        <f>Таблица37[[#This Row],[Цена]]+Таблица37[[#This Row],[Трудозатраты]]</f>
        <v>0</v>
      </c>
      <c r="J1202" s="357"/>
      <c r="K1202" s="220" t="e">
        <f>VLOOKUP(Таблица37[[#This Row],[Оболочки]],'[3]Расчет себес оболочек'!$A$3:$E$35,5,0)</f>
        <v>#N/A</v>
      </c>
    </row>
    <row r="1203" spans="2:11" x14ac:dyDescent="0.25">
      <c r="B1203" s="350"/>
      <c r="C1203" s="361"/>
      <c r="D1203" s="352"/>
      <c r="E1203" s="353"/>
      <c r="F1203" s="354"/>
      <c r="G1203" s="355"/>
      <c r="H1203" s="359"/>
      <c r="I1203" s="356">
        <f>Таблица37[[#This Row],[Цена]]+Таблица37[[#This Row],[Трудозатраты]]</f>
        <v>0</v>
      </c>
      <c r="J1203" s="357"/>
      <c r="K1203" s="220" t="e">
        <f>VLOOKUP(Таблица37[[#This Row],[Оболочки]],'[3]Расчет себес оболочек'!$A$3:$E$35,5,0)</f>
        <v>#N/A</v>
      </c>
    </row>
    <row r="1204" spans="2:11" x14ac:dyDescent="0.25">
      <c r="B1204" s="350"/>
      <c r="C1204" s="361"/>
      <c r="D1204" s="352"/>
      <c r="E1204" s="353"/>
      <c r="F1204" s="354"/>
      <c r="G1204" s="355"/>
      <c r="H1204" s="359"/>
      <c r="I1204" s="356">
        <f>Таблица37[[#This Row],[Цена]]+Таблица37[[#This Row],[Трудозатраты]]</f>
        <v>0</v>
      </c>
      <c r="J1204" s="357"/>
      <c r="K1204" s="220" t="e">
        <f>VLOOKUP(Таблица37[[#This Row],[Оболочки]],'[3]Расчет себес оболочек'!$A$3:$E$35,5,0)</f>
        <v>#N/A</v>
      </c>
    </row>
    <row r="1205" spans="2:11" x14ac:dyDescent="0.25">
      <c r="B1205" s="350"/>
      <c r="C1205" s="361"/>
      <c r="D1205" s="352"/>
      <c r="E1205" s="353"/>
      <c r="F1205" s="354"/>
      <c r="G1205" s="355"/>
      <c r="H1205" s="359"/>
      <c r="I1205" s="356">
        <f>Таблица37[[#This Row],[Цена]]+Таблица37[[#This Row],[Трудозатраты]]</f>
        <v>0</v>
      </c>
      <c r="J1205" s="357"/>
      <c r="K1205" s="220" t="e">
        <f>VLOOKUP(Таблица37[[#This Row],[Оболочки]],'[3]Расчет себес оболочек'!$A$3:$E$35,5,0)</f>
        <v>#N/A</v>
      </c>
    </row>
    <row r="1206" spans="2:11" x14ac:dyDescent="0.25">
      <c r="B1206" s="350"/>
      <c r="C1206" s="361"/>
      <c r="D1206" s="352"/>
      <c r="E1206" s="353"/>
      <c r="F1206" s="354"/>
      <c r="G1206" s="355"/>
      <c r="H1206" s="359"/>
      <c r="I1206" s="356">
        <f>Таблица37[[#This Row],[Цена]]+Таблица37[[#This Row],[Трудозатраты]]</f>
        <v>0</v>
      </c>
      <c r="J1206" s="357"/>
      <c r="K1206" s="220" t="e">
        <f>VLOOKUP(Таблица37[[#This Row],[Оболочки]],'[3]Расчет себес оболочек'!$A$3:$E$35,5,0)</f>
        <v>#N/A</v>
      </c>
    </row>
    <row r="1207" spans="2:11" x14ac:dyDescent="0.25">
      <c r="B1207" s="350"/>
      <c r="C1207" s="361"/>
      <c r="D1207" s="352"/>
      <c r="E1207" s="353"/>
      <c r="F1207" s="354"/>
      <c r="G1207" s="355"/>
      <c r="H1207" s="359"/>
      <c r="I1207" s="356">
        <f>Таблица37[[#This Row],[Цена]]+Таблица37[[#This Row],[Трудозатраты]]</f>
        <v>0</v>
      </c>
      <c r="J1207" s="357"/>
      <c r="K1207" s="220" t="e">
        <f>VLOOKUP(Таблица37[[#This Row],[Оболочки]],'[3]Расчет себес оболочек'!$A$3:$E$35,5,0)</f>
        <v>#N/A</v>
      </c>
    </row>
    <row r="1208" spans="2:11" x14ac:dyDescent="0.25">
      <c r="B1208" s="350"/>
      <c r="C1208" s="361"/>
      <c r="D1208" s="352"/>
      <c r="E1208" s="353"/>
      <c r="F1208" s="354"/>
      <c r="G1208" s="355"/>
      <c r="H1208" s="359"/>
      <c r="I1208" s="356">
        <f>Таблица37[[#This Row],[Цена]]+Таблица37[[#This Row],[Трудозатраты]]</f>
        <v>0</v>
      </c>
      <c r="J1208" s="357"/>
      <c r="K1208" s="220" t="e">
        <f>VLOOKUP(Таблица37[[#This Row],[Оболочки]],'[3]Расчет себес оболочек'!$A$3:$E$35,5,0)</f>
        <v>#N/A</v>
      </c>
    </row>
    <row r="1209" spans="2:11" x14ac:dyDescent="0.25">
      <c r="B1209" s="350"/>
      <c r="C1209" s="361"/>
      <c r="D1209" s="352"/>
      <c r="E1209" s="353"/>
      <c r="F1209" s="354"/>
      <c r="G1209" s="355"/>
      <c r="H1209" s="359"/>
      <c r="I1209" s="356">
        <f>Таблица37[[#This Row],[Цена]]+Таблица37[[#This Row],[Трудозатраты]]</f>
        <v>0</v>
      </c>
      <c r="J1209" s="357"/>
      <c r="K1209" s="220" t="e">
        <f>VLOOKUP(Таблица37[[#This Row],[Оболочки]],'[3]Расчет себес оболочек'!$A$3:$E$35,5,0)</f>
        <v>#N/A</v>
      </c>
    </row>
    <row r="1210" spans="2:11" x14ac:dyDescent="0.25">
      <c r="B1210" s="350"/>
      <c r="C1210" s="361"/>
      <c r="D1210" s="352"/>
      <c r="E1210" s="353"/>
      <c r="F1210" s="354"/>
      <c r="G1210" s="355"/>
      <c r="H1210" s="359"/>
      <c r="I1210" s="356">
        <f>Таблица37[[#This Row],[Цена]]+Таблица37[[#This Row],[Трудозатраты]]</f>
        <v>0</v>
      </c>
      <c r="J1210" s="357"/>
      <c r="K1210" s="220" t="e">
        <f>VLOOKUP(Таблица37[[#This Row],[Оболочки]],'[3]Расчет себес оболочек'!$A$3:$E$35,5,0)</f>
        <v>#N/A</v>
      </c>
    </row>
    <row r="1211" spans="2:11" x14ac:dyDescent="0.25">
      <c r="B1211" s="350"/>
      <c r="C1211" s="361"/>
      <c r="D1211" s="352"/>
      <c r="E1211" s="353"/>
      <c r="F1211" s="354"/>
      <c r="G1211" s="355"/>
      <c r="H1211" s="359"/>
      <c r="I1211" s="356">
        <f>Таблица37[[#This Row],[Цена]]+Таблица37[[#This Row],[Трудозатраты]]</f>
        <v>0</v>
      </c>
      <c r="J1211" s="357"/>
      <c r="K1211" s="220" t="e">
        <f>VLOOKUP(Таблица37[[#This Row],[Оболочки]],'[3]Расчет себес оболочек'!$A$3:$E$35,5,0)</f>
        <v>#N/A</v>
      </c>
    </row>
    <row r="1212" spans="2:11" x14ac:dyDescent="0.25">
      <c r="B1212" s="350"/>
      <c r="C1212" s="361"/>
      <c r="D1212" s="352"/>
      <c r="E1212" s="353"/>
      <c r="F1212" s="354"/>
      <c r="G1212" s="355"/>
      <c r="H1212" s="359"/>
      <c r="I1212" s="356">
        <f>Таблица37[[#This Row],[Цена]]+Таблица37[[#This Row],[Трудозатраты]]</f>
        <v>0</v>
      </c>
      <c r="J1212" s="357"/>
      <c r="K1212" s="220" t="e">
        <f>VLOOKUP(Таблица37[[#This Row],[Оболочки]],'[3]Расчет себес оболочек'!$A$3:$E$35,5,0)</f>
        <v>#N/A</v>
      </c>
    </row>
    <row r="1213" spans="2:11" x14ac:dyDescent="0.25">
      <c r="B1213" s="350"/>
      <c r="C1213" s="361"/>
      <c r="D1213" s="352"/>
      <c r="E1213" s="353"/>
      <c r="F1213" s="354"/>
      <c r="G1213" s="355"/>
      <c r="H1213" s="359"/>
      <c r="I1213" s="356">
        <f>Таблица37[[#This Row],[Цена]]+Таблица37[[#This Row],[Трудозатраты]]</f>
        <v>0</v>
      </c>
      <c r="J1213" s="357"/>
      <c r="K1213" s="220" t="e">
        <f>VLOOKUP(Таблица37[[#This Row],[Оболочки]],'[3]Расчет себес оболочек'!$A$3:$E$35,5,0)</f>
        <v>#N/A</v>
      </c>
    </row>
    <row r="1214" spans="2:11" x14ac:dyDescent="0.25">
      <c r="B1214" s="350"/>
      <c r="C1214" s="361"/>
      <c r="D1214" s="352"/>
      <c r="E1214" s="353"/>
      <c r="F1214" s="354"/>
      <c r="G1214" s="355"/>
      <c r="H1214" s="359"/>
      <c r="I1214" s="356">
        <f>Таблица37[[#This Row],[Цена]]+Таблица37[[#This Row],[Трудозатраты]]</f>
        <v>0</v>
      </c>
      <c r="J1214" s="357"/>
      <c r="K1214" s="220" t="e">
        <f>VLOOKUP(Таблица37[[#This Row],[Оболочки]],'[3]Расчет себес оболочек'!$A$3:$E$35,5,0)</f>
        <v>#N/A</v>
      </c>
    </row>
    <row r="1215" spans="2:11" x14ac:dyDescent="0.25">
      <c r="B1215" s="350"/>
      <c r="C1215" s="361"/>
      <c r="D1215" s="352"/>
      <c r="E1215" s="353"/>
      <c r="F1215" s="354"/>
      <c r="G1215" s="355"/>
      <c r="H1215" s="359"/>
      <c r="I1215" s="356">
        <f>Таблица37[[#This Row],[Цена]]+Таблица37[[#This Row],[Трудозатраты]]</f>
        <v>0</v>
      </c>
      <c r="J1215" s="357"/>
      <c r="K1215" s="220" t="e">
        <f>VLOOKUP(Таблица37[[#This Row],[Оболочки]],'[3]Расчет себес оболочек'!$A$3:$E$35,5,0)</f>
        <v>#N/A</v>
      </c>
    </row>
    <row r="1216" spans="2:11" x14ac:dyDescent="0.25">
      <c r="B1216" s="350"/>
      <c r="C1216" s="361"/>
      <c r="D1216" s="352"/>
      <c r="E1216" s="353"/>
      <c r="F1216" s="354"/>
      <c r="G1216" s="355"/>
      <c r="H1216" s="359"/>
      <c r="I1216" s="356">
        <f>Таблица37[[#This Row],[Цена]]+Таблица37[[#This Row],[Трудозатраты]]</f>
        <v>0</v>
      </c>
      <c r="J1216" s="357"/>
      <c r="K1216" s="220" t="e">
        <f>VLOOKUP(Таблица37[[#This Row],[Оболочки]],'[3]Расчет себес оболочек'!$A$3:$E$35,5,0)</f>
        <v>#N/A</v>
      </c>
    </row>
    <row r="1217" spans="2:11" x14ac:dyDescent="0.25">
      <c r="B1217" s="350"/>
      <c r="C1217" s="361"/>
      <c r="D1217" s="352"/>
      <c r="E1217" s="353"/>
      <c r="F1217" s="354"/>
      <c r="G1217" s="355"/>
      <c r="H1217" s="359"/>
      <c r="I1217" s="356">
        <f>Таблица37[[#This Row],[Цена]]+Таблица37[[#This Row],[Трудозатраты]]</f>
        <v>0</v>
      </c>
      <c r="J1217" s="357"/>
      <c r="K1217" s="220" t="e">
        <f>VLOOKUP(Таблица37[[#This Row],[Оболочки]],'[3]Расчет себес оболочек'!$A$3:$E$35,5,0)</f>
        <v>#N/A</v>
      </c>
    </row>
    <row r="1218" spans="2:11" x14ac:dyDescent="0.25">
      <c r="B1218" s="350"/>
      <c r="C1218" s="361"/>
      <c r="D1218" s="352"/>
      <c r="E1218" s="353"/>
      <c r="F1218" s="354"/>
      <c r="G1218" s="355"/>
      <c r="H1218" s="359"/>
      <c r="I1218" s="356">
        <f>Таблица37[[#This Row],[Цена]]+Таблица37[[#This Row],[Трудозатраты]]</f>
        <v>0</v>
      </c>
      <c r="J1218" s="357"/>
      <c r="K1218" s="220" t="e">
        <f>VLOOKUP(Таблица37[[#This Row],[Оболочки]],'[3]Расчет себес оболочек'!$A$3:$E$35,5,0)</f>
        <v>#N/A</v>
      </c>
    </row>
    <row r="1219" spans="2:11" x14ac:dyDescent="0.25">
      <c r="B1219" s="350"/>
      <c r="C1219" s="361"/>
      <c r="D1219" s="352"/>
      <c r="E1219" s="353"/>
      <c r="F1219" s="354"/>
      <c r="G1219" s="355"/>
      <c r="H1219" s="359"/>
      <c r="I1219" s="356">
        <f>Таблица37[[#This Row],[Цена]]+Таблица37[[#This Row],[Трудозатраты]]</f>
        <v>0</v>
      </c>
      <c r="J1219" s="357"/>
      <c r="K1219" s="220" t="e">
        <f>VLOOKUP(Таблица37[[#This Row],[Оболочки]],'[3]Расчет себес оболочек'!$A$3:$E$35,5,0)</f>
        <v>#N/A</v>
      </c>
    </row>
    <row r="1220" spans="2:11" x14ac:dyDescent="0.25">
      <c r="B1220" s="350"/>
      <c r="C1220" s="361"/>
      <c r="D1220" s="352"/>
      <c r="E1220" s="353"/>
      <c r="F1220" s="354"/>
      <c r="G1220" s="355"/>
      <c r="H1220" s="359"/>
      <c r="I1220" s="356">
        <f>Таблица37[[#This Row],[Цена]]+Таблица37[[#This Row],[Трудозатраты]]</f>
        <v>0</v>
      </c>
      <c r="J1220" s="357"/>
      <c r="K1220" s="220" t="e">
        <f>VLOOKUP(Таблица37[[#This Row],[Оболочки]],'[3]Расчет себес оболочек'!$A$3:$E$35,5,0)</f>
        <v>#N/A</v>
      </c>
    </row>
    <row r="1221" spans="2:11" x14ac:dyDescent="0.25">
      <c r="B1221" s="350"/>
      <c r="C1221" s="361"/>
      <c r="D1221" s="352"/>
      <c r="E1221" s="353"/>
      <c r="F1221" s="354"/>
      <c r="G1221" s="355"/>
      <c r="H1221" s="359"/>
      <c r="I1221" s="356">
        <f>Таблица37[[#This Row],[Цена]]+Таблица37[[#This Row],[Трудозатраты]]</f>
        <v>0</v>
      </c>
      <c r="J1221" s="357"/>
      <c r="K1221" s="220" t="e">
        <f>VLOOKUP(Таблица37[[#This Row],[Оболочки]],'[3]Расчет себес оболочек'!$A$3:$E$35,5,0)</f>
        <v>#N/A</v>
      </c>
    </row>
    <row r="1222" spans="2:11" x14ac:dyDescent="0.25">
      <c r="B1222" s="350"/>
      <c r="C1222" s="361"/>
      <c r="D1222" s="352"/>
      <c r="E1222" s="353"/>
      <c r="F1222" s="354"/>
      <c r="G1222" s="355"/>
      <c r="H1222" s="359"/>
      <c r="I1222" s="356">
        <f>Таблица37[[#This Row],[Цена]]+Таблица37[[#This Row],[Трудозатраты]]</f>
        <v>0</v>
      </c>
      <c r="J1222" s="357"/>
      <c r="K1222" s="220" t="e">
        <f>VLOOKUP(Таблица37[[#This Row],[Оболочки]],'[3]Расчет себес оболочек'!$A$3:$E$35,5,0)</f>
        <v>#N/A</v>
      </c>
    </row>
    <row r="1223" spans="2:11" x14ac:dyDescent="0.25">
      <c r="B1223" s="350"/>
      <c r="C1223" s="361"/>
      <c r="D1223" s="352"/>
      <c r="E1223" s="353"/>
      <c r="F1223" s="354"/>
      <c r="G1223" s="355"/>
      <c r="H1223" s="359"/>
      <c r="I1223" s="356">
        <f>Таблица37[[#This Row],[Цена]]+Таблица37[[#This Row],[Трудозатраты]]</f>
        <v>0</v>
      </c>
      <c r="J1223" s="357"/>
      <c r="K1223" s="220" t="e">
        <f>VLOOKUP(Таблица37[[#This Row],[Оболочки]],'[3]Расчет себес оболочек'!$A$3:$E$35,5,0)</f>
        <v>#N/A</v>
      </c>
    </row>
    <row r="1224" spans="2:11" x14ac:dyDescent="0.25">
      <c r="B1224" s="350"/>
      <c r="C1224" s="361"/>
      <c r="D1224" s="352"/>
      <c r="E1224" s="353"/>
      <c r="F1224" s="354"/>
      <c r="G1224" s="355"/>
      <c r="H1224" s="359"/>
      <c r="I1224" s="356">
        <f>Таблица37[[#This Row],[Цена]]+Таблица37[[#This Row],[Трудозатраты]]</f>
        <v>0</v>
      </c>
      <c r="J1224" s="357"/>
      <c r="K1224" s="220" t="e">
        <f>VLOOKUP(Таблица37[[#This Row],[Оболочки]],'[3]Расчет себес оболочек'!$A$3:$E$35,5,0)</f>
        <v>#N/A</v>
      </c>
    </row>
    <row r="1225" spans="2:11" x14ac:dyDescent="0.25">
      <c r="B1225" s="350"/>
      <c r="C1225" s="361"/>
      <c r="D1225" s="352"/>
      <c r="E1225" s="353"/>
      <c r="F1225" s="354"/>
      <c r="G1225" s="355"/>
      <c r="H1225" s="359"/>
      <c r="I1225" s="356">
        <f>Таблица37[[#This Row],[Цена]]+Таблица37[[#This Row],[Трудозатраты]]</f>
        <v>0</v>
      </c>
      <c r="J1225" s="357"/>
      <c r="K1225" s="220" t="e">
        <f>VLOOKUP(Таблица37[[#This Row],[Оболочки]],'[3]Расчет себес оболочек'!$A$3:$E$35,5,0)</f>
        <v>#N/A</v>
      </c>
    </row>
    <row r="1226" spans="2:11" x14ac:dyDescent="0.25">
      <c r="B1226" s="350"/>
      <c r="C1226" s="361"/>
      <c r="D1226" s="352"/>
      <c r="E1226" s="353"/>
      <c r="F1226" s="354"/>
      <c r="G1226" s="355"/>
      <c r="H1226" s="359"/>
      <c r="I1226" s="356">
        <f>Таблица37[[#This Row],[Цена]]+Таблица37[[#This Row],[Трудозатраты]]</f>
        <v>0</v>
      </c>
      <c r="J1226" s="357"/>
      <c r="K1226" s="220" t="e">
        <f>VLOOKUP(Таблица37[[#This Row],[Оболочки]],'[3]Расчет себес оболочек'!$A$3:$E$35,5,0)</f>
        <v>#N/A</v>
      </c>
    </row>
    <row r="1227" spans="2:11" x14ac:dyDescent="0.25">
      <c r="B1227" s="350"/>
      <c r="C1227" s="361"/>
      <c r="D1227" s="352"/>
      <c r="E1227" s="353"/>
      <c r="F1227" s="354"/>
      <c r="G1227" s="355"/>
      <c r="H1227" s="359"/>
      <c r="I1227" s="356">
        <f>Таблица37[[#This Row],[Цена]]+Таблица37[[#This Row],[Трудозатраты]]</f>
        <v>0</v>
      </c>
      <c r="J1227" s="357"/>
      <c r="K1227" s="220" t="e">
        <f>VLOOKUP(Таблица37[[#This Row],[Оболочки]],'[3]Расчет себес оболочек'!$A$3:$E$35,5,0)</f>
        <v>#N/A</v>
      </c>
    </row>
    <row r="1228" spans="2:11" x14ac:dyDescent="0.25">
      <c r="B1228" s="350"/>
      <c r="C1228" s="361"/>
      <c r="D1228" s="352"/>
      <c r="E1228" s="353"/>
      <c r="F1228" s="354"/>
      <c r="G1228" s="355"/>
      <c r="H1228" s="359"/>
      <c r="I1228" s="356">
        <f>Таблица37[[#This Row],[Цена]]+Таблица37[[#This Row],[Трудозатраты]]</f>
        <v>0</v>
      </c>
      <c r="J1228" s="357"/>
      <c r="K1228" s="220" t="e">
        <f>VLOOKUP(Таблица37[[#This Row],[Оболочки]],'[3]Расчет себес оболочек'!$A$3:$E$35,5,0)</f>
        <v>#N/A</v>
      </c>
    </row>
    <row r="1229" spans="2:11" x14ac:dyDescent="0.25">
      <c r="B1229" s="350"/>
      <c r="C1229" s="361"/>
      <c r="D1229" s="352"/>
      <c r="E1229" s="353"/>
      <c r="F1229" s="354"/>
      <c r="G1229" s="355"/>
      <c r="H1229" s="359"/>
      <c r="I1229" s="356">
        <f>Таблица37[[#This Row],[Цена]]+Таблица37[[#This Row],[Трудозатраты]]</f>
        <v>0</v>
      </c>
      <c r="J1229" s="357"/>
      <c r="K1229" s="220" t="e">
        <f>VLOOKUP(Таблица37[[#This Row],[Оболочки]],'[3]Расчет себес оболочек'!$A$3:$E$35,5,0)</f>
        <v>#N/A</v>
      </c>
    </row>
    <row r="1230" spans="2:11" x14ac:dyDescent="0.25">
      <c r="B1230" s="350"/>
      <c r="C1230" s="361"/>
      <c r="D1230" s="352"/>
      <c r="E1230" s="353"/>
      <c r="F1230" s="354"/>
      <c r="G1230" s="355"/>
      <c r="H1230" s="359"/>
      <c r="I1230" s="356">
        <f>Таблица37[[#This Row],[Цена]]+Таблица37[[#This Row],[Трудозатраты]]</f>
        <v>0</v>
      </c>
      <c r="J1230" s="357"/>
      <c r="K1230" s="220" t="e">
        <f>VLOOKUP(Таблица37[[#This Row],[Оболочки]],'[3]Расчет себес оболочек'!$A$3:$E$35,5,0)</f>
        <v>#N/A</v>
      </c>
    </row>
    <row r="1231" spans="2:11" x14ac:dyDescent="0.25">
      <c r="B1231" s="350"/>
      <c r="C1231" s="361"/>
      <c r="D1231" s="352"/>
      <c r="E1231" s="353"/>
      <c r="F1231" s="354"/>
      <c r="G1231" s="355"/>
      <c r="H1231" s="359"/>
      <c r="I1231" s="356">
        <f>Таблица37[[#This Row],[Цена]]+Таблица37[[#This Row],[Трудозатраты]]</f>
        <v>0</v>
      </c>
      <c r="J1231" s="357"/>
      <c r="K1231" s="220" t="e">
        <f>VLOOKUP(Таблица37[[#This Row],[Оболочки]],'[3]Расчет себес оболочек'!$A$3:$E$35,5,0)</f>
        <v>#N/A</v>
      </c>
    </row>
    <row r="1232" spans="2:11" x14ac:dyDescent="0.25">
      <c r="B1232" s="350"/>
      <c r="C1232" s="361"/>
      <c r="D1232" s="352"/>
      <c r="E1232" s="353"/>
      <c r="F1232" s="354"/>
      <c r="G1232" s="355"/>
      <c r="H1232" s="359"/>
      <c r="I1232" s="356">
        <f>Таблица37[[#This Row],[Цена]]+Таблица37[[#This Row],[Трудозатраты]]</f>
        <v>0</v>
      </c>
      <c r="J1232" s="357"/>
      <c r="K1232" s="220" t="e">
        <f>VLOOKUP(Таблица37[[#This Row],[Оболочки]],'[3]Расчет себес оболочек'!$A$3:$E$35,5,0)</f>
        <v>#N/A</v>
      </c>
    </row>
    <row r="1233" spans="2:11" x14ac:dyDescent="0.25">
      <c r="B1233" s="350"/>
      <c r="C1233" s="361"/>
      <c r="D1233" s="352"/>
      <c r="E1233" s="353"/>
      <c r="F1233" s="354"/>
      <c r="G1233" s="355"/>
      <c r="H1233" s="359"/>
      <c r="I1233" s="356">
        <f>Таблица37[[#This Row],[Цена]]+Таблица37[[#This Row],[Трудозатраты]]</f>
        <v>0</v>
      </c>
      <c r="J1233" s="357"/>
      <c r="K1233" s="220" t="e">
        <f>VLOOKUP(Таблица37[[#This Row],[Оболочки]],'[3]Расчет себес оболочек'!$A$3:$E$35,5,0)</f>
        <v>#N/A</v>
      </c>
    </row>
    <row r="1234" spans="2:11" x14ac:dyDescent="0.25">
      <c r="B1234" s="350"/>
      <c r="C1234" s="361"/>
      <c r="D1234" s="352"/>
      <c r="E1234" s="353"/>
      <c r="F1234" s="354"/>
      <c r="G1234" s="355"/>
      <c r="H1234" s="359"/>
      <c r="I1234" s="356">
        <f>Таблица37[[#This Row],[Цена]]+Таблица37[[#This Row],[Трудозатраты]]</f>
        <v>0</v>
      </c>
      <c r="J1234" s="357"/>
      <c r="K1234" s="220" t="e">
        <f>VLOOKUP(Таблица37[[#This Row],[Оболочки]],'[3]Расчет себес оболочек'!$A$3:$E$35,5,0)</f>
        <v>#N/A</v>
      </c>
    </row>
    <row r="1235" spans="2:11" x14ac:dyDescent="0.25">
      <c r="B1235" s="350"/>
      <c r="C1235" s="361"/>
      <c r="D1235" s="352"/>
      <c r="E1235" s="353"/>
      <c r="F1235" s="354"/>
      <c r="G1235" s="355"/>
      <c r="H1235" s="359"/>
      <c r="I1235" s="356">
        <f>Таблица37[[#This Row],[Цена]]+Таблица37[[#This Row],[Трудозатраты]]</f>
        <v>0</v>
      </c>
      <c r="J1235" s="357"/>
      <c r="K1235" s="220" t="e">
        <f>VLOOKUP(Таблица37[[#This Row],[Оболочки]],'[3]Расчет себес оболочек'!$A$3:$E$35,5,0)</f>
        <v>#N/A</v>
      </c>
    </row>
    <row r="1236" spans="2:11" x14ac:dyDescent="0.25">
      <c r="B1236" s="350"/>
      <c r="C1236" s="361"/>
      <c r="D1236" s="352"/>
      <c r="E1236" s="353"/>
      <c r="F1236" s="354"/>
      <c r="G1236" s="355"/>
      <c r="H1236" s="359"/>
      <c r="I1236" s="356">
        <f>Таблица37[[#This Row],[Цена]]+Таблица37[[#This Row],[Трудозатраты]]</f>
        <v>0</v>
      </c>
      <c r="J1236" s="357"/>
      <c r="K1236" s="220" t="e">
        <f>VLOOKUP(Таблица37[[#This Row],[Оболочки]],'[3]Расчет себес оболочек'!$A$3:$E$35,5,0)</f>
        <v>#N/A</v>
      </c>
    </row>
    <row r="1237" spans="2:11" x14ac:dyDescent="0.25">
      <c r="B1237" s="350"/>
      <c r="C1237" s="361"/>
      <c r="D1237" s="352"/>
      <c r="E1237" s="353"/>
      <c r="F1237" s="354"/>
      <c r="G1237" s="355"/>
      <c r="H1237" s="359"/>
      <c r="I1237" s="356">
        <f>Таблица37[[#This Row],[Цена]]+Таблица37[[#This Row],[Трудозатраты]]</f>
        <v>0</v>
      </c>
      <c r="J1237" s="357"/>
      <c r="K1237" s="220" t="e">
        <f>VLOOKUP(Таблица37[[#This Row],[Оболочки]],'[3]Расчет себес оболочек'!$A$3:$E$35,5,0)</f>
        <v>#N/A</v>
      </c>
    </row>
    <row r="1238" spans="2:11" x14ac:dyDescent="0.25">
      <c r="B1238" s="350"/>
      <c r="C1238" s="361"/>
      <c r="D1238" s="352"/>
      <c r="E1238" s="353"/>
      <c r="F1238" s="354"/>
      <c r="G1238" s="355"/>
      <c r="H1238" s="359"/>
      <c r="I1238" s="356">
        <f>Таблица37[[#This Row],[Цена]]+Таблица37[[#This Row],[Трудозатраты]]</f>
        <v>0</v>
      </c>
      <c r="J1238" s="357"/>
      <c r="K1238" s="220" t="e">
        <f>VLOOKUP(Таблица37[[#This Row],[Оболочки]],'[3]Расчет себес оболочек'!$A$3:$E$35,5,0)</f>
        <v>#N/A</v>
      </c>
    </row>
    <row r="1239" spans="2:11" x14ac:dyDescent="0.25">
      <c r="B1239" s="350"/>
      <c r="C1239" s="361"/>
      <c r="D1239" s="352"/>
      <c r="E1239" s="353"/>
      <c r="F1239" s="354"/>
      <c r="G1239" s="355"/>
      <c r="H1239" s="359"/>
      <c r="I1239" s="356">
        <f>Таблица37[[#This Row],[Цена]]+Таблица37[[#This Row],[Трудозатраты]]</f>
        <v>0</v>
      </c>
      <c r="J1239" s="357"/>
      <c r="K1239" s="220" t="e">
        <f>VLOOKUP(Таблица37[[#This Row],[Оболочки]],'[3]Расчет себес оболочек'!$A$3:$E$35,5,0)</f>
        <v>#N/A</v>
      </c>
    </row>
    <row r="1240" spans="2:11" x14ac:dyDescent="0.25">
      <c r="B1240" s="350"/>
      <c r="C1240" s="361"/>
      <c r="D1240" s="352"/>
      <c r="E1240" s="353"/>
      <c r="F1240" s="354"/>
      <c r="G1240" s="355"/>
      <c r="H1240" s="359"/>
      <c r="I1240" s="356">
        <f>Таблица37[[#This Row],[Цена]]+Таблица37[[#This Row],[Трудозатраты]]</f>
        <v>0</v>
      </c>
      <c r="J1240" s="357"/>
      <c r="K1240" s="220" t="e">
        <f>VLOOKUP(Таблица37[[#This Row],[Оболочки]],'[3]Расчет себес оболочек'!$A$3:$E$35,5,0)</f>
        <v>#N/A</v>
      </c>
    </row>
    <row r="1241" spans="2:11" x14ac:dyDescent="0.25">
      <c r="B1241" s="350"/>
      <c r="C1241" s="361"/>
      <c r="D1241" s="352"/>
      <c r="E1241" s="353"/>
      <c r="F1241" s="354"/>
      <c r="G1241" s="355"/>
      <c r="H1241" s="359"/>
      <c r="I1241" s="356">
        <f>Таблица37[[#This Row],[Цена]]+Таблица37[[#This Row],[Трудозатраты]]</f>
        <v>0</v>
      </c>
      <c r="J1241" s="357"/>
      <c r="K1241" s="220" t="e">
        <f>VLOOKUP(Таблица37[[#This Row],[Оболочки]],'[3]Расчет себес оболочек'!$A$3:$E$35,5,0)</f>
        <v>#N/A</v>
      </c>
    </row>
    <row r="1242" spans="2:11" x14ac:dyDescent="0.25">
      <c r="B1242" s="350"/>
      <c r="C1242" s="361"/>
      <c r="D1242" s="352"/>
      <c r="E1242" s="353"/>
      <c r="F1242" s="354"/>
      <c r="G1242" s="355"/>
      <c r="H1242" s="359"/>
      <c r="I1242" s="356">
        <f>Таблица37[[#This Row],[Цена]]+Таблица37[[#This Row],[Трудозатраты]]</f>
        <v>0</v>
      </c>
      <c r="J1242" s="357"/>
      <c r="K1242" s="220" t="e">
        <f>VLOOKUP(Таблица37[[#This Row],[Оболочки]],'[3]Расчет себес оболочек'!$A$3:$E$35,5,0)</f>
        <v>#N/A</v>
      </c>
    </row>
    <row r="1243" spans="2:11" x14ac:dyDescent="0.25">
      <c r="B1243" s="350"/>
      <c r="C1243" s="361"/>
      <c r="D1243" s="352"/>
      <c r="E1243" s="353"/>
      <c r="F1243" s="354"/>
      <c r="G1243" s="355"/>
      <c r="H1243" s="359"/>
      <c r="I1243" s="356">
        <f>Таблица37[[#This Row],[Цена]]+Таблица37[[#This Row],[Трудозатраты]]</f>
        <v>0</v>
      </c>
      <c r="J1243" s="357"/>
      <c r="K1243" s="220" t="e">
        <f>VLOOKUP(Таблица37[[#This Row],[Оболочки]],'[3]Расчет себес оболочек'!$A$3:$E$35,5,0)</f>
        <v>#N/A</v>
      </c>
    </row>
    <row r="1244" spans="2:11" x14ac:dyDescent="0.25">
      <c r="B1244" s="350"/>
      <c r="C1244" s="361"/>
      <c r="D1244" s="352"/>
      <c r="E1244" s="353"/>
      <c r="F1244" s="354"/>
      <c r="G1244" s="355"/>
      <c r="H1244" s="359"/>
      <c r="I1244" s="356">
        <f>Таблица37[[#This Row],[Цена]]+Таблица37[[#This Row],[Трудозатраты]]</f>
        <v>0</v>
      </c>
      <c r="J1244" s="357"/>
      <c r="K1244" s="220" t="e">
        <f>VLOOKUP(Таблица37[[#This Row],[Оболочки]],'[3]Расчет себес оболочек'!$A$3:$E$35,5,0)</f>
        <v>#N/A</v>
      </c>
    </row>
    <row r="1245" spans="2:11" x14ac:dyDescent="0.25">
      <c r="B1245" s="350"/>
      <c r="C1245" s="361"/>
      <c r="D1245" s="352"/>
      <c r="E1245" s="353"/>
      <c r="F1245" s="354"/>
      <c r="G1245" s="355"/>
      <c r="H1245" s="359"/>
      <c r="I1245" s="356">
        <f>Таблица37[[#This Row],[Цена]]+Таблица37[[#This Row],[Трудозатраты]]</f>
        <v>0</v>
      </c>
      <c r="J1245" s="357"/>
      <c r="K1245" s="220" t="e">
        <f>VLOOKUP(Таблица37[[#This Row],[Оболочки]],'[3]Расчет себес оболочек'!$A$3:$E$35,5,0)</f>
        <v>#N/A</v>
      </c>
    </row>
    <row r="1246" spans="2:11" x14ac:dyDescent="0.25">
      <c r="B1246" s="350"/>
      <c r="C1246" s="361"/>
      <c r="D1246" s="352"/>
      <c r="E1246" s="353"/>
      <c r="F1246" s="354"/>
      <c r="G1246" s="355"/>
      <c r="H1246" s="359"/>
      <c r="I1246" s="356">
        <f>Таблица37[[#This Row],[Цена]]+Таблица37[[#This Row],[Трудозатраты]]</f>
        <v>0</v>
      </c>
      <c r="J1246" s="357"/>
      <c r="K1246" s="220" t="e">
        <f>VLOOKUP(Таблица37[[#This Row],[Оболочки]],'[3]Расчет себес оболочек'!$A$3:$E$35,5,0)</f>
        <v>#N/A</v>
      </c>
    </row>
    <row r="1247" spans="2:11" x14ac:dyDescent="0.25">
      <c r="B1247" s="350"/>
      <c r="C1247" s="361"/>
      <c r="D1247" s="352"/>
      <c r="E1247" s="353"/>
      <c r="F1247" s="354"/>
      <c r="G1247" s="355"/>
      <c r="H1247" s="359"/>
      <c r="I1247" s="356">
        <f>Таблица37[[#This Row],[Цена]]+Таблица37[[#This Row],[Трудозатраты]]</f>
        <v>0</v>
      </c>
      <c r="J1247" s="357"/>
      <c r="K1247" s="220" t="e">
        <f>VLOOKUP(Таблица37[[#This Row],[Оболочки]],'[3]Расчет себес оболочек'!$A$3:$E$35,5,0)</f>
        <v>#N/A</v>
      </c>
    </row>
  </sheetData>
  <autoFilter ref="A1:A1247" xr:uid="{00000000-0009-0000-0000-000002000000}"/>
  <conditionalFormatting sqref="G1:G1048576">
    <cfRule type="containsBlanks" dxfId="156" priority="6">
      <formula>LEN(TRIM(G1))=0</formula>
    </cfRule>
  </conditionalFormatting>
  <conditionalFormatting sqref="J1109:J1247 J254:J1103 J3:J252">
    <cfRule type="containsBlanks" dxfId="155" priority="4">
      <formula>LEN(TRIM(J3))=0</formula>
    </cfRule>
  </conditionalFormatting>
  <conditionalFormatting sqref="E3:E1247">
    <cfRule type="containsBlanks" dxfId="154" priority="1">
      <formula>LEN(TRIM(E3))=0</formula>
    </cfRule>
  </conditionalFormatting>
  <pageMargins left="0.7" right="0.7" top="0.75" bottom="0.75" header="0.3" footer="0.3"/>
  <pageSetup paperSize="9" orientation="portrait" r:id="rId1"/>
  <ignoredErrors>
    <ignoredError sqref="I77" evalError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28"/>
  <sheetViews>
    <sheetView topLeftCell="A88" zoomScale="85" zoomScaleNormal="85" workbookViewId="0">
      <selection activeCell="E22" sqref="E22"/>
    </sheetView>
  </sheetViews>
  <sheetFormatPr defaultRowHeight="15" x14ac:dyDescent="0.25"/>
  <cols>
    <col min="1" max="1" width="8.7109375" style="209" bestFit="1" customWidth="1"/>
    <col min="2" max="2" width="19.42578125" style="209" bestFit="1" customWidth="1"/>
    <col min="3" max="3" width="11.28515625" style="209" bestFit="1" customWidth="1"/>
    <col min="4" max="4" width="9.140625" style="119"/>
    <col min="5" max="5" width="40" style="209" bestFit="1" customWidth="1"/>
    <col min="6" max="6" width="40.42578125" style="209" bestFit="1" customWidth="1"/>
    <col min="7" max="7" width="10" style="209" bestFit="1" customWidth="1"/>
    <col min="8" max="8" width="11.28515625" style="209" bestFit="1" customWidth="1"/>
    <col min="9" max="9" width="20.28515625" style="209" bestFit="1" customWidth="1"/>
    <col min="10" max="10" width="11.7109375" style="209" bestFit="1" customWidth="1"/>
    <col min="11" max="11" width="11.5703125" style="209" bestFit="1" customWidth="1"/>
    <col min="12" max="12" width="15.7109375" style="119" bestFit="1" customWidth="1"/>
    <col min="13" max="13" width="22.140625" style="209" bestFit="1" customWidth="1"/>
    <col min="14" max="14" width="14.5703125" style="209" bestFit="1" customWidth="1"/>
    <col min="15" max="15" width="13.7109375" style="209" bestFit="1" customWidth="1"/>
    <col min="16" max="16" width="50.85546875" style="209" bestFit="1" customWidth="1"/>
    <col min="17" max="17" width="12.5703125" style="209" customWidth="1"/>
    <col min="18" max="18" width="14.5703125" style="209" bestFit="1" customWidth="1"/>
    <col min="19" max="19" width="13.140625" style="209" customWidth="1"/>
    <col min="20" max="22" width="9.140625" style="209"/>
    <col min="23" max="23" width="22.28515625" style="209" customWidth="1"/>
    <col min="24" max="24" width="24.5703125" style="209" customWidth="1"/>
    <col min="25" max="25" width="23.140625" style="209" customWidth="1"/>
    <col min="26" max="26" width="17.5703125" style="209" customWidth="1"/>
    <col min="27" max="16384" width="9.140625" style="209"/>
  </cols>
  <sheetData>
    <row r="1" spans="1:26" x14ac:dyDescent="0.25">
      <c r="A1" s="209" t="s">
        <v>238</v>
      </c>
      <c r="B1" s="209" t="s">
        <v>233</v>
      </c>
      <c r="C1" s="209" t="s">
        <v>245</v>
      </c>
      <c r="W1" s="7" t="s">
        <v>461</v>
      </c>
      <c r="X1" s="7" t="s">
        <v>60</v>
      </c>
      <c r="Y1" s="7" t="s">
        <v>64</v>
      </c>
      <c r="Z1" s="7" t="s">
        <v>462</v>
      </c>
    </row>
    <row r="2" spans="1:26" x14ac:dyDescent="0.25">
      <c r="D2" s="119">
        <v>2.5</v>
      </c>
      <c r="W2" s="7"/>
      <c r="X2" s="7"/>
      <c r="Y2" s="7"/>
      <c r="Z2" s="7"/>
    </row>
    <row r="3" spans="1:26" s="119" customFormat="1" x14ac:dyDescent="0.25">
      <c r="B3" s="119" t="s">
        <v>239</v>
      </c>
      <c r="C3" s="210" t="s">
        <v>242</v>
      </c>
      <c r="D3" s="119">
        <v>4</v>
      </c>
      <c r="E3" s="236" t="str">
        <f>CONCATENATE('Рабочий стол'!AH4,'Рабочий стол'!AI4,'Рабочий стол'!AK4,'Рабочий стол'!AN2,'Рабочий стол'!AM4)</f>
        <v>TS35ВинтоваяWeidmuellerПроходная35</v>
      </c>
      <c r="F3" s="119" t="s">
        <v>261</v>
      </c>
      <c r="G3" s="119" t="s">
        <v>245</v>
      </c>
      <c r="H3" s="119" t="s">
        <v>154</v>
      </c>
      <c r="I3" s="119" t="s">
        <v>233</v>
      </c>
      <c r="J3" s="119" t="s">
        <v>276</v>
      </c>
      <c r="K3" s="119" t="s">
        <v>259</v>
      </c>
      <c r="L3" s="119" t="s">
        <v>260</v>
      </c>
      <c r="M3" s="119" t="s">
        <v>23</v>
      </c>
      <c r="N3" s="119" t="s">
        <v>24</v>
      </c>
      <c r="O3" s="119" t="s">
        <v>2266</v>
      </c>
      <c r="P3" s="119" t="s">
        <v>641</v>
      </c>
      <c r="Q3" s="119" t="s">
        <v>642</v>
      </c>
      <c r="R3" s="119" t="s">
        <v>2269</v>
      </c>
      <c r="W3" s="240" t="s">
        <v>463</v>
      </c>
      <c r="X3" s="241" t="s">
        <v>464</v>
      </c>
      <c r="Y3" s="241" t="s">
        <v>485</v>
      </c>
      <c r="Z3" s="242">
        <f>44.81/1.2</f>
        <v>37.341666666666669</v>
      </c>
    </row>
    <row r="4" spans="1:26" x14ac:dyDescent="0.25">
      <c r="B4" s="209" t="s">
        <v>240</v>
      </c>
      <c r="C4" s="209" t="s">
        <v>243</v>
      </c>
      <c r="D4" s="119">
        <v>6</v>
      </c>
      <c r="E4" s="226" t="str">
        <f>CONCATENATE('Рабочий стол'!AH4,'Рабочий стол'!AI4,'Рабочий стол'!AK4,'Рабочий стол'!AP2,'Рабочий стол'!AM4)</f>
        <v>TS35ВинтоваяWeidmuellerN35</v>
      </c>
      <c r="F4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TS35ВинтоваяWeidmuellerпроходная2,5</v>
      </c>
      <c r="G4" s="7" t="s">
        <v>258</v>
      </c>
      <c r="H4" s="7" t="s">
        <v>242</v>
      </c>
      <c r="I4" s="7" t="s">
        <v>239</v>
      </c>
      <c r="J4" s="7" t="s">
        <v>2267</v>
      </c>
      <c r="K4" s="7">
        <v>2.5</v>
      </c>
      <c r="L4" s="27" t="s">
        <v>247</v>
      </c>
      <c r="M4" s="7" t="s">
        <v>286</v>
      </c>
      <c r="N4" s="7"/>
      <c r="O4" s="7" t="s">
        <v>2266</v>
      </c>
      <c r="P4" s="237" t="s">
        <v>2268</v>
      </c>
      <c r="Q4" s="7"/>
      <c r="R4" s="7"/>
      <c r="W4" s="7" t="s">
        <v>458</v>
      </c>
      <c r="X4" s="243" t="s">
        <v>465</v>
      </c>
      <c r="Y4" s="238" t="str">
        <f t="shared" ref="Y4:Y9" si="0">"Шина PE земля на DIN-изолятоPE "&amp;X4</f>
        <v>Шина PE земля на DIN-изолятоPE ШНИ-6х9-10-Д-Ж</v>
      </c>
      <c r="Z4" s="244">
        <f>51.79/1.2</f>
        <v>43.158333333333331</v>
      </c>
    </row>
    <row r="5" spans="1:26" x14ac:dyDescent="0.25">
      <c r="B5" s="209" t="s">
        <v>241</v>
      </c>
      <c r="C5" s="209" t="s">
        <v>244</v>
      </c>
      <c r="D5" s="119">
        <v>10</v>
      </c>
      <c r="E5" s="227" t="str">
        <f>CONCATENATE('Рабочий стол'!AH4,'Рабочий стол'!AI4,'Рабочий стол'!AK4,'Рабочий стол'!AR2,'Рабочий стол'!AM4)</f>
        <v>TS35ВинтоваяWeidmuellerPE35</v>
      </c>
      <c r="F5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TS35ВинтоваяWeidmuellerпроходная4</v>
      </c>
      <c r="G5" s="7" t="s">
        <v>258</v>
      </c>
      <c r="H5" s="7" t="s">
        <v>242</v>
      </c>
      <c r="I5" s="7" t="s">
        <v>239</v>
      </c>
      <c r="J5" s="7" t="s">
        <v>2267</v>
      </c>
      <c r="K5" s="7">
        <v>4</v>
      </c>
      <c r="L5" s="27" t="s">
        <v>248</v>
      </c>
      <c r="M5" s="7" t="s">
        <v>286</v>
      </c>
      <c r="N5" s="7"/>
      <c r="O5" s="7" t="s">
        <v>2266</v>
      </c>
      <c r="P5" s="6" t="str">
        <f t="shared" ref="P5:P36" si="1">CONCATENATE(O4," ",J5," для провода сечением ",K5,"кв.мм")</f>
        <v>Клемма проходная для провода сечением 4кв.мм</v>
      </c>
      <c r="Q5" s="7"/>
      <c r="R5" s="7"/>
      <c r="W5" s="7" t="s">
        <v>466</v>
      </c>
      <c r="X5" s="243" t="s">
        <v>467</v>
      </c>
      <c r="Y5" s="238" t="str">
        <f t="shared" si="0"/>
        <v>Шина PE земля на DIN-изолятоPE ШНИ-6х9-12-Д-Ж</v>
      </c>
      <c r="Z5" s="244">
        <f>59.51/1.2</f>
        <v>49.591666666666669</v>
      </c>
    </row>
    <row r="6" spans="1:26" x14ac:dyDescent="0.25">
      <c r="D6" s="119">
        <v>16</v>
      </c>
      <c r="E6" s="228" t="str">
        <f>CONCATENATE('Рабочий стол'!AH4,'Рабочий стол'!AI4,'Рабочий стол'!AK4,'Рабочий стол'!AT2,'Рабочий стол'!AM4)</f>
        <v>TS35ВинтоваяWeidmuellerПеремычка35</v>
      </c>
      <c r="F6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TS35ВинтоваяWeidmuellerпроходная6</v>
      </c>
      <c r="G6" s="7" t="s">
        <v>258</v>
      </c>
      <c r="H6" s="7" t="s">
        <v>242</v>
      </c>
      <c r="I6" s="7" t="s">
        <v>239</v>
      </c>
      <c r="J6" s="7" t="s">
        <v>2267</v>
      </c>
      <c r="K6" s="7">
        <v>6</v>
      </c>
      <c r="L6" s="27" t="s">
        <v>249</v>
      </c>
      <c r="M6" s="7" t="s">
        <v>286</v>
      </c>
      <c r="N6" s="7"/>
      <c r="O6" s="7" t="s">
        <v>2266</v>
      </c>
      <c r="P6" s="7" t="str">
        <f t="shared" si="1"/>
        <v>Клемма проходная для провода сечением 6кв.мм</v>
      </c>
      <c r="Q6" s="7"/>
      <c r="R6" s="7"/>
      <c r="W6" s="7" t="s">
        <v>468</v>
      </c>
      <c r="X6" s="243" t="s">
        <v>469</v>
      </c>
      <c r="Y6" s="238" t="str">
        <f t="shared" si="0"/>
        <v>Шина PE земля на DIN-изолятоPE ШНИ-6х9-14-Д-Ж</v>
      </c>
      <c r="Z6" s="244">
        <f>65.77/1.2</f>
        <v>54.80833333333333</v>
      </c>
    </row>
    <row r="7" spans="1:26" x14ac:dyDescent="0.25">
      <c r="D7" s="119">
        <v>35</v>
      </c>
      <c r="F7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TS35ВинтоваяWeidmuellerпроходная10</v>
      </c>
      <c r="G7" s="7" t="s">
        <v>258</v>
      </c>
      <c r="H7" s="7" t="s">
        <v>242</v>
      </c>
      <c r="I7" s="7" t="s">
        <v>239</v>
      </c>
      <c r="J7" s="7" t="s">
        <v>2267</v>
      </c>
      <c r="K7" s="7">
        <v>10</v>
      </c>
      <c r="L7" s="27" t="s">
        <v>250</v>
      </c>
      <c r="M7" s="7" t="s">
        <v>286</v>
      </c>
      <c r="N7" s="7"/>
      <c r="O7" s="7" t="s">
        <v>2266</v>
      </c>
      <c r="P7" s="6" t="str">
        <f t="shared" si="1"/>
        <v>Клемма проходная для провода сечением 10кв.мм</v>
      </c>
      <c r="Q7" s="7"/>
      <c r="R7" s="7"/>
      <c r="W7" s="7" t="s">
        <v>460</v>
      </c>
      <c r="X7" s="243" t="s">
        <v>470</v>
      </c>
      <c r="Y7" s="238" t="str">
        <f t="shared" si="0"/>
        <v>Шина PE земля на DIN-изолятоPE ШНИ-6х9-16-Д-Ж</v>
      </c>
      <c r="Z7" s="244">
        <f>74.18/1.2</f>
        <v>61.816666666666677</v>
      </c>
    </row>
    <row r="8" spans="1:26" x14ac:dyDescent="0.25">
      <c r="D8" s="119">
        <v>50</v>
      </c>
      <c r="E8" s="225" t="str">
        <f>CONCATENATE('Рабочий стол'!AH9,'Рабочий стол'!AI9,'Рабочий стол'!AK9,'Рабочий стол'!AN7,'Рабочий стол'!AM9)</f>
        <v>TS35ВинтоваяWeidmueller</v>
      </c>
      <c r="F8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TS35ВинтоваяWeidmuellerпроходная16</v>
      </c>
      <c r="G8" s="7" t="s">
        <v>258</v>
      </c>
      <c r="H8" s="7" t="s">
        <v>242</v>
      </c>
      <c r="I8" s="7" t="s">
        <v>239</v>
      </c>
      <c r="J8" s="7" t="s">
        <v>2267</v>
      </c>
      <c r="K8" s="7">
        <v>16</v>
      </c>
      <c r="L8" s="27" t="s">
        <v>251</v>
      </c>
      <c r="M8" s="7" t="s">
        <v>287</v>
      </c>
      <c r="N8" s="7"/>
      <c r="O8" s="7" t="s">
        <v>2266</v>
      </c>
      <c r="P8" s="7" t="str">
        <f t="shared" si="1"/>
        <v>Клемма проходная для провода сечением 16кв.мм</v>
      </c>
      <c r="Q8" s="7"/>
      <c r="R8" s="7"/>
      <c r="W8" s="7" t="s">
        <v>471</v>
      </c>
      <c r="X8" s="243" t="s">
        <v>472</v>
      </c>
      <c r="Y8" s="238" t="str">
        <f t="shared" si="0"/>
        <v>Шина PE земля на DIN-изолятоPE ШНИ-6х9-18-Д-Ж</v>
      </c>
      <c r="Z8" s="244">
        <f>81.17/1.2</f>
        <v>67.641666666666666</v>
      </c>
    </row>
    <row r="9" spans="1:26" x14ac:dyDescent="0.25">
      <c r="B9" s="209" t="s">
        <v>257</v>
      </c>
      <c r="D9" s="119">
        <v>70</v>
      </c>
      <c r="E9" s="209" t="str">
        <f>CONCATENATE('Рабочий стол'!AH9,'Рабочий стол'!AI9,'Рабочий стол'!AK9,'Рабочий стол'!AP7,'Рабочий стол'!AM9)</f>
        <v>TS35ВинтоваяWeidmueller</v>
      </c>
      <c r="F9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TS35ВинтоваяWeidmuellerпроходная35</v>
      </c>
      <c r="G9" s="7" t="s">
        <v>258</v>
      </c>
      <c r="H9" s="7" t="s">
        <v>242</v>
      </c>
      <c r="I9" s="7" t="s">
        <v>239</v>
      </c>
      <c r="J9" s="7" t="s">
        <v>2267</v>
      </c>
      <c r="K9" s="7">
        <v>35</v>
      </c>
      <c r="L9" s="27" t="s">
        <v>252</v>
      </c>
      <c r="M9" s="7" t="s">
        <v>287</v>
      </c>
      <c r="N9" s="7"/>
      <c r="O9" s="7" t="s">
        <v>2266</v>
      </c>
      <c r="P9" s="6" t="str">
        <f t="shared" si="1"/>
        <v>Клемма проходная для провода сечением 35кв.мм</v>
      </c>
      <c r="Q9" s="7"/>
      <c r="R9" s="7"/>
      <c r="W9" s="7" t="s">
        <v>473</v>
      </c>
      <c r="X9" s="243" t="s">
        <v>474</v>
      </c>
      <c r="Y9" s="238" t="str">
        <f t="shared" si="0"/>
        <v>Шина PE земля на DIN-изолятоPE ШНИ-6х9-20-Д-Ж</v>
      </c>
      <c r="Z9" s="244">
        <f>90.96/1.2</f>
        <v>75.8</v>
      </c>
    </row>
    <row r="10" spans="1:26" x14ac:dyDescent="0.25">
      <c r="B10" s="209" t="s">
        <v>258</v>
      </c>
      <c r="D10" s="119">
        <v>95</v>
      </c>
      <c r="E10" s="227" t="str">
        <f>CONCATENATE('Рабочий стол'!AH9,'Рабочий стол'!AI9,'Рабочий стол'!AK9,'Рабочий стол'!AR7,'Рабочий стол'!AM9)</f>
        <v>TS35ВинтоваяWeidmueller</v>
      </c>
      <c r="F10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TS35ВинтоваяWeidmuellerпроходная50</v>
      </c>
      <c r="G10" s="7" t="s">
        <v>258</v>
      </c>
      <c r="H10" s="7" t="s">
        <v>242</v>
      </c>
      <c r="I10" s="7" t="s">
        <v>239</v>
      </c>
      <c r="J10" s="7" t="s">
        <v>2267</v>
      </c>
      <c r="K10" s="7">
        <v>50</v>
      </c>
      <c r="L10" s="27" t="s">
        <v>253</v>
      </c>
      <c r="M10" s="7"/>
      <c r="N10" s="7"/>
      <c r="O10" s="7" t="s">
        <v>2266</v>
      </c>
      <c r="P10" s="7" t="str">
        <f t="shared" si="1"/>
        <v>Клемма проходная для провода сечением 50кв.мм</v>
      </c>
      <c r="Q10" s="7"/>
      <c r="R10" s="7"/>
    </row>
    <row r="11" spans="1:26" x14ac:dyDescent="0.25">
      <c r="D11" s="119">
        <v>120</v>
      </c>
      <c r="E11" s="229" t="str">
        <f>CONCATENATE('Рабочий стол'!AH9,'Рабочий стол'!AI9,'Рабочий стол'!AK9,'Рабочий стол'!AT7,'Рабочий стол'!AM9)</f>
        <v>TS35ВинтоваяWeidmueller</v>
      </c>
      <c r="F11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TS35ВинтоваяWeidmuellerпроходная70</v>
      </c>
      <c r="G11" s="7" t="s">
        <v>258</v>
      </c>
      <c r="H11" s="7" t="s">
        <v>242</v>
      </c>
      <c r="I11" s="7" t="s">
        <v>239</v>
      </c>
      <c r="J11" s="7" t="s">
        <v>2267</v>
      </c>
      <c r="K11" s="7">
        <v>70</v>
      </c>
      <c r="L11" s="27" t="s">
        <v>254</v>
      </c>
      <c r="M11" s="7"/>
      <c r="N11" s="7"/>
      <c r="O11" s="7" t="s">
        <v>2266</v>
      </c>
      <c r="P11" s="6" t="str">
        <f t="shared" si="1"/>
        <v>Клемма проходная для провода сечением 70кв.мм</v>
      </c>
      <c r="Q11" s="7"/>
      <c r="R11" s="7"/>
      <c r="W11" s="681" t="s">
        <v>475</v>
      </c>
      <c r="X11" s="681"/>
      <c r="Y11" s="681"/>
      <c r="Z11" s="681"/>
    </row>
    <row r="12" spans="1:26" x14ac:dyDescent="0.25">
      <c r="A12" s="209" t="s">
        <v>246</v>
      </c>
      <c r="D12" s="119">
        <v>150</v>
      </c>
      <c r="F12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TS35ВинтоваяWeidmuellerпроходная95</v>
      </c>
      <c r="G12" s="7" t="s">
        <v>258</v>
      </c>
      <c r="H12" s="7" t="s">
        <v>242</v>
      </c>
      <c r="I12" s="7" t="s">
        <v>239</v>
      </c>
      <c r="J12" s="7" t="s">
        <v>2267</v>
      </c>
      <c r="K12" s="7">
        <v>95</v>
      </c>
      <c r="L12" s="27" t="s">
        <v>254</v>
      </c>
      <c r="M12" s="7"/>
      <c r="N12" s="7"/>
      <c r="O12" s="7" t="s">
        <v>2266</v>
      </c>
      <c r="P12" s="7" t="str">
        <f t="shared" si="1"/>
        <v>Клемма проходная для провода сечением 95кв.мм</v>
      </c>
      <c r="Q12" s="7"/>
      <c r="R12" s="7"/>
      <c r="W12" s="7" t="s">
        <v>461</v>
      </c>
      <c r="X12" s="7" t="s">
        <v>60</v>
      </c>
      <c r="Y12" s="7" t="s">
        <v>64</v>
      </c>
      <c r="Z12" s="7" t="s">
        <v>462</v>
      </c>
    </row>
    <row r="13" spans="1:26" x14ac:dyDescent="0.25">
      <c r="E13" s="230" t="str">
        <f>CONCATENATE('Рабочий стол'!AH5,'Рабочий стол'!AI5,'Рабочий стол'!AK5,'Рабочий стол'!AN2,'Рабочий стол'!AM5)</f>
        <v>TS35ВинтоваяWeidmuellerПроходная6</v>
      </c>
      <c r="F13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TS35ВинтоваяWeidmuellerпроходная120</v>
      </c>
      <c r="G13" s="7" t="s">
        <v>258</v>
      </c>
      <c r="H13" s="7" t="s">
        <v>242</v>
      </c>
      <c r="I13" s="7" t="s">
        <v>239</v>
      </c>
      <c r="J13" s="7" t="s">
        <v>2267</v>
      </c>
      <c r="K13" s="7">
        <v>120</v>
      </c>
      <c r="L13" s="27" t="s">
        <v>255</v>
      </c>
      <c r="M13" s="7"/>
      <c r="N13" s="7"/>
      <c r="O13" s="7" t="s">
        <v>2266</v>
      </c>
      <c r="P13" s="6" t="str">
        <f t="shared" si="1"/>
        <v>Клемма проходная для провода сечением 120кв.мм</v>
      </c>
      <c r="Q13" s="7"/>
      <c r="R13" s="7"/>
      <c r="W13" s="7"/>
      <c r="X13" s="7"/>
      <c r="Y13" s="7"/>
      <c r="Z13" s="7"/>
    </row>
    <row r="14" spans="1:26" x14ac:dyDescent="0.25">
      <c r="B14" s="209" t="s">
        <v>262</v>
      </c>
      <c r="E14" s="231" t="str">
        <f>CONCATENATE('Рабочий стол'!AH5,'Рабочий стол'!AI5,'Рабочий стол'!AK5,'Рабочий стол'!AP2,'Рабочий стол'!AM5)</f>
        <v>TS35ВинтоваяWeidmuellerN6</v>
      </c>
      <c r="F14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TS35ВинтоваяWeidmuellerпроходная150</v>
      </c>
      <c r="G14" s="7" t="s">
        <v>258</v>
      </c>
      <c r="H14" s="7" t="s">
        <v>242</v>
      </c>
      <c r="I14" s="7" t="s">
        <v>239</v>
      </c>
      <c r="J14" s="7" t="s">
        <v>2267</v>
      </c>
      <c r="K14" s="7">
        <v>150</v>
      </c>
      <c r="L14" s="27" t="s">
        <v>255</v>
      </c>
      <c r="M14" s="7"/>
      <c r="N14" s="7"/>
      <c r="O14" s="7" t="s">
        <v>2266</v>
      </c>
      <c r="P14" s="7" t="str">
        <f t="shared" si="1"/>
        <v>Клемма проходная для провода сечением 150кв.мм</v>
      </c>
      <c r="Q14" s="7"/>
      <c r="R14" s="7"/>
      <c r="W14" s="245" t="s">
        <v>463</v>
      </c>
      <c r="X14" s="243" t="s">
        <v>476</v>
      </c>
      <c r="Y14" s="238" t="str">
        <f t="shared" ref="Y14:Y20" si="2">"Шина нулевая на DIN-изолятоPE "&amp;X14</f>
        <v>Шина нулевая на DIN-изолятоPE ШНИ-6х9-8-Д-С</v>
      </c>
      <c r="Z14" s="244">
        <f>44.81/1.2</f>
        <v>37.341666666666669</v>
      </c>
    </row>
    <row r="15" spans="1:26" x14ac:dyDescent="0.25">
      <c r="B15" s="209" t="s">
        <v>265</v>
      </c>
      <c r="E15" s="232" t="str">
        <f>CONCATENATE('Рабочий стол'!AH5,'Рабочий стол'!AI5,'Рабочий стол'!AK5,'Рабочий стол'!AR2,'Рабочий стол'!AM5)</f>
        <v>TS35ВинтоваяWeidmuellerPE6</v>
      </c>
      <c r="F15" s="7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TS35ВинтоваяWeidmuellerпроходная240</v>
      </c>
      <c r="G15" s="7" t="s">
        <v>258</v>
      </c>
      <c r="H15" s="7" t="s">
        <v>242</v>
      </c>
      <c r="I15" s="7" t="s">
        <v>239</v>
      </c>
      <c r="J15" s="7" t="s">
        <v>2267</v>
      </c>
      <c r="K15" s="7">
        <v>240</v>
      </c>
      <c r="L15" s="27" t="s">
        <v>256</v>
      </c>
      <c r="M15" s="7"/>
      <c r="N15" s="7"/>
      <c r="O15" s="7" t="s">
        <v>2266</v>
      </c>
      <c r="P15" s="6" t="str">
        <f t="shared" si="1"/>
        <v>Клемма проходная для провода сечением 240кв.мм</v>
      </c>
      <c r="Q15" s="7"/>
      <c r="R15" s="7"/>
      <c r="W15" s="7" t="s">
        <v>458</v>
      </c>
      <c r="X15" s="243" t="s">
        <v>477</v>
      </c>
      <c r="Y15" s="238" t="str">
        <f t="shared" si="2"/>
        <v>Шина нулевая на DIN-изолятоPE ШНИ-6х9-10-Д-С</v>
      </c>
      <c r="Z15" s="244">
        <f>51.79/1.2</f>
        <v>43.158333333333331</v>
      </c>
    </row>
    <row r="16" spans="1:26" x14ac:dyDescent="0.25">
      <c r="B16" s="209" t="s">
        <v>484</v>
      </c>
      <c r="E16" s="233" t="str">
        <f>CONCATENATE('Рабочий стол'!AH5,'Рабочий стол'!AI5,'Рабочий стол'!AK5,'Рабочий стол'!AT2,'Рабочий стол'!AM5)</f>
        <v>TS35ВинтоваяWeidmuellerПеремычка6</v>
      </c>
      <c r="F1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TS35ВинтоваяWeidmuellerN2,5</v>
      </c>
      <c r="G16" s="7" t="s">
        <v>258</v>
      </c>
      <c r="H16" s="7" t="s">
        <v>242</v>
      </c>
      <c r="I16" s="7" t="s">
        <v>239</v>
      </c>
      <c r="J16" s="7" t="s">
        <v>532</v>
      </c>
      <c r="K16" s="7">
        <v>2.5</v>
      </c>
      <c r="L16" s="27" t="s">
        <v>266</v>
      </c>
      <c r="M16" s="7"/>
      <c r="N16" s="7"/>
      <c r="O16" s="7" t="s">
        <v>2266</v>
      </c>
      <c r="P16" s="7" t="str">
        <f t="shared" si="1"/>
        <v>Клемма N для провода сечением 2,5кв.мм</v>
      </c>
      <c r="Q16" s="7"/>
      <c r="R16" s="7"/>
      <c r="W16" s="7" t="s">
        <v>466</v>
      </c>
      <c r="X16" s="243" t="s">
        <v>478</v>
      </c>
      <c r="Y16" s="238" t="str">
        <f t="shared" si="2"/>
        <v>Шина нулевая на DIN-изолятоPE ШНИ-6х9-12-Д-С</v>
      </c>
      <c r="Z16" s="244">
        <f>59.51/1.2</f>
        <v>49.591666666666669</v>
      </c>
    </row>
    <row r="17" spans="3:26" x14ac:dyDescent="0.25">
      <c r="E17" s="234">
        <v>3</v>
      </c>
      <c r="F1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TS35ВинтоваяWeidmuellerN4</v>
      </c>
      <c r="G17" s="7" t="s">
        <v>258</v>
      </c>
      <c r="H17" s="7" t="s">
        <v>242</v>
      </c>
      <c r="I17" s="7" t="s">
        <v>239</v>
      </c>
      <c r="J17" s="7" t="s">
        <v>532</v>
      </c>
      <c r="K17" s="7">
        <v>4</v>
      </c>
      <c r="L17" s="27" t="s">
        <v>267</v>
      </c>
      <c r="M17" s="7"/>
      <c r="N17" s="7"/>
      <c r="O17" s="7" t="s">
        <v>2266</v>
      </c>
      <c r="P17" s="6" t="str">
        <f t="shared" si="1"/>
        <v>Клемма N для провода сечением 4кв.мм</v>
      </c>
      <c r="Q17" s="7"/>
      <c r="R17" s="7"/>
      <c r="W17" s="7" t="s">
        <v>468</v>
      </c>
      <c r="X17" s="243" t="s">
        <v>479</v>
      </c>
      <c r="Y17" s="238" t="str">
        <f t="shared" si="2"/>
        <v>Шина нулевая на DIN-изолятоPE ШНИ-6х9-14-Д-С</v>
      </c>
      <c r="Z17" s="244">
        <f>65.77/1.2</f>
        <v>54.80833333333333</v>
      </c>
    </row>
    <row r="18" spans="3:26" x14ac:dyDescent="0.25">
      <c r="E18" s="230" t="str">
        <f>CONCATENATE('Рабочий стол'!AH6,'Рабочий стол'!AI6,'Рабочий стол'!AK6,'Рабочий стол'!AN2,'Рабочий стол'!AM6)</f>
        <v>TS35ВинтоваяWeidmuellerПроходная</v>
      </c>
      <c r="F1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TS35ВинтоваяWeidmuellerN6</v>
      </c>
      <c r="G18" s="7" t="s">
        <v>258</v>
      </c>
      <c r="H18" s="7" t="s">
        <v>242</v>
      </c>
      <c r="I18" s="7" t="s">
        <v>239</v>
      </c>
      <c r="J18" s="7" t="s">
        <v>532</v>
      </c>
      <c r="K18" s="7">
        <v>6</v>
      </c>
      <c r="L18" s="27" t="s">
        <v>268</v>
      </c>
      <c r="M18" s="7"/>
      <c r="N18" s="7"/>
      <c r="O18" s="7" t="s">
        <v>2266</v>
      </c>
      <c r="P18" s="7" t="str">
        <f t="shared" si="1"/>
        <v>Клемма N для провода сечением 6кв.мм</v>
      </c>
      <c r="Q18" s="7"/>
      <c r="R18" s="7"/>
      <c r="W18" s="7" t="s">
        <v>460</v>
      </c>
      <c r="X18" s="243" t="s">
        <v>480</v>
      </c>
      <c r="Y18" s="238" t="str">
        <f t="shared" si="2"/>
        <v>Шина нулевая на DIN-изолятоPE ШНИ-6х9-16-Д-С</v>
      </c>
      <c r="Z18" s="244">
        <f>74.18/1.2</f>
        <v>61.816666666666677</v>
      </c>
    </row>
    <row r="19" spans="3:26" x14ac:dyDescent="0.25">
      <c r="E19" s="231" t="str">
        <f>CONCATENATE('Рабочий стол'!AH6,'Рабочий стол'!AI6,'Рабочий стол'!AK6,'Рабочий стол'!AP2,'Рабочий стол'!AM6)</f>
        <v>TS35ВинтоваяWeidmuellerN</v>
      </c>
      <c r="F19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TS35ВинтоваяWeidmuellerN10</v>
      </c>
      <c r="G19" s="7" t="s">
        <v>258</v>
      </c>
      <c r="H19" s="7" t="s">
        <v>242</v>
      </c>
      <c r="I19" s="7" t="s">
        <v>239</v>
      </c>
      <c r="J19" s="7" t="s">
        <v>532</v>
      </c>
      <c r="K19" s="7">
        <v>10</v>
      </c>
      <c r="L19" s="27" t="s">
        <v>269</v>
      </c>
      <c r="M19" s="7"/>
      <c r="N19" s="7"/>
      <c r="O19" s="7" t="s">
        <v>2266</v>
      </c>
      <c r="P19" s="6" t="str">
        <f t="shared" si="1"/>
        <v>Клемма N для провода сечением 10кв.мм</v>
      </c>
      <c r="Q19" s="7"/>
      <c r="R19" s="7"/>
      <c r="W19" s="7" t="s">
        <v>471</v>
      </c>
      <c r="X19" s="243" t="s">
        <v>481</v>
      </c>
      <c r="Y19" s="238" t="str">
        <f t="shared" si="2"/>
        <v>Шина нулевая на DIN-изолятоPE ШНИ-6х9-18-Д-С</v>
      </c>
      <c r="Z19" s="244">
        <f>81.17/1.2</f>
        <v>67.641666666666666</v>
      </c>
    </row>
    <row r="20" spans="3:26" x14ac:dyDescent="0.25">
      <c r="E20" s="232" t="str">
        <f>CONCATENATE('Рабочий стол'!AH6,'Рабочий стол'!AI6,'Рабочий стол'!AK6,'Рабочий стол'!AR2,'Рабочий стол'!AM6)</f>
        <v>TS35ВинтоваяWeidmuellerPE</v>
      </c>
      <c r="F20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TS35ВинтоваяWeidmuellerN16</v>
      </c>
      <c r="G20" s="7" t="s">
        <v>258</v>
      </c>
      <c r="H20" s="7" t="s">
        <v>242</v>
      </c>
      <c r="I20" s="7" t="s">
        <v>239</v>
      </c>
      <c r="J20" s="7" t="s">
        <v>532</v>
      </c>
      <c r="K20" s="7">
        <v>16</v>
      </c>
      <c r="L20" s="27" t="s">
        <v>270</v>
      </c>
      <c r="M20" s="7"/>
      <c r="N20" s="7"/>
      <c r="O20" s="7" t="s">
        <v>2266</v>
      </c>
      <c r="P20" s="7" t="str">
        <f t="shared" si="1"/>
        <v>Клемма N для провода сечением 16кв.мм</v>
      </c>
      <c r="Q20" s="7"/>
      <c r="R20" s="7"/>
      <c r="W20" s="7" t="s">
        <v>473</v>
      </c>
      <c r="X20" s="243" t="s">
        <v>482</v>
      </c>
      <c r="Y20" s="238" t="str">
        <f t="shared" si="2"/>
        <v>Шина нулевая на DIN-изолятоPE ШНИ-6х9-20-Д-С</v>
      </c>
      <c r="Z20" s="244">
        <f>90.96/1.2</f>
        <v>75.8</v>
      </c>
    </row>
    <row r="21" spans="3:26" x14ac:dyDescent="0.25">
      <c r="E21" s="233" t="str">
        <f>CONCATENATE('Рабочий стол'!AH6,'Рабочий стол'!AI6,'Рабочий стол'!AK6,'Рабочий стол'!AT2,'Рабочий стол'!AM6)</f>
        <v>TS35ВинтоваяWeidmuellerПеремычка</v>
      </c>
      <c r="F21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TS35ВинтоваяWeidmuellerN35</v>
      </c>
      <c r="G21" s="7" t="s">
        <v>258</v>
      </c>
      <c r="H21" s="7" t="s">
        <v>242</v>
      </c>
      <c r="I21" s="7" t="s">
        <v>239</v>
      </c>
      <c r="J21" s="7" t="s">
        <v>532</v>
      </c>
      <c r="K21" s="7">
        <v>35</v>
      </c>
      <c r="L21" s="27" t="s">
        <v>271</v>
      </c>
      <c r="M21" s="7"/>
      <c r="N21" s="7"/>
      <c r="O21" s="7" t="s">
        <v>2266</v>
      </c>
      <c r="P21" s="6" t="str">
        <f t="shared" si="1"/>
        <v>Клемма N для провода сечением 35кв.мм</v>
      </c>
      <c r="Q21" s="7"/>
      <c r="R21" s="7"/>
    </row>
    <row r="22" spans="3:26" x14ac:dyDescent="0.25">
      <c r="E22" s="230" t="str">
        <f>CONCATENATE('Рабочий стол'!AH7,'Рабочий стол'!AI7,'Рабочий стол'!AK7,'Рабочий стол'!AN2,'Рабочий стол'!AM7)</f>
        <v>TS35ВинтоваяWeidmuellerПроходная</v>
      </c>
      <c r="F22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TS35ВинтоваяWeidmuellerN50</v>
      </c>
      <c r="G22" s="7" t="s">
        <v>258</v>
      </c>
      <c r="H22" s="7" t="s">
        <v>242</v>
      </c>
      <c r="I22" s="7" t="s">
        <v>239</v>
      </c>
      <c r="J22" s="7" t="s">
        <v>532</v>
      </c>
      <c r="K22" s="7">
        <v>50</v>
      </c>
      <c r="L22" s="27" t="s">
        <v>272</v>
      </c>
      <c r="M22" s="7"/>
      <c r="N22" s="7"/>
      <c r="O22" s="7" t="s">
        <v>2266</v>
      </c>
      <c r="P22" s="7" t="str">
        <f t="shared" si="1"/>
        <v>Клемма N для провода сечением 50кв.мм</v>
      </c>
      <c r="Q22" s="7"/>
      <c r="R22" s="7"/>
    </row>
    <row r="23" spans="3:26" x14ac:dyDescent="0.25">
      <c r="E23" s="231" t="str">
        <f>CONCATENATE('Рабочий стол'!AH7,'Рабочий стол'!AI7,'Рабочий стол'!AK7,'Рабочий стол'!AP2,'Рабочий стол'!AM7)</f>
        <v>TS35ВинтоваяWeidmuellerN</v>
      </c>
      <c r="F23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TS35ВинтоваяWeidmuellerN70</v>
      </c>
      <c r="G23" s="7" t="s">
        <v>258</v>
      </c>
      <c r="H23" s="7" t="s">
        <v>242</v>
      </c>
      <c r="I23" s="7" t="s">
        <v>239</v>
      </c>
      <c r="J23" s="7" t="s">
        <v>532</v>
      </c>
      <c r="K23" s="7">
        <v>70</v>
      </c>
      <c r="L23" s="27" t="s">
        <v>273</v>
      </c>
      <c r="M23" s="7"/>
      <c r="N23" s="7"/>
      <c r="O23" s="7" t="s">
        <v>2266</v>
      </c>
      <c r="P23" s="6" t="str">
        <f t="shared" si="1"/>
        <v>Клемма N для провода сечением 70кв.мм</v>
      </c>
      <c r="Q23" s="7"/>
      <c r="R23" s="7"/>
    </row>
    <row r="24" spans="3:26" x14ac:dyDescent="0.25">
      <c r="E24" s="232" t="str">
        <f>CONCATENATE('Рабочий стол'!AH7,'Рабочий стол'!AI7,'Рабочий стол'!AK7,'Рабочий стол'!AR2,'Рабочий стол'!AM7)</f>
        <v>TS35ВинтоваяWeidmuellerPE</v>
      </c>
      <c r="F24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TS35ВинтоваяWeidmuellerN95</v>
      </c>
      <c r="G24" s="7" t="s">
        <v>258</v>
      </c>
      <c r="H24" s="7" t="s">
        <v>242</v>
      </c>
      <c r="I24" s="7" t="s">
        <v>239</v>
      </c>
      <c r="J24" s="7" t="s">
        <v>532</v>
      </c>
      <c r="K24" s="7">
        <v>95</v>
      </c>
      <c r="L24" s="27" t="s">
        <v>273</v>
      </c>
      <c r="M24" s="7"/>
      <c r="N24" s="7"/>
      <c r="O24" s="7" t="s">
        <v>2266</v>
      </c>
      <c r="P24" s="7" t="str">
        <f t="shared" si="1"/>
        <v>Клемма N для провода сечением 95кв.мм</v>
      </c>
      <c r="Q24" s="7"/>
      <c r="R24" s="7"/>
    </row>
    <row r="25" spans="3:26" x14ac:dyDescent="0.25">
      <c r="E25" s="233" t="str">
        <f>CONCATENATE('Рабочий стол'!AH7,'Рабочий стол'!AI7,'Рабочий стол'!AK7,'Рабочий стол'!AT2,'Рабочий стол'!AM7)</f>
        <v>TS35ВинтоваяWeidmuellerПеремычка</v>
      </c>
      <c r="F25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TS35ВинтоваяWeidmuellerN120</v>
      </c>
      <c r="G25" s="7" t="s">
        <v>258</v>
      </c>
      <c r="H25" s="7" t="s">
        <v>242</v>
      </c>
      <c r="I25" s="7" t="s">
        <v>239</v>
      </c>
      <c r="J25" s="7" t="s">
        <v>532</v>
      </c>
      <c r="K25" s="7">
        <v>120</v>
      </c>
      <c r="L25" s="27" t="s">
        <v>274</v>
      </c>
      <c r="M25" s="7"/>
      <c r="N25" s="7"/>
      <c r="O25" s="7" t="s">
        <v>2266</v>
      </c>
      <c r="P25" s="6" t="str">
        <f t="shared" si="1"/>
        <v>Клемма N для провода сечением 120кв.мм</v>
      </c>
      <c r="Q25" s="7"/>
      <c r="R25" s="7"/>
    </row>
    <row r="26" spans="3:26" x14ac:dyDescent="0.25">
      <c r="E26" s="230" t="str">
        <f>CONCATENATE('Рабочий стол'!AH8,'Рабочий стол'!AI8,'Рабочий стол'!AK8,'Рабочий стол'!AN2,'Рабочий стол'!AM8)</f>
        <v>TS35ВинтоваяWeidmuellerПроходная</v>
      </c>
      <c r="F2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TS35ВинтоваяWeidmuellerN150</v>
      </c>
      <c r="G26" s="7" t="s">
        <v>258</v>
      </c>
      <c r="H26" s="7" t="s">
        <v>242</v>
      </c>
      <c r="I26" s="7" t="s">
        <v>239</v>
      </c>
      <c r="J26" s="7" t="s">
        <v>532</v>
      </c>
      <c r="K26" s="7">
        <v>150</v>
      </c>
      <c r="L26" s="27" t="s">
        <v>274</v>
      </c>
      <c r="M26" s="7"/>
      <c r="N26" s="7"/>
      <c r="O26" s="7" t="s">
        <v>2266</v>
      </c>
      <c r="P26" s="7" t="str">
        <f t="shared" si="1"/>
        <v>Клемма N для провода сечением 150кв.мм</v>
      </c>
      <c r="Q26" s="7"/>
      <c r="R26" s="7"/>
    </row>
    <row r="27" spans="3:26" x14ac:dyDescent="0.25">
      <c r="E27" s="231" t="str">
        <f>CONCATENATE('Рабочий стол'!AH8,'Рабочий стол'!AI8,'Рабочий стол'!AK8,'Рабочий стол'!AP2,'Рабочий стол'!AM8)</f>
        <v>TS35ВинтоваяWeidmuellerN</v>
      </c>
      <c r="F2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TS35ВинтоваяWeidmuellerN240</v>
      </c>
      <c r="G27" s="7" t="s">
        <v>258</v>
      </c>
      <c r="H27" s="7" t="s">
        <v>242</v>
      </c>
      <c r="I27" s="7" t="s">
        <v>239</v>
      </c>
      <c r="J27" s="7" t="s">
        <v>532</v>
      </c>
      <c r="K27" s="7">
        <v>240</v>
      </c>
      <c r="L27" s="27" t="s">
        <v>275</v>
      </c>
      <c r="M27" s="7"/>
      <c r="N27" s="7"/>
      <c r="O27" s="7" t="s">
        <v>2266</v>
      </c>
      <c r="P27" s="6" t="str">
        <f t="shared" si="1"/>
        <v>Клемма N для провода сечением 240кв.мм</v>
      </c>
      <c r="Q27" s="7"/>
      <c r="R27" s="7"/>
    </row>
    <row r="28" spans="3:26" x14ac:dyDescent="0.25">
      <c r="E28" s="232" t="str">
        <f>CONCATENATE('Рабочий стол'!AH8,'Рабочий стол'!AI8,'Рабочий стол'!AK8,'Рабочий стол'!AR2,'Рабочий стол'!AM8)</f>
        <v>TS35ВинтоваяWeidmuellerPE</v>
      </c>
      <c r="F2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TS35ВинтоваяWeidmuellerPE2,5</v>
      </c>
      <c r="G28" s="7" t="s">
        <v>258</v>
      </c>
      <c r="H28" s="7" t="s">
        <v>242</v>
      </c>
      <c r="I28" s="7" t="s">
        <v>239</v>
      </c>
      <c r="J28" s="7" t="s">
        <v>484</v>
      </c>
      <c r="K28" s="7">
        <v>2.5</v>
      </c>
      <c r="L28" s="27" t="s">
        <v>277</v>
      </c>
      <c r="M28" s="7"/>
      <c r="N28" s="7"/>
      <c r="O28" s="7" t="s">
        <v>2266</v>
      </c>
      <c r="P28" s="7" t="str">
        <f t="shared" si="1"/>
        <v>Клемма PE для провода сечением 2,5кв.мм</v>
      </c>
      <c r="Q28" s="7"/>
      <c r="R28" s="7"/>
    </row>
    <row r="29" spans="3:26" x14ac:dyDescent="0.25">
      <c r="E29" s="233" t="str">
        <f>CONCATENATE('Рабочий стол'!AH8,'Рабочий стол'!AI8,'Рабочий стол'!AK8,'Рабочий стол'!AT2,'Рабочий стол'!AM8)</f>
        <v>TS35ВинтоваяWeidmuellerПеремычка</v>
      </c>
      <c r="F29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TS35ВинтоваяWeidmuellerPE4</v>
      </c>
      <c r="G29" s="7" t="s">
        <v>258</v>
      </c>
      <c r="H29" s="7" t="s">
        <v>242</v>
      </c>
      <c r="I29" s="7" t="s">
        <v>239</v>
      </c>
      <c r="J29" s="7" t="s">
        <v>484</v>
      </c>
      <c r="K29" s="7">
        <v>4</v>
      </c>
      <c r="L29" s="27" t="s">
        <v>278</v>
      </c>
      <c r="M29" s="7"/>
      <c r="N29" s="7"/>
      <c r="O29" s="7" t="s">
        <v>2266</v>
      </c>
      <c r="P29" s="6" t="str">
        <f t="shared" si="1"/>
        <v>Клемма PE для провода сечением 4кв.мм</v>
      </c>
      <c r="Q29" s="7"/>
      <c r="R29" s="7"/>
    </row>
    <row r="30" spans="3:26" x14ac:dyDescent="0.25">
      <c r="E30" s="235"/>
      <c r="F30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TS35ВинтоваяWeidmuellerPE6</v>
      </c>
      <c r="G30" s="7" t="s">
        <v>258</v>
      </c>
      <c r="H30" s="7" t="s">
        <v>242</v>
      </c>
      <c r="I30" s="7" t="s">
        <v>239</v>
      </c>
      <c r="J30" s="7" t="s">
        <v>484</v>
      </c>
      <c r="K30" s="7">
        <v>6</v>
      </c>
      <c r="L30" s="27" t="s">
        <v>279</v>
      </c>
      <c r="M30" s="7"/>
      <c r="N30" s="7"/>
      <c r="O30" s="7" t="s">
        <v>2266</v>
      </c>
      <c r="P30" s="7" t="str">
        <f t="shared" si="1"/>
        <v>Клемма PE для провода сечением 6кв.мм</v>
      </c>
      <c r="Q30" s="7"/>
      <c r="R30" s="7"/>
    </row>
    <row r="31" spans="3:26" x14ac:dyDescent="0.25">
      <c r="E31" s="230" t="str">
        <f>CONCATENATE('Рабочий стол'!AH9,'Рабочий стол'!AI9,'Рабочий стол'!AK9,'Рабочий стол'!AN2,'Рабочий стол'!AM9)</f>
        <v>TS35ВинтоваяWeidmuellerПроходная</v>
      </c>
      <c r="F31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TS35ВинтоваяWeidmuellerPE10</v>
      </c>
      <c r="G31" s="7" t="s">
        <v>258</v>
      </c>
      <c r="H31" s="7" t="s">
        <v>242</v>
      </c>
      <c r="I31" s="7" t="s">
        <v>239</v>
      </c>
      <c r="J31" s="7" t="s">
        <v>484</v>
      </c>
      <c r="K31" s="7">
        <v>10</v>
      </c>
      <c r="L31" s="27" t="s">
        <v>280</v>
      </c>
      <c r="M31" s="7"/>
      <c r="N31" s="7"/>
      <c r="O31" s="7" t="s">
        <v>2266</v>
      </c>
      <c r="P31" s="6" t="str">
        <f t="shared" si="1"/>
        <v>Клемма PE для провода сечением 10кв.мм</v>
      </c>
      <c r="Q31" s="7"/>
      <c r="R31" s="7"/>
    </row>
    <row r="32" spans="3:26" x14ac:dyDescent="0.25">
      <c r="C32" s="209" t="s">
        <v>2427</v>
      </c>
      <c r="E32" s="231" t="str">
        <f>CONCATENATE('Рабочий стол'!AH9,'Рабочий стол'!AI9,'Рабочий стол'!AK9,'Рабочий стол'!AP2,'Рабочий стол'!AM9)</f>
        <v>TS35ВинтоваяWeidmuellerN</v>
      </c>
      <c r="F32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TS35ВинтоваяWeidmuellerPE16</v>
      </c>
      <c r="G32" s="7" t="s">
        <v>258</v>
      </c>
      <c r="H32" s="7" t="s">
        <v>242</v>
      </c>
      <c r="I32" s="7" t="s">
        <v>239</v>
      </c>
      <c r="J32" s="7" t="s">
        <v>484</v>
      </c>
      <c r="K32" s="7">
        <v>16</v>
      </c>
      <c r="L32" s="27" t="s">
        <v>281</v>
      </c>
      <c r="M32" s="7"/>
      <c r="N32" s="7"/>
      <c r="O32" s="7" t="s">
        <v>2266</v>
      </c>
      <c r="P32" s="7" t="str">
        <f t="shared" si="1"/>
        <v>Клемма PE для провода сечением 16кв.мм</v>
      </c>
      <c r="Q32" s="7"/>
      <c r="R32" s="7"/>
    </row>
    <row r="33" spans="5:18" x14ac:dyDescent="0.25">
      <c r="E33" s="232" t="str">
        <f>CONCATENATE('Рабочий стол'!AH9,'Рабочий стол'!AI9,'Рабочий стол'!AK9,'Рабочий стол'!AR2,'Рабочий стол'!AM9)</f>
        <v>TS35ВинтоваяWeidmuellerPE</v>
      </c>
      <c r="F33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TS35ВинтоваяWeidmuellerPE35</v>
      </c>
      <c r="G33" s="7" t="s">
        <v>258</v>
      </c>
      <c r="H33" s="7" t="s">
        <v>242</v>
      </c>
      <c r="I33" s="7" t="s">
        <v>239</v>
      </c>
      <c r="J33" s="7" t="s">
        <v>484</v>
      </c>
      <c r="K33" s="7">
        <v>35</v>
      </c>
      <c r="L33" s="27" t="s">
        <v>282</v>
      </c>
      <c r="M33" s="7"/>
      <c r="N33" s="7"/>
      <c r="O33" s="7" t="s">
        <v>2266</v>
      </c>
      <c r="P33" s="6" t="str">
        <f t="shared" si="1"/>
        <v>Клемма PE для провода сечением 35кв.мм</v>
      </c>
      <c r="Q33" s="7"/>
      <c r="R33" s="7"/>
    </row>
    <row r="34" spans="5:18" x14ac:dyDescent="0.25">
      <c r="E34" s="233" t="str">
        <f>CONCATENATE('Рабочий стол'!AH9,'Рабочий стол'!AI9,'Рабочий стол'!AK9,'Рабочий стол'!AT2,'Рабочий стол'!AM9)</f>
        <v>TS35ВинтоваяWeidmuellerПеремычка</v>
      </c>
      <c r="F34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TS35ВинтоваяWeidmuellerPE50</v>
      </c>
      <c r="G34" s="7" t="s">
        <v>258</v>
      </c>
      <c r="H34" s="7" t="s">
        <v>242</v>
      </c>
      <c r="I34" s="7" t="s">
        <v>239</v>
      </c>
      <c r="J34" s="7" t="s">
        <v>484</v>
      </c>
      <c r="K34" s="7">
        <v>50</v>
      </c>
      <c r="L34" s="27" t="s">
        <v>283</v>
      </c>
      <c r="M34" s="7"/>
      <c r="N34" s="7"/>
      <c r="O34" s="7" t="s">
        <v>2266</v>
      </c>
      <c r="P34" s="7" t="str">
        <f t="shared" si="1"/>
        <v>Клемма PE для провода сечением 50кв.мм</v>
      </c>
      <c r="Q34" s="7"/>
      <c r="R34" s="7"/>
    </row>
    <row r="35" spans="5:18" x14ac:dyDescent="0.25">
      <c r="E35" s="231" t="str">
        <f>CONCATENATE('Рабочий стол'!AH10,'Рабочий стол'!AI10,'Рабочий стол'!AK10,'Рабочий стол'!AN2,'Рабочий стол'!AM10)</f>
        <v>TS35ВинтоваяWeidmuellerПроходная</v>
      </c>
      <c r="F35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TS35ВинтоваяWeidmuellerPE70</v>
      </c>
      <c r="G35" s="7" t="s">
        <v>258</v>
      </c>
      <c r="H35" s="7" t="s">
        <v>242</v>
      </c>
      <c r="I35" s="7" t="s">
        <v>239</v>
      </c>
      <c r="J35" s="7" t="s">
        <v>484</v>
      </c>
      <c r="K35" s="7">
        <v>70</v>
      </c>
      <c r="L35" s="27" t="s">
        <v>284</v>
      </c>
      <c r="M35" s="7"/>
      <c r="N35" s="7"/>
      <c r="O35" s="7" t="s">
        <v>2266</v>
      </c>
      <c r="P35" s="6" t="str">
        <f t="shared" si="1"/>
        <v>Клемма PE для провода сечением 70кв.мм</v>
      </c>
      <c r="Q35" s="7"/>
      <c r="R35" s="7"/>
    </row>
    <row r="36" spans="5:18" x14ac:dyDescent="0.25">
      <c r="E36" s="231" t="str">
        <f>CONCATENATE('Рабочий стол'!AH10,'Рабочий стол'!AI10,'Рабочий стол'!AK10,'Рабочий стол'!AP2,'Рабочий стол'!AM10)</f>
        <v>TS35ВинтоваяWeidmuellerN</v>
      </c>
      <c r="F3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TS35ВинтоваяWeidmuellerPE95</v>
      </c>
      <c r="G36" s="7" t="s">
        <v>258</v>
      </c>
      <c r="H36" s="7" t="s">
        <v>242</v>
      </c>
      <c r="I36" s="7" t="s">
        <v>239</v>
      </c>
      <c r="J36" s="7" t="s">
        <v>484</v>
      </c>
      <c r="K36" s="7">
        <v>95</v>
      </c>
      <c r="L36" s="27" t="s">
        <v>284</v>
      </c>
      <c r="M36" s="7"/>
      <c r="N36" s="7"/>
      <c r="O36" s="7" t="s">
        <v>2266</v>
      </c>
      <c r="P36" s="7" t="str">
        <f t="shared" si="1"/>
        <v>Клемма PE для провода сечением 95кв.мм</v>
      </c>
      <c r="Q36" s="7"/>
      <c r="R36" s="7"/>
    </row>
    <row r="37" spans="5:18" x14ac:dyDescent="0.25">
      <c r="E37" s="232" t="str">
        <f>CONCATENATE('Рабочий стол'!AH10,'Рабочий стол'!AI10,'Рабочий стол'!AK10,'Рабочий стол'!AR2,'Рабочий стол'!AM10)</f>
        <v>TS35ВинтоваяWeidmuellerPE</v>
      </c>
      <c r="F3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TS35ВинтоваяWeidmuellerPE120</v>
      </c>
      <c r="G37" s="7" t="s">
        <v>258</v>
      </c>
      <c r="H37" s="7" t="s">
        <v>242</v>
      </c>
      <c r="I37" s="7" t="s">
        <v>239</v>
      </c>
      <c r="J37" s="7" t="s">
        <v>484</v>
      </c>
      <c r="K37" s="7">
        <v>120</v>
      </c>
      <c r="L37" s="27" t="s">
        <v>285</v>
      </c>
      <c r="M37" s="7"/>
      <c r="N37" s="7"/>
      <c r="O37" s="7" t="s">
        <v>2266</v>
      </c>
      <c r="P37" s="6" t="str">
        <f t="shared" ref="P37:P68" si="3">CONCATENATE(O36," ",J37," для провода сечением ",K37,"кв.мм")</f>
        <v>Клемма PE для провода сечением 120кв.мм</v>
      </c>
      <c r="Q37" s="7"/>
      <c r="R37" s="7"/>
    </row>
    <row r="38" spans="5:18" x14ac:dyDescent="0.25">
      <c r="E38" s="233" t="str">
        <f>CONCATENATE('Рабочий стол'!AH10,'Рабочий стол'!AI10,'Рабочий стол'!AK10,'Рабочий стол'!AT2,'Рабочий стол'!AM10)</f>
        <v>TS35ВинтоваяWeidmuellerПеремычка</v>
      </c>
      <c r="F3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TS15ВинтоваяWeidmuellerпроходная2,5</v>
      </c>
      <c r="G38" s="7" t="s">
        <v>257</v>
      </c>
      <c r="H38" s="7" t="s">
        <v>242</v>
      </c>
      <c r="I38" s="7" t="s">
        <v>239</v>
      </c>
      <c r="J38" s="7" t="s">
        <v>2267</v>
      </c>
      <c r="K38" s="24">
        <v>2.5</v>
      </c>
      <c r="L38" s="24" t="s">
        <v>288</v>
      </c>
      <c r="M38" s="7"/>
      <c r="N38" s="7"/>
      <c r="O38" s="7" t="s">
        <v>2266</v>
      </c>
      <c r="P38" s="7" t="str">
        <f t="shared" si="3"/>
        <v>Клемма проходная для провода сечением 2,5кв.мм</v>
      </c>
      <c r="Q38" s="7"/>
      <c r="R38" s="7"/>
    </row>
    <row r="39" spans="5:18" x14ac:dyDescent="0.25">
      <c r="F39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TS15ВинтоваяWeidmuellerпроходная4</v>
      </c>
      <c r="G39" s="7" t="s">
        <v>257</v>
      </c>
      <c r="H39" s="7" t="s">
        <v>242</v>
      </c>
      <c r="I39" s="7" t="s">
        <v>239</v>
      </c>
      <c r="J39" s="7" t="s">
        <v>2267</v>
      </c>
      <c r="K39" s="24">
        <v>4</v>
      </c>
      <c r="L39" s="24" t="s">
        <v>291</v>
      </c>
      <c r="M39" s="7"/>
      <c r="N39" s="7"/>
      <c r="O39" s="7" t="s">
        <v>2266</v>
      </c>
      <c r="P39" s="6" t="str">
        <f t="shared" si="3"/>
        <v>Клемма проходная для провода сечением 4кв.мм</v>
      </c>
      <c r="Q39" s="7"/>
      <c r="R39" s="7"/>
    </row>
    <row r="40" spans="5:18" x14ac:dyDescent="0.25">
      <c r="F40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TS15ВинтоваяWeidmuellerN2,5</v>
      </c>
      <c r="G40" s="7" t="s">
        <v>257</v>
      </c>
      <c r="H40" s="7" t="s">
        <v>242</v>
      </c>
      <c r="I40" s="7" t="s">
        <v>239</v>
      </c>
      <c r="J40" s="7" t="s">
        <v>532</v>
      </c>
      <c r="K40" s="24">
        <v>2.5</v>
      </c>
      <c r="L40" s="24" t="s">
        <v>290</v>
      </c>
      <c r="M40" s="7"/>
      <c r="N40" s="7"/>
      <c r="O40" s="7" t="s">
        <v>2266</v>
      </c>
      <c r="P40" s="7" t="str">
        <f t="shared" si="3"/>
        <v>Клемма N для провода сечением 2,5кв.мм</v>
      </c>
      <c r="Q40" s="7"/>
      <c r="R40" s="7"/>
    </row>
    <row r="41" spans="5:18" x14ac:dyDescent="0.25">
      <c r="F41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TS15ВинтоваяWeidmuellerN4</v>
      </c>
      <c r="G41" s="7" t="s">
        <v>257</v>
      </c>
      <c r="H41" s="7" t="s">
        <v>242</v>
      </c>
      <c r="I41" s="7" t="s">
        <v>239</v>
      </c>
      <c r="J41" s="7" t="s">
        <v>532</v>
      </c>
      <c r="K41" s="24">
        <v>4</v>
      </c>
      <c r="L41" s="24" t="s">
        <v>293</v>
      </c>
      <c r="M41" s="7"/>
      <c r="N41" s="7"/>
      <c r="O41" s="7" t="s">
        <v>2266</v>
      </c>
      <c r="P41" s="6" t="str">
        <f t="shared" si="3"/>
        <v>Клемма N для провода сечением 4кв.мм</v>
      </c>
      <c r="Q41" s="7"/>
      <c r="R41" s="7"/>
    </row>
    <row r="42" spans="5:18" x14ac:dyDescent="0.25">
      <c r="F42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TS15ВинтоваяWeidmuellerPE2,5</v>
      </c>
      <c r="G42" s="7" t="s">
        <v>257</v>
      </c>
      <c r="H42" s="7" t="s">
        <v>242</v>
      </c>
      <c r="I42" s="7" t="s">
        <v>239</v>
      </c>
      <c r="J42" s="7" t="s">
        <v>484</v>
      </c>
      <c r="K42" s="24">
        <v>2.5</v>
      </c>
      <c r="L42" s="24" t="s">
        <v>289</v>
      </c>
      <c r="M42" s="7"/>
      <c r="N42" s="7"/>
      <c r="O42" s="7" t="s">
        <v>2266</v>
      </c>
      <c r="P42" s="7" t="str">
        <f t="shared" si="3"/>
        <v>Клемма PE для провода сечением 2,5кв.мм</v>
      </c>
      <c r="Q42" s="7"/>
      <c r="R42" s="7"/>
    </row>
    <row r="43" spans="5:18" x14ac:dyDescent="0.25">
      <c r="F43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TS15ВинтоваяWeidmuellerPE4</v>
      </c>
      <c r="G43" s="7" t="s">
        <v>257</v>
      </c>
      <c r="H43" s="7" t="s">
        <v>242</v>
      </c>
      <c r="I43" s="7" t="s">
        <v>239</v>
      </c>
      <c r="J43" s="7" t="s">
        <v>484</v>
      </c>
      <c r="K43" s="24">
        <v>4</v>
      </c>
      <c r="L43" s="24" t="s">
        <v>292</v>
      </c>
      <c r="M43" s="7"/>
      <c r="N43" s="7"/>
      <c r="O43" s="7" t="s">
        <v>2266</v>
      </c>
      <c r="P43" s="6" t="str">
        <f t="shared" si="3"/>
        <v>Клемма PE для провода сечением 4кв.мм</v>
      </c>
      <c r="Q43" s="7"/>
      <c r="R43" s="7"/>
    </row>
    <row r="44" spans="5:18" x14ac:dyDescent="0.25">
      <c r="F44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TS35ПружиннаяWeidmuellerпроходная1,5</v>
      </c>
      <c r="G44" s="7" t="s">
        <v>258</v>
      </c>
      <c r="H44" s="7" t="s">
        <v>243</v>
      </c>
      <c r="I44" s="7" t="s">
        <v>239</v>
      </c>
      <c r="J44" s="7" t="s">
        <v>2267</v>
      </c>
      <c r="K44" s="11">
        <v>1.5</v>
      </c>
      <c r="L44" s="11" t="s">
        <v>306</v>
      </c>
      <c r="M44" s="7"/>
      <c r="N44" s="7"/>
      <c r="O44" s="7" t="s">
        <v>2266</v>
      </c>
      <c r="P44" s="7" t="str">
        <f t="shared" si="3"/>
        <v>Клемма проходная для провода сечением 1,5кв.мм</v>
      </c>
      <c r="Q44" s="7"/>
      <c r="R44" s="7"/>
    </row>
    <row r="45" spans="5:18" x14ac:dyDescent="0.25">
      <c r="F45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TS35ПружиннаяWeidmuellerпроходная2,5</v>
      </c>
      <c r="G45" s="7" t="s">
        <v>258</v>
      </c>
      <c r="H45" s="7" t="s">
        <v>243</v>
      </c>
      <c r="I45" s="7" t="s">
        <v>239</v>
      </c>
      <c r="J45" s="7" t="s">
        <v>2267</v>
      </c>
      <c r="K45" s="27">
        <v>2.5</v>
      </c>
      <c r="L45" s="27" t="s">
        <v>310</v>
      </c>
      <c r="M45" s="7"/>
      <c r="N45" s="7"/>
      <c r="O45" s="7" t="s">
        <v>2266</v>
      </c>
      <c r="P45" s="6" t="str">
        <f t="shared" si="3"/>
        <v>Клемма проходная для провода сечением 2,5кв.мм</v>
      </c>
      <c r="Q45" s="7"/>
      <c r="R45" s="7"/>
    </row>
    <row r="46" spans="5:18" x14ac:dyDescent="0.25">
      <c r="F4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TS35ПружиннаяWeidmuellerпроходная4</v>
      </c>
      <c r="G46" s="7" t="s">
        <v>258</v>
      </c>
      <c r="H46" s="7" t="s">
        <v>243</v>
      </c>
      <c r="I46" s="7" t="s">
        <v>239</v>
      </c>
      <c r="J46" s="7" t="s">
        <v>2267</v>
      </c>
      <c r="K46" s="11">
        <v>4</v>
      </c>
      <c r="L46" s="11" t="s">
        <v>314</v>
      </c>
      <c r="M46" s="7"/>
      <c r="N46" s="7"/>
      <c r="O46" s="7" t="s">
        <v>2266</v>
      </c>
      <c r="P46" s="7" t="str">
        <f t="shared" si="3"/>
        <v>Клемма проходная для провода сечением 4кв.мм</v>
      </c>
      <c r="Q46" s="7"/>
      <c r="R46" s="7"/>
    </row>
    <row r="47" spans="5:18" x14ac:dyDescent="0.25">
      <c r="F4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TS35ПружиннаяWeidmuellerпроходная6</v>
      </c>
      <c r="G47" s="7" t="s">
        <v>258</v>
      </c>
      <c r="H47" s="7" t="s">
        <v>243</v>
      </c>
      <c r="I47" s="7" t="s">
        <v>239</v>
      </c>
      <c r="J47" s="7" t="s">
        <v>2267</v>
      </c>
      <c r="K47" s="27">
        <v>6</v>
      </c>
      <c r="L47" s="27" t="s">
        <v>318</v>
      </c>
      <c r="M47" s="7"/>
      <c r="N47" s="7"/>
      <c r="O47" s="7" t="s">
        <v>2266</v>
      </c>
      <c r="P47" s="6" t="str">
        <f t="shared" si="3"/>
        <v>Клемма проходная для провода сечением 6кв.мм</v>
      </c>
      <c r="Q47" s="7"/>
      <c r="R47" s="7"/>
    </row>
    <row r="48" spans="5:18" x14ac:dyDescent="0.25">
      <c r="F4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TS35ПружиннаяWeidmuellerпроходная10</v>
      </c>
      <c r="G48" s="7" t="s">
        <v>258</v>
      </c>
      <c r="H48" s="7" t="s">
        <v>243</v>
      </c>
      <c r="I48" s="7" t="s">
        <v>239</v>
      </c>
      <c r="J48" s="7" t="s">
        <v>2267</v>
      </c>
      <c r="K48" s="11">
        <v>10</v>
      </c>
      <c r="L48" s="11" t="s">
        <v>322</v>
      </c>
      <c r="M48" s="24"/>
      <c r="N48" s="7"/>
      <c r="O48" s="7" t="s">
        <v>2266</v>
      </c>
      <c r="P48" s="7" t="str">
        <f t="shared" si="3"/>
        <v>Клемма проходная для провода сечением 10кв.мм</v>
      </c>
      <c r="Q48" s="7"/>
      <c r="R48" s="7"/>
    </row>
    <row r="49" spans="6:18" x14ac:dyDescent="0.25">
      <c r="F49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TS35ПружиннаяWeidmuellerпроходная16</v>
      </c>
      <c r="G49" s="7" t="s">
        <v>258</v>
      </c>
      <c r="H49" s="7" t="s">
        <v>243</v>
      </c>
      <c r="I49" s="7" t="s">
        <v>239</v>
      </c>
      <c r="J49" s="7" t="s">
        <v>2267</v>
      </c>
      <c r="K49" s="27">
        <v>16</v>
      </c>
      <c r="L49" s="27" t="s">
        <v>326</v>
      </c>
      <c r="M49" s="24"/>
      <c r="N49" s="7"/>
      <c r="O49" s="7" t="s">
        <v>2266</v>
      </c>
      <c r="P49" s="6" t="str">
        <f t="shared" si="3"/>
        <v>Клемма проходная для провода сечением 16кв.мм</v>
      </c>
      <c r="Q49" s="7"/>
      <c r="R49" s="7"/>
    </row>
    <row r="50" spans="6:18" x14ac:dyDescent="0.25">
      <c r="F50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TS35ПружиннаяWeidmuellerпроходная35</v>
      </c>
      <c r="G50" s="7" t="s">
        <v>258</v>
      </c>
      <c r="H50" s="7" t="s">
        <v>243</v>
      </c>
      <c r="I50" s="7" t="s">
        <v>239</v>
      </c>
      <c r="J50" s="7" t="s">
        <v>2267</v>
      </c>
      <c r="K50" s="11">
        <v>35</v>
      </c>
      <c r="L50" s="11" t="s">
        <v>330</v>
      </c>
      <c r="M50" s="7"/>
      <c r="N50" s="7"/>
      <c r="O50" s="7" t="s">
        <v>2266</v>
      </c>
      <c r="P50" s="7" t="str">
        <f t="shared" si="3"/>
        <v>Клемма проходная для провода сечением 35кв.мм</v>
      </c>
      <c r="Q50" s="7"/>
      <c r="R50" s="7"/>
    </row>
    <row r="51" spans="6:18" x14ac:dyDescent="0.25">
      <c r="F51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TS35ПружиннаяWeidmuellerPE1,5</v>
      </c>
      <c r="G51" s="7" t="s">
        <v>258</v>
      </c>
      <c r="H51" s="7" t="s">
        <v>243</v>
      </c>
      <c r="I51" s="7" t="s">
        <v>239</v>
      </c>
      <c r="J51" s="7" t="s">
        <v>484</v>
      </c>
      <c r="K51" s="11">
        <v>1.5</v>
      </c>
      <c r="L51" s="11" t="s">
        <v>307</v>
      </c>
      <c r="M51" s="11" t="s">
        <v>309</v>
      </c>
      <c r="N51" s="7"/>
      <c r="O51" s="7" t="s">
        <v>2266</v>
      </c>
      <c r="P51" s="6" t="str">
        <f t="shared" si="3"/>
        <v>Клемма PE для провода сечением 1,5кв.мм</v>
      </c>
      <c r="Q51" s="7"/>
      <c r="R51" s="7"/>
    </row>
    <row r="52" spans="6:18" x14ac:dyDescent="0.25">
      <c r="F52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TS35ПружиннаяWeidmuellerPE2,5</v>
      </c>
      <c r="G52" s="7" t="s">
        <v>258</v>
      </c>
      <c r="H52" s="7" t="s">
        <v>243</v>
      </c>
      <c r="I52" s="7" t="s">
        <v>239</v>
      </c>
      <c r="J52" s="7" t="s">
        <v>484</v>
      </c>
      <c r="K52" s="27">
        <v>2.5</v>
      </c>
      <c r="L52" s="27" t="s">
        <v>311</v>
      </c>
      <c r="M52" s="11" t="s">
        <v>313</v>
      </c>
      <c r="N52" s="7"/>
      <c r="O52" s="7" t="s">
        <v>2266</v>
      </c>
      <c r="P52" s="7" t="str">
        <f t="shared" si="3"/>
        <v>Клемма PE для провода сечением 2,5кв.мм</v>
      </c>
      <c r="Q52" s="7"/>
      <c r="R52" s="7"/>
    </row>
    <row r="53" spans="6:18" x14ac:dyDescent="0.25">
      <c r="F53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TS35ПружиннаяWeidmuellerPE4</v>
      </c>
      <c r="G53" s="7" t="s">
        <v>258</v>
      </c>
      <c r="H53" s="7" t="s">
        <v>243</v>
      </c>
      <c r="I53" s="7" t="s">
        <v>239</v>
      </c>
      <c r="J53" s="7" t="s">
        <v>484</v>
      </c>
      <c r="K53" s="11">
        <v>4</v>
      </c>
      <c r="L53" s="11" t="s">
        <v>315</v>
      </c>
      <c r="M53" s="11" t="s">
        <v>317</v>
      </c>
      <c r="N53" s="7"/>
      <c r="O53" s="7" t="s">
        <v>2266</v>
      </c>
      <c r="P53" s="6" t="str">
        <f t="shared" si="3"/>
        <v>Клемма PE для провода сечением 4кв.мм</v>
      </c>
      <c r="Q53" s="7"/>
      <c r="R53" s="7"/>
    </row>
    <row r="54" spans="6:18" x14ac:dyDescent="0.25">
      <c r="F54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TS35ПружиннаяWeidmuellerPE6</v>
      </c>
      <c r="G54" s="7" t="s">
        <v>258</v>
      </c>
      <c r="H54" s="7" t="s">
        <v>243</v>
      </c>
      <c r="I54" s="7" t="s">
        <v>239</v>
      </c>
      <c r="J54" s="7" t="s">
        <v>484</v>
      </c>
      <c r="K54" s="27">
        <v>6</v>
      </c>
      <c r="L54" s="27" t="s">
        <v>319</v>
      </c>
      <c r="M54" s="11" t="s">
        <v>321</v>
      </c>
      <c r="N54" s="7"/>
      <c r="O54" s="7" t="s">
        <v>2266</v>
      </c>
      <c r="P54" s="7" t="str">
        <f t="shared" si="3"/>
        <v>Клемма PE для провода сечением 6кв.мм</v>
      </c>
      <c r="Q54" s="7"/>
      <c r="R54" s="7"/>
    </row>
    <row r="55" spans="6:18" x14ac:dyDescent="0.25">
      <c r="F55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TS35ПружиннаяWeidmuellerPE10</v>
      </c>
      <c r="G55" s="7" t="s">
        <v>258</v>
      </c>
      <c r="H55" s="7" t="s">
        <v>243</v>
      </c>
      <c r="I55" s="7" t="s">
        <v>239</v>
      </c>
      <c r="J55" s="7" t="s">
        <v>484</v>
      </c>
      <c r="K55" s="11">
        <v>10</v>
      </c>
      <c r="L55" s="11" t="s">
        <v>323</v>
      </c>
      <c r="M55" s="11" t="s">
        <v>325</v>
      </c>
      <c r="N55" s="7"/>
      <c r="O55" s="7" t="s">
        <v>2266</v>
      </c>
      <c r="P55" s="6" t="str">
        <f t="shared" si="3"/>
        <v>Клемма PE для провода сечением 10кв.мм</v>
      </c>
      <c r="Q55" s="7"/>
      <c r="R55" s="7"/>
    </row>
    <row r="56" spans="6:18" x14ac:dyDescent="0.25">
      <c r="F5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TS35ПружиннаяWeidmuellerPE16</v>
      </c>
      <c r="G56" s="7" t="s">
        <v>258</v>
      </c>
      <c r="H56" s="7" t="s">
        <v>243</v>
      </c>
      <c r="I56" s="7" t="s">
        <v>239</v>
      </c>
      <c r="J56" s="7" t="s">
        <v>484</v>
      </c>
      <c r="K56" s="27">
        <v>16</v>
      </c>
      <c r="L56" s="27" t="s">
        <v>327</v>
      </c>
      <c r="M56" s="11" t="s">
        <v>329</v>
      </c>
      <c r="N56" s="7"/>
      <c r="O56" s="7" t="s">
        <v>2266</v>
      </c>
      <c r="P56" s="7" t="str">
        <f t="shared" si="3"/>
        <v>Клемма PE для провода сечением 16кв.мм</v>
      </c>
      <c r="Q56" s="7"/>
      <c r="R56" s="7"/>
    </row>
    <row r="57" spans="6:18" x14ac:dyDescent="0.25">
      <c r="F5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TS35ПружиннаяWeidmuellerPE35</v>
      </c>
      <c r="G57" s="7" t="s">
        <v>258</v>
      </c>
      <c r="H57" s="7" t="s">
        <v>243</v>
      </c>
      <c r="I57" s="7" t="s">
        <v>239</v>
      </c>
      <c r="J57" s="7" t="s">
        <v>484</v>
      </c>
      <c r="K57" s="11">
        <v>35</v>
      </c>
      <c r="L57" s="11" t="s">
        <v>331</v>
      </c>
      <c r="M57" s="7"/>
      <c r="N57" s="7"/>
      <c r="O57" s="7" t="s">
        <v>2266</v>
      </c>
      <c r="P57" s="6" t="str">
        <f t="shared" si="3"/>
        <v>Клемма PE для провода сечением 35кв.мм</v>
      </c>
      <c r="Q57" s="7"/>
      <c r="R57" s="7"/>
    </row>
    <row r="58" spans="6:18" x14ac:dyDescent="0.25">
      <c r="F5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TS35ПружиннаяWeidmuellerпроходная1,5</v>
      </c>
      <c r="G58" s="7" t="s">
        <v>258</v>
      </c>
      <c r="H58" s="7" t="s">
        <v>243</v>
      </c>
      <c r="I58" s="7" t="s">
        <v>239</v>
      </c>
      <c r="J58" s="7" t="s">
        <v>2267</v>
      </c>
      <c r="K58" s="11">
        <v>1.5</v>
      </c>
      <c r="L58" s="11" t="s">
        <v>308</v>
      </c>
      <c r="M58" s="7"/>
      <c r="N58" s="7"/>
      <c r="O58" s="7" t="s">
        <v>2266</v>
      </c>
      <c r="P58" s="7" t="str">
        <f t="shared" si="3"/>
        <v>Клемма проходная для провода сечением 1,5кв.мм</v>
      </c>
      <c r="Q58" s="7"/>
      <c r="R58" s="7"/>
    </row>
    <row r="59" spans="6:18" x14ac:dyDescent="0.25">
      <c r="F59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TS35ПружиннаяWeidmuellerпроходная2,5</v>
      </c>
      <c r="G59" s="7" t="s">
        <v>258</v>
      </c>
      <c r="H59" s="7" t="s">
        <v>243</v>
      </c>
      <c r="I59" s="7" t="s">
        <v>239</v>
      </c>
      <c r="J59" s="7" t="s">
        <v>2267</v>
      </c>
      <c r="K59" s="27">
        <v>2.5</v>
      </c>
      <c r="L59" s="27" t="s">
        <v>312</v>
      </c>
      <c r="M59" s="7"/>
      <c r="N59" s="7"/>
      <c r="O59" s="7" t="s">
        <v>2266</v>
      </c>
      <c r="P59" s="6" t="str">
        <f t="shared" si="3"/>
        <v>Клемма проходная для провода сечением 2,5кв.мм</v>
      </c>
      <c r="Q59" s="7"/>
      <c r="R59" s="7"/>
    </row>
    <row r="60" spans="6:18" x14ac:dyDescent="0.25">
      <c r="F60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TS35ПружиннаяWeidmuellerпроходная4</v>
      </c>
      <c r="G60" s="7" t="s">
        <v>258</v>
      </c>
      <c r="H60" s="7" t="s">
        <v>243</v>
      </c>
      <c r="I60" s="7" t="s">
        <v>239</v>
      </c>
      <c r="J60" s="7" t="s">
        <v>2267</v>
      </c>
      <c r="K60" s="11">
        <v>4</v>
      </c>
      <c r="L60" s="11" t="s">
        <v>316</v>
      </c>
      <c r="M60" s="7"/>
      <c r="N60" s="7"/>
      <c r="O60" s="7" t="s">
        <v>2266</v>
      </c>
      <c r="P60" s="7" t="str">
        <f t="shared" si="3"/>
        <v>Клемма проходная для провода сечением 4кв.мм</v>
      </c>
      <c r="Q60" s="7"/>
      <c r="R60" s="7"/>
    </row>
    <row r="61" spans="6:18" x14ac:dyDescent="0.25">
      <c r="F61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TS35ПружиннаяWeidmuellerпроходная6</v>
      </c>
      <c r="G61" s="7" t="s">
        <v>258</v>
      </c>
      <c r="H61" s="7" t="s">
        <v>243</v>
      </c>
      <c r="I61" s="7" t="s">
        <v>239</v>
      </c>
      <c r="J61" s="7" t="s">
        <v>2267</v>
      </c>
      <c r="K61" s="27">
        <v>6</v>
      </c>
      <c r="L61" s="27" t="s">
        <v>320</v>
      </c>
      <c r="M61" s="7"/>
      <c r="N61" s="7"/>
      <c r="O61" s="7" t="s">
        <v>2266</v>
      </c>
      <c r="P61" s="6" t="str">
        <f t="shared" si="3"/>
        <v>Клемма проходная для провода сечением 6кв.мм</v>
      </c>
      <c r="Q61" s="7"/>
      <c r="R61" s="7"/>
    </row>
    <row r="62" spans="6:18" x14ac:dyDescent="0.25">
      <c r="F62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TS35ПружиннаяWeidmuellerпроходная10</v>
      </c>
      <c r="G62" s="7" t="s">
        <v>258</v>
      </c>
      <c r="H62" s="7" t="s">
        <v>243</v>
      </c>
      <c r="I62" s="7" t="s">
        <v>239</v>
      </c>
      <c r="J62" s="7" t="s">
        <v>2267</v>
      </c>
      <c r="K62" s="11">
        <v>10</v>
      </c>
      <c r="L62" s="11" t="s">
        <v>324</v>
      </c>
      <c r="M62" s="7"/>
      <c r="N62" s="7"/>
      <c r="O62" s="7" t="s">
        <v>2266</v>
      </c>
      <c r="P62" s="7" t="str">
        <f t="shared" si="3"/>
        <v>Клемма проходная для провода сечением 10кв.мм</v>
      </c>
      <c r="Q62" s="7"/>
      <c r="R62" s="7"/>
    </row>
    <row r="63" spans="6:18" x14ac:dyDescent="0.25">
      <c r="F63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TS35ПружиннаяWeidmuellerпроходная16</v>
      </c>
      <c r="G63" s="7" t="s">
        <v>258</v>
      </c>
      <c r="H63" s="7" t="s">
        <v>243</v>
      </c>
      <c r="I63" s="7" t="s">
        <v>239</v>
      </c>
      <c r="J63" s="7" t="s">
        <v>2267</v>
      </c>
      <c r="K63" s="27">
        <v>16</v>
      </c>
      <c r="L63" s="27" t="s">
        <v>328</v>
      </c>
      <c r="M63" s="7"/>
      <c r="N63" s="7"/>
      <c r="O63" s="7" t="s">
        <v>2266</v>
      </c>
      <c r="P63" s="6" t="str">
        <f t="shared" si="3"/>
        <v>Клемма проходная для провода сечением 16кв.мм</v>
      </c>
      <c r="Q63" s="7"/>
      <c r="R63" s="7"/>
    </row>
    <row r="64" spans="6:18" x14ac:dyDescent="0.25">
      <c r="F64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TS35ПружиннаяWeidmuellerпроходная35</v>
      </c>
      <c r="G64" s="7" t="s">
        <v>258</v>
      </c>
      <c r="H64" s="7" t="s">
        <v>243</v>
      </c>
      <c r="I64" s="7" t="s">
        <v>239</v>
      </c>
      <c r="J64" s="7" t="s">
        <v>2267</v>
      </c>
      <c r="K64" s="11">
        <v>35</v>
      </c>
      <c r="L64" s="11" t="s">
        <v>332</v>
      </c>
      <c r="M64" s="7"/>
      <c r="N64" s="7"/>
      <c r="O64" s="7" t="s">
        <v>2266</v>
      </c>
      <c r="P64" s="7" t="str">
        <f t="shared" si="3"/>
        <v>Клемма проходная для провода сечением 35кв.мм</v>
      </c>
      <c r="Q64" s="7"/>
      <c r="R64" s="7"/>
    </row>
    <row r="65" spans="6:18" x14ac:dyDescent="0.25">
      <c r="F65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TS35ПружиннаяWeidmuellerN1,5</v>
      </c>
      <c r="G65" s="7" t="s">
        <v>258</v>
      </c>
      <c r="H65" s="7" t="s">
        <v>243</v>
      </c>
      <c r="I65" s="7" t="s">
        <v>239</v>
      </c>
      <c r="J65" s="7" t="s">
        <v>532</v>
      </c>
      <c r="K65" s="11">
        <v>1.5</v>
      </c>
      <c r="L65" s="11" t="s">
        <v>308</v>
      </c>
      <c r="M65" s="7"/>
      <c r="N65" s="7"/>
      <c r="O65" s="7" t="s">
        <v>2266</v>
      </c>
      <c r="P65" s="6" t="str">
        <f t="shared" si="3"/>
        <v>Клемма N для провода сечением 1,5кв.мм</v>
      </c>
      <c r="Q65" s="7"/>
      <c r="R65" s="7"/>
    </row>
    <row r="66" spans="6:18" x14ac:dyDescent="0.25">
      <c r="F6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TS35ПружиннаяWeidmuellerN2,5</v>
      </c>
      <c r="G66" s="7" t="s">
        <v>258</v>
      </c>
      <c r="H66" s="7" t="s">
        <v>243</v>
      </c>
      <c r="I66" s="7" t="s">
        <v>239</v>
      </c>
      <c r="J66" s="7" t="s">
        <v>532</v>
      </c>
      <c r="K66" s="27">
        <v>2.5</v>
      </c>
      <c r="L66" s="27" t="s">
        <v>312</v>
      </c>
      <c r="M66" s="7"/>
      <c r="N66" s="7"/>
      <c r="O66" s="7" t="s">
        <v>2266</v>
      </c>
      <c r="P66" s="7" t="str">
        <f t="shared" si="3"/>
        <v>Клемма N для провода сечением 2,5кв.мм</v>
      </c>
      <c r="Q66" s="7"/>
      <c r="R66" s="7"/>
    </row>
    <row r="67" spans="6:18" x14ac:dyDescent="0.25">
      <c r="F6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TS35ПружиннаяWeidmuellerN4</v>
      </c>
      <c r="G67" s="7" t="s">
        <v>258</v>
      </c>
      <c r="H67" s="7" t="s">
        <v>243</v>
      </c>
      <c r="I67" s="7" t="s">
        <v>239</v>
      </c>
      <c r="J67" s="7" t="s">
        <v>532</v>
      </c>
      <c r="K67" s="11">
        <v>4</v>
      </c>
      <c r="L67" s="11" t="s">
        <v>316</v>
      </c>
      <c r="M67" s="7"/>
      <c r="N67" s="7"/>
      <c r="O67" s="7" t="s">
        <v>2266</v>
      </c>
      <c r="P67" s="6" t="str">
        <f t="shared" si="3"/>
        <v>Клемма N для провода сечением 4кв.мм</v>
      </c>
      <c r="Q67" s="7"/>
      <c r="R67" s="7"/>
    </row>
    <row r="68" spans="6:18" x14ac:dyDescent="0.25">
      <c r="F6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TS35ПружиннаяWeidmuellerN6</v>
      </c>
      <c r="G68" s="7" t="s">
        <v>258</v>
      </c>
      <c r="H68" s="7" t="s">
        <v>243</v>
      </c>
      <c r="I68" s="7" t="s">
        <v>239</v>
      </c>
      <c r="J68" s="7" t="s">
        <v>532</v>
      </c>
      <c r="K68" s="27">
        <v>6</v>
      </c>
      <c r="L68" s="27" t="s">
        <v>320</v>
      </c>
      <c r="M68" s="7"/>
      <c r="N68" s="7"/>
      <c r="O68" s="7" t="s">
        <v>2266</v>
      </c>
      <c r="P68" s="7" t="str">
        <f t="shared" si="3"/>
        <v>Клемма N для провода сечением 6кв.мм</v>
      </c>
      <c r="Q68" s="7"/>
      <c r="R68" s="7"/>
    </row>
    <row r="69" spans="6:18" x14ac:dyDescent="0.25">
      <c r="F69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TS35ПружиннаяWeidmuellerN10</v>
      </c>
      <c r="G69" s="7" t="s">
        <v>258</v>
      </c>
      <c r="H69" s="7" t="s">
        <v>243</v>
      </c>
      <c r="I69" s="7" t="s">
        <v>239</v>
      </c>
      <c r="J69" s="7" t="s">
        <v>532</v>
      </c>
      <c r="K69" s="11">
        <v>10</v>
      </c>
      <c r="L69" s="11" t="s">
        <v>324</v>
      </c>
      <c r="M69" s="7"/>
      <c r="N69" s="7"/>
      <c r="O69" s="7" t="s">
        <v>2266</v>
      </c>
      <c r="P69" s="6" t="str">
        <f t="shared" ref="P69:P100" si="4">CONCATENATE(O68," ",J69," для провода сечением ",K69,"кв.мм")</f>
        <v>Клемма N для провода сечением 10кв.мм</v>
      </c>
      <c r="Q69" s="7"/>
      <c r="R69" s="7"/>
    </row>
    <row r="70" spans="6:18" x14ac:dyDescent="0.25">
      <c r="F70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TS35ПружиннаяWeidmuellerN16</v>
      </c>
      <c r="G70" s="7" t="s">
        <v>258</v>
      </c>
      <c r="H70" s="7" t="s">
        <v>243</v>
      </c>
      <c r="I70" s="7" t="s">
        <v>239</v>
      </c>
      <c r="J70" s="7" t="s">
        <v>532</v>
      </c>
      <c r="K70" s="27">
        <v>16</v>
      </c>
      <c r="L70" s="27" t="s">
        <v>328</v>
      </c>
      <c r="M70" s="7"/>
      <c r="N70" s="7"/>
      <c r="O70" s="7" t="s">
        <v>2266</v>
      </c>
      <c r="P70" s="7" t="str">
        <f t="shared" si="4"/>
        <v>Клемма N для провода сечением 16кв.мм</v>
      </c>
      <c r="Q70" s="7"/>
      <c r="R70" s="7"/>
    </row>
    <row r="71" spans="6:18" x14ac:dyDescent="0.25">
      <c r="F71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TS35ПружиннаяWeidmuellerN35</v>
      </c>
      <c r="G71" s="7" t="s">
        <v>258</v>
      </c>
      <c r="H71" s="7" t="s">
        <v>243</v>
      </c>
      <c r="I71" s="7" t="s">
        <v>239</v>
      </c>
      <c r="J71" s="7" t="s">
        <v>532</v>
      </c>
      <c r="K71" s="11">
        <v>35</v>
      </c>
      <c r="L71" s="11" t="s">
        <v>332</v>
      </c>
      <c r="M71" s="7"/>
      <c r="N71" s="7"/>
      <c r="O71" s="7" t="s">
        <v>2266</v>
      </c>
      <c r="P71" s="6" t="str">
        <f t="shared" si="4"/>
        <v>Клемма N для провода сечением 35кв.мм</v>
      </c>
      <c r="Q71" s="7"/>
      <c r="R71" s="7"/>
    </row>
    <row r="72" spans="6:18" x14ac:dyDescent="0.25">
      <c r="F72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ВинтоваяPhoenix contactпроходная2,5</v>
      </c>
      <c r="G72" s="7"/>
      <c r="H72" s="7" t="s">
        <v>242</v>
      </c>
      <c r="I72" s="7" t="s">
        <v>240</v>
      </c>
      <c r="J72" s="7" t="s">
        <v>2267</v>
      </c>
      <c r="K72" s="24">
        <v>2.5</v>
      </c>
      <c r="L72" s="24" t="s">
        <v>294</v>
      </c>
      <c r="M72" s="7"/>
      <c r="N72" s="7"/>
      <c r="O72" s="7" t="s">
        <v>2266</v>
      </c>
      <c r="P72" s="7" t="str">
        <f t="shared" si="4"/>
        <v>Клемма проходная для провода сечением 2,5кв.мм</v>
      </c>
      <c r="Q72" s="7"/>
      <c r="R72" s="7"/>
    </row>
    <row r="73" spans="6:18" x14ac:dyDescent="0.25">
      <c r="F73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contactпроходная4</v>
      </c>
      <c r="G73" s="7"/>
      <c r="H73" s="7"/>
      <c r="I73" s="7" t="s">
        <v>240</v>
      </c>
      <c r="J73" s="7" t="s">
        <v>2267</v>
      </c>
      <c r="K73" s="24">
        <v>4</v>
      </c>
      <c r="L73" s="24" t="s">
        <v>295</v>
      </c>
      <c r="M73" s="7"/>
      <c r="N73" s="7"/>
      <c r="O73" s="7" t="s">
        <v>2266</v>
      </c>
      <c r="P73" s="6" t="str">
        <f t="shared" si="4"/>
        <v>Клемма проходная для провода сечением 4кв.мм</v>
      </c>
      <c r="Q73" s="7"/>
      <c r="R73" s="7"/>
    </row>
    <row r="74" spans="6:18" x14ac:dyDescent="0.25">
      <c r="F74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contactпроходная6</v>
      </c>
      <c r="G74" s="7"/>
      <c r="H74" s="7"/>
      <c r="I74" s="7" t="s">
        <v>240</v>
      </c>
      <c r="J74" s="7" t="s">
        <v>2267</v>
      </c>
      <c r="K74" s="24">
        <v>6</v>
      </c>
      <c r="L74" s="24" t="s">
        <v>296</v>
      </c>
      <c r="M74" s="7"/>
      <c r="N74" s="7"/>
      <c r="O74" s="7" t="s">
        <v>2266</v>
      </c>
      <c r="P74" s="7" t="str">
        <f t="shared" si="4"/>
        <v>Клемма проходная для провода сечением 6кв.мм</v>
      </c>
      <c r="Q74" s="7"/>
      <c r="R74" s="7"/>
    </row>
    <row r="75" spans="6:18" x14ac:dyDescent="0.25">
      <c r="F75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contactпроходная10</v>
      </c>
      <c r="G75" s="7"/>
      <c r="H75" s="7"/>
      <c r="I75" s="7" t="s">
        <v>240</v>
      </c>
      <c r="J75" s="7" t="s">
        <v>2267</v>
      </c>
      <c r="K75" s="24">
        <v>10</v>
      </c>
      <c r="L75" s="24" t="s">
        <v>297</v>
      </c>
      <c r="M75" s="7"/>
      <c r="N75" s="7"/>
      <c r="O75" s="7" t="s">
        <v>2266</v>
      </c>
      <c r="P75" s="6" t="str">
        <f t="shared" si="4"/>
        <v>Клемма проходная для провода сечением 10кв.мм</v>
      </c>
      <c r="Q75" s="7"/>
      <c r="R75" s="7"/>
    </row>
    <row r="76" spans="6:18" x14ac:dyDescent="0.25">
      <c r="F7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contactпроходная16</v>
      </c>
      <c r="G76" s="7"/>
      <c r="H76" s="7"/>
      <c r="I76" s="7" t="s">
        <v>240</v>
      </c>
      <c r="J76" s="7" t="s">
        <v>2267</v>
      </c>
      <c r="K76" s="24">
        <v>16</v>
      </c>
      <c r="L76" s="24" t="s">
        <v>298</v>
      </c>
      <c r="M76" s="7"/>
      <c r="N76" s="7"/>
      <c r="O76" s="7" t="s">
        <v>2266</v>
      </c>
      <c r="P76" s="7" t="str">
        <f t="shared" si="4"/>
        <v>Клемма проходная для провода сечением 16кв.мм</v>
      </c>
      <c r="Q76" s="7"/>
      <c r="R76" s="7"/>
    </row>
    <row r="77" spans="6:18" x14ac:dyDescent="0.25">
      <c r="F7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contactпроходная35</v>
      </c>
      <c r="G77" s="7"/>
      <c r="H77" s="7"/>
      <c r="I77" s="7" t="s">
        <v>240</v>
      </c>
      <c r="J77" s="7" t="s">
        <v>2267</v>
      </c>
      <c r="K77" s="24">
        <v>35</v>
      </c>
      <c r="L77" s="24" t="s">
        <v>299</v>
      </c>
      <c r="M77" s="7"/>
      <c r="N77" s="7"/>
      <c r="O77" s="7" t="s">
        <v>2266</v>
      </c>
      <c r="P77" s="6" t="str">
        <f t="shared" si="4"/>
        <v>Клемма проходная для провода сечением 35кв.мм</v>
      </c>
      <c r="Q77" s="7"/>
      <c r="R77" s="7"/>
    </row>
    <row r="78" spans="6:18" x14ac:dyDescent="0.25">
      <c r="F7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contactпроходная50</v>
      </c>
      <c r="G78" s="7"/>
      <c r="H78" s="7"/>
      <c r="I78" s="7" t="s">
        <v>240</v>
      </c>
      <c r="J78" s="7" t="s">
        <v>2267</v>
      </c>
      <c r="K78" s="24">
        <v>50</v>
      </c>
      <c r="L78" s="24" t="s">
        <v>300</v>
      </c>
      <c r="M78" s="7"/>
      <c r="N78" s="7"/>
      <c r="O78" s="7" t="s">
        <v>2266</v>
      </c>
      <c r="P78" s="7" t="str">
        <f t="shared" si="4"/>
        <v>Клемма проходная для провода сечением 50кв.мм</v>
      </c>
      <c r="Q78" s="7"/>
      <c r="R78" s="7"/>
    </row>
    <row r="79" spans="6:18" x14ac:dyDescent="0.25">
      <c r="F79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contactпроходная70</v>
      </c>
      <c r="G79" s="7"/>
      <c r="H79" s="7"/>
      <c r="I79" s="7" t="s">
        <v>240</v>
      </c>
      <c r="J79" s="7" t="s">
        <v>2267</v>
      </c>
      <c r="K79" s="24">
        <v>70</v>
      </c>
      <c r="L79" s="24" t="s">
        <v>301</v>
      </c>
      <c r="M79" s="7"/>
      <c r="N79" s="7"/>
      <c r="O79" s="7" t="s">
        <v>2266</v>
      </c>
      <c r="P79" s="6" t="str">
        <f t="shared" si="4"/>
        <v>Клемма проходная для провода сечением 70кв.мм</v>
      </c>
      <c r="Q79" s="7"/>
      <c r="R79" s="7"/>
    </row>
    <row r="80" spans="6:18" x14ac:dyDescent="0.25">
      <c r="F80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contactпроходная95</v>
      </c>
      <c r="G80" s="7"/>
      <c r="H80" s="7"/>
      <c r="I80" s="7" t="s">
        <v>240</v>
      </c>
      <c r="J80" s="7" t="s">
        <v>2267</v>
      </c>
      <c r="K80" s="24">
        <v>95</v>
      </c>
      <c r="L80" s="24" t="s">
        <v>302</v>
      </c>
      <c r="M80" s="7"/>
      <c r="N80" s="7"/>
      <c r="O80" s="7" t="s">
        <v>2266</v>
      </c>
      <c r="P80" s="7" t="str">
        <f t="shared" si="4"/>
        <v>Клемма проходная для провода сечением 95кв.мм</v>
      </c>
      <c r="Q80" s="7"/>
      <c r="R80" s="7"/>
    </row>
    <row r="81" spans="6:18" x14ac:dyDescent="0.25">
      <c r="F81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contactпроходная120</v>
      </c>
      <c r="G81" s="7"/>
      <c r="H81" s="7"/>
      <c r="I81" s="7" t="s">
        <v>240</v>
      </c>
      <c r="J81" s="7" t="s">
        <v>2267</v>
      </c>
      <c r="K81" s="24">
        <v>120</v>
      </c>
      <c r="L81" s="24" t="s">
        <v>303</v>
      </c>
      <c r="M81" s="7"/>
      <c r="N81" s="7"/>
      <c r="O81" s="7" t="s">
        <v>2266</v>
      </c>
      <c r="P81" s="6" t="str">
        <f t="shared" si="4"/>
        <v>Клемма проходная для провода сечением 120кв.мм</v>
      </c>
      <c r="Q81" s="7"/>
      <c r="R81" s="7"/>
    </row>
    <row r="82" spans="6:18" x14ac:dyDescent="0.25">
      <c r="F82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contactпроходная150</v>
      </c>
      <c r="G82" s="7"/>
      <c r="H82" s="7"/>
      <c r="I82" s="7" t="s">
        <v>240</v>
      </c>
      <c r="J82" s="7" t="s">
        <v>2267</v>
      </c>
      <c r="K82" s="24">
        <v>150</v>
      </c>
      <c r="L82" s="24" t="s">
        <v>304</v>
      </c>
      <c r="M82" s="7"/>
      <c r="N82" s="7"/>
      <c r="O82" s="7" t="s">
        <v>2266</v>
      </c>
      <c r="P82" s="7" t="str">
        <f t="shared" si="4"/>
        <v>Клемма проходная для провода сечением 150кв.мм</v>
      </c>
      <c r="Q82" s="7"/>
      <c r="R82" s="7"/>
    </row>
    <row r="83" spans="6:18" x14ac:dyDescent="0.25">
      <c r="F83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contactпроходная240</v>
      </c>
      <c r="G83" s="7"/>
      <c r="H83" s="7"/>
      <c r="I83" s="7" t="s">
        <v>240</v>
      </c>
      <c r="J83" s="7" t="s">
        <v>2267</v>
      </c>
      <c r="K83" s="24">
        <v>240</v>
      </c>
      <c r="L83" s="24" t="s">
        <v>305</v>
      </c>
      <c r="M83" s="7"/>
      <c r="N83" s="7"/>
      <c r="O83" s="7" t="s">
        <v>2266</v>
      </c>
      <c r="P83" s="6" t="str">
        <f t="shared" si="4"/>
        <v>Клемма проходная для провода сечением 240кв.мм</v>
      </c>
      <c r="Q83" s="7"/>
      <c r="R83" s="7"/>
    </row>
    <row r="84" spans="6:18" x14ac:dyDescent="0.25">
      <c r="F84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contactPE2,5</v>
      </c>
      <c r="G84" s="7"/>
      <c r="H84" s="7"/>
      <c r="I84" s="7" t="s">
        <v>240</v>
      </c>
      <c r="J84" s="7" t="s">
        <v>484</v>
      </c>
      <c r="K84" s="24">
        <v>2.5</v>
      </c>
      <c r="L84" s="24" t="s">
        <v>333</v>
      </c>
      <c r="M84" s="7"/>
      <c r="N84" s="7"/>
      <c r="O84" s="7" t="s">
        <v>2266</v>
      </c>
      <c r="P84" s="7" t="str">
        <f t="shared" si="4"/>
        <v>Клемма PE для провода сечением 2,5кв.мм</v>
      </c>
      <c r="Q84" s="7"/>
      <c r="R84" s="7"/>
    </row>
    <row r="85" spans="6:18" x14ac:dyDescent="0.25">
      <c r="F85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contactPE4</v>
      </c>
      <c r="G85" s="7"/>
      <c r="H85" s="7"/>
      <c r="I85" s="7" t="s">
        <v>240</v>
      </c>
      <c r="J85" s="7" t="s">
        <v>484</v>
      </c>
      <c r="K85" s="24">
        <v>4</v>
      </c>
      <c r="L85" s="24" t="s">
        <v>340</v>
      </c>
      <c r="M85" s="7"/>
      <c r="N85" s="7"/>
      <c r="O85" s="7" t="s">
        <v>2266</v>
      </c>
      <c r="P85" s="6" t="str">
        <f t="shared" si="4"/>
        <v>Клемма PE для провода сечением 4кв.мм</v>
      </c>
      <c r="Q85" s="7"/>
      <c r="R85" s="7"/>
    </row>
    <row r="86" spans="6:18" x14ac:dyDescent="0.25">
      <c r="F8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contactPE6</v>
      </c>
      <c r="G86" s="7"/>
      <c r="H86" s="7"/>
      <c r="I86" s="7" t="s">
        <v>240</v>
      </c>
      <c r="J86" s="7" t="s">
        <v>484</v>
      </c>
      <c r="K86" s="24">
        <v>6</v>
      </c>
      <c r="L86" s="24" t="s">
        <v>345</v>
      </c>
      <c r="M86" s="7"/>
      <c r="N86" s="7"/>
      <c r="O86" s="7" t="s">
        <v>2266</v>
      </c>
      <c r="P86" s="7" t="str">
        <f t="shared" si="4"/>
        <v>Клемма PE для провода сечением 6кв.мм</v>
      </c>
      <c r="Q86" s="7"/>
      <c r="R86" s="7"/>
    </row>
    <row r="87" spans="6:18" x14ac:dyDescent="0.25">
      <c r="F8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contactPE10</v>
      </c>
      <c r="G87" s="7"/>
      <c r="H87" s="7"/>
      <c r="I87" s="7" t="s">
        <v>240</v>
      </c>
      <c r="J87" s="7" t="s">
        <v>484</v>
      </c>
      <c r="K87" s="24">
        <v>10</v>
      </c>
      <c r="L87" s="24" t="s">
        <v>351</v>
      </c>
      <c r="M87" s="7"/>
      <c r="N87" s="7"/>
      <c r="O87" s="7" t="s">
        <v>2266</v>
      </c>
      <c r="P87" s="6" t="str">
        <f t="shared" si="4"/>
        <v>Клемма PE для провода сечением 10кв.мм</v>
      </c>
      <c r="Q87" s="7"/>
      <c r="R87" s="7"/>
    </row>
    <row r="88" spans="6:18" x14ac:dyDescent="0.25">
      <c r="F8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contactPE16</v>
      </c>
      <c r="G88" s="7"/>
      <c r="H88" s="7"/>
      <c r="I88" s="7" t="s">
        <v>240</v>
      </c>
      <c r="J88" s="7" t="s">
        <v>484</v>
      </c>
      <c r="K88" s="24">
        <v>16</v>
      </c>
      <c r="L88" s="24" t="s">
        <v>357</v>
      </c>
      <c r="M88" s="7"/>
      <c r="N88" s="7"/>
      <c r="O88" s="7" t="s">
        <v>2266</v>
      </c>
      <c r="P88" s="7" t="str">
        <f t="shared" si="4"/>
        <v>Клемма PE для провода сечением 16кв.мм</v>
      </c>
      <c r="Q88" s="7"/>
      <c r="R88" s="7"/>
    </row>
    <row r="89" spans="6:18" x14ac:dyDescent="0.25">
      <c r="F89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contactPE35</v>
      </c>
      <c r="G89" s="7"/>
      <c r="H89" s="7"/>
      <c r="I89" s="7" t="s">
        <v>240</v>
      </c>
      <c r="J89" s="7" t="s">
        <v>484</v>
      </c>
      <c r="K89" s="24">
        <v>35</v>
      </c>
      <c r="L89" s="24" t="s">
        <v>363</v>
      </c>
      <c r="M89" s="7"/>
      <c r="N89" s="7"/>
      <c r="O89" s="7" t="s">
        <v>2266</v>
      </c>
      <c r="P89" s="6" t="str">
        <f t="shared" si="4"/>
        <v>Клемма PE для провода сечением 35кв.мм</v>
      </c>
      <c r="Q89" s="7"/>
      <c r="R89" s="7"/>
    </row>
    <row r="90" spans="6:18" x14ac:dyDescent="0.25">
      <c r="F90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contactPE50</v>
      </c>
      <c r="G90" s="7"/>
      <c r="H90" s="7"/>
      <c r="I90" s="7" t="s">
        <v>240</v>
      </c>
      <c r="J90" s="7" t="s">
        <v>484</v>
      </c>
      <c r="K90" s="24">
        <v>50</v>
      </c>
      <c r="L90" s="24" t="s">
        <v>369</v>
      </c>
      <c r="M90" s="7"/>
      <c r="N90" s="7"/>
      <c r="O90" s="7" t="s">
        <v>2266</v>
      </c>
      <c r="P90" s="7" t="str">
        <f t="shared" si="4"/>
        <v>Клемма PE для провода сечением 50кв.мм</v>
      </c>
      <c r="Q90" s="7"/>
      <c r="R90" s="7"/>
    </row>
    <row r="91" spans="6:18" x14ac:dyDescent="0.25">
      <c r="F91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contactPE70</v>
      </c>
      <c r="G91" s="7"/>
      <c r="H91" s="7"/>
      <c r="I91" s="7" t="s">
        <v>240</v>
      </c>
      <c r="J91" s="7" t="s">
        <v>484</v>
      </c>
      <c r="K91" s="24">
        <v>70</v>
      </c>
      <c r="L91" s="24" t="s">
        <v>374</v>
      </c>
      <c r="M91" s="7"/>
      <c r="N91" s="7"/>
      <c r="O91" s="7" t="s">
        <v>2266</v>
      </c>
      <c r="P91" s="6" t="str">
        <f t="shared" si="4"/>
        <v>Клемма PE для провода сечением 70кв.мм</v>
      </c>
      <c r="Q91" s="7"/>
      <c r="R91" s="7"/>
    </row>
    <row r="92" spans="6:18" x14ac:dyDescent="0.25">
      <c r="F92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contactPE95</v>
      </c>
      <c r="G92" s="7"/>
      <c r="H92" s="7"/>
      <c r="I92" s="7" t="s">
        <v>240</v>
      </c>
      <c r="J92" s="7" t="s">
        <v>484</v>
      </c>
      <c r="K92" s="24">
        <v>95</v>
      </c>
      <c r="L92" s="24" t="s">
        <v>374</v>
      </c>
      <c r="M92" s="7"/>
      <c r="N92" s="7"/>
      <c r="O92" s="7" t="s">
        <v>2266</v>
      </c>
      <c r="P92" s="7" t="str">
        <f t="shared" si="4"/>
        <v>Клемма PE для провода сечением 95кв.мм</v>
      </c>
      <c r="Q92" s="7"/>
      <c r="R92" s="7"/>
    </row>
    <row r="93" spans="6:18" x14ac:dyDescent="0.25">
      <c r="F93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contactN2,5</v>
      </c>
      <c r="G93" s="7"/>
      <c r="H93" s="7"/>
      <c r="I93" s="7" t="s">
        <v>240</v>
      </c>
      <c r="J93" s="7" t="s">
        <v>532</v>
      </c>
      <c r="K93" s="24">
        <v>2.5</v>
      </c>
      <c r="L93" s="24" t="s">
        <v>334</v>
      </c>
      <c r="M93" s="7"/>
      <c r="N93" s="7"/>
      <c r="O93" s="7" t="s">
        <v>2266</v>
      </c>
      <c r="P93" s="6" t="str">
        <f t="shared" si="4"/>
        <v>Клемма N для провода сечением 2,5кв.мм</v>
      </c>
      <c r="Q93" s="7"/>
      <c r="R93" s="7"/>
    </row>
    <row r="94" spans="6:18" x14ac:dyDescent="0.25">
      <c r="F94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contactN4</v>
      </c>
      <c r="G94" s="7"/>
      <c r="H94" s="7"/>
      <c r="I94" s="7" t="s">
        <v>240</v>
      </c>
      <c r="J94" s="7" t="s">
        <v>532</v>
      </c>
      <c r="K94" s="24">
        <v>4</v>
      </c>
      <c r="L94" s="24" t="s">
        <v>341</v>
      </c>
      <c r="M94" s="7"/>
      <c r="N94" s="7"/>
      <c r="O94" s="7" t="s">
        <v>2266</v>
      </c>
      <c r="P94" s="7" t="str">
        <f t="shared" si="4"/>
        <v>Клемма N для провода сечением 4кв.мм</v>
      </c>
      <c r="Q94" s="7"/>
      <c r="R94" s="7"/>
    </row>
    <row r="95" spans="6:18" x14ac:dyDescent="0.25">
      <c r="F95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contactN6</v>
      </c>
      <c r="G95" s="7"/>
      <c r="H95" s="7"/>
      <c r="I95" s="7" t="s">
        <v>240</v>
      </c>
      <c r="J95" s="7" t="s">
        <v>532</v>
      </c>
      <c r="K95" s="24">
        <v>6</v>
      </c>
      <c r="L95" s="24" t="s">
        <v>346</v>
      </c>
      <c r="M95" s="7"/>
      <c r="N95" s="7"/>
      <c r="O95" s="7" t="s">
        <v>2266</v>
      </c>
      <c r="P95" s="6" t="str">
        <f t="shared" si="4"/>
        <v>Клемма N для провода сечением 6кв.мм</v>
      </c>
      <c r="Q95" s="7"/>
      <c r="R95" s="7"/>
    </row>
    <row r="96" spans="6:18" x14ac:dyDescent="0.25">
      <c r="F9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contactN10</v>
      </c>
      <c r="G96" s="7"/>
      <c r="H96" s="7"/>
      <c r="I96" s="7" t="s">
        <v>240</v>
      </c>
      <c r="J96" s="7" t="s">
        <v>532</v>
      </c>
      <c r="K96" s="24">
        <v>10</v>
      </c>
      <c r="L96" s="24" t="s">
        <v>352</v>
      </c>
      <c r="M96" s="7"/>
      <c r="N96" s="7"/>
      <c r="O96" s="7" t="s">
        <v>2266</v>
      </c>
      <c r="P96" s="7" t="str">
        <f t="shared" si="4"/>
        <v>Клемма N для провода сечением 10кв.мм</v>
      </c>
      <c r="Q96" s="7"/>
      <c r="R96" s="7"/>
    </row>
    <row r="97" spans="6:18" x14ac:dyDescent="0.25">
      <c r="F9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contactN16</v>
      </c>
      <c r="G97" s="7"/>
      <c r="H97" s="7"/>
      <c r="I97" s="7" t="s">
        <v>240</v>
      </c>
      <c r="J97" s="7" t="s">
        <v>532</v>
      </c>
      <c r="K97" s="24">
        <v>16</v>
      </c>
      <c r="L97" s="24" t="s">
        <v>358</v>
      </c>
      <c r="M97" s="7"/>
      <c r="N97" s="7"/>
      <c r="O97" s="7" t="s">
        <v>2266</v>
      </c>
      <c r="P97" s="6" t="str">
        <f t="shared" si="4"/>
        <v>Клемма N для провода сечением 16кв.мм</v>
      </c>
      <c r="Q97" s="7"/>
      <c r="R97" s="7"/>
    </row>
    <row r="98" spans="6:18" x14ac:dyDescent="0.25">
      <c r="F9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contactN35</v>
      </c>
      <c r="G98" s="7"/>
      <c r="H98" s="7"/>
      <c r="I98" s="7" t="s">
        <v>240</v>
      </c>
      <c r="J98" s="7" t="s">
        <v>532</v>
      </c>
      <c r="K98" s="24">
        <v>35</v>
      </c>
      <c r="L98" s="24" t="s">
        <v>364</v>
      </c>
      <c r="M98" s="7"/>
      <c r="N98" s="7"/>
      <c r="O98" s="7" t="s">
        <v>2266</v>
      </c>
      <c r="P98" s="7" t="str">
        <f t="shared" si="4"/>
        <v>Клемма N для провода сечением 35кв.мм</v>
      </c>
      <c r="Q98" s="7"/>
      <c r="R98" s="7"/>
    </row>
    <row r="99" spans="6:18" x14ac:dyDescent="0.25">
      <c r="F99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contactN50</v>
      </c>
      <c r="G99" s="7"/>
      <c r="H99" s="7"/>
      <c r="I99" s="7" t="s">
        <v>240</v>
      </c>
      <c r="J99" s="7" t="s">
        <v>532</v>
      </c>
      <c r="K99" s="24">
        <v>50</v>
      </c>
      <c r="L99" s="24" t="s">
        <v>370</v>
      </c>
      <c r="M99" s="7"/>
      <c r="N99" s="7"/>
      <c r="O99" s="7" t="s">
        <v>2266</v>
      </c>
      <c r="P99" s="6" t="str">
        <f t="shared" si="4"/>
        <v>Клемма N для провода сечением 50кв.мм</v>
      </c>
      <c r="Q99" s="7"/>
      <c r="R99" s="7"/>
    </row>
    <row r="100" spans="6:18" x14ac:dyDescent="0.25">
      <c r="F100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contactN70</v>
      </c>
      <c r="G100" s="7"/>
      <c r="H100" s="7"/>
      <c r="I100" s="7" t="s">
        <v>240</v>
      </c>
      <c r="J100" s="7" t="s">
        <v>532</v>
      </c>
      <c r="K100" s="24">
        <v>70</v>
      </c>
      <c r="L100" s="24" t="s">
        <v>375</v>
      </c>
      <c r="M100" s="7"/>
      <c r="N100" s="7"/>
      <c r="O100" s="7" t="s">
        <v>2266</v>
      </c>
      <c r="P100" s="7" t="str">
        <f t="shared" si="4"/>
        <v>Клемма N для провода сечением 70кв.мм</v>
      </c>
      <c r="Q100" s="7"/>
      <c r="R100" s="7"/>
    </row>
    <row r="101" spans="6:18" x14ac:dyDescent="0.25">
      <c r="F101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contactN95</v>
      </c>
      <c r="G101" s="7"/>
      <c r="H101" s="7"/>
      <c r="I101" s="7" t="s">
        <v>240</v>
      </c>
      <c r="J101" s="7" t="s">
        <v>532</v>
      </c>
      <c r="K101" s="24">
        <v>95</v>
      </c>
      <c r="L101" s="24" t="s">
        <v>376</v>
      </c>
      <c r="M101" s="7"/>
      <c r="N101" s="7"/>
      <c r="O101" s="7" t="s">
        <v>2266</v>
      </c>
      <c r="P101" s="6" t="str">
        <f t="shared" ref="P101:P111" si="5">CONCATENATE(O100," ",J101," для провода сечением ",K101,"кв.мм")</f>
        <v>Клемма N для провода сечением 95кв.мм</v>
      </c>
      <c r="Q101" s="7"/>
      <c r="R101" s="7"/>
    </row>
    <row r="102" spans="6:18" x14ac:dyDescent="0.25">
      <c r="F102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contactN120</v>
      </c>
      <c r="G102" s="7"/>
      <c r="H102" s="7"/>
      <c r="I102" s="7" t="s">
        <v>240</v>
      </c>
      <c r="J102" s="7" t="s">
        <v>532</v>
      </c>
      <c r="K102" s="24">
        <v>120</v>
      </c>
      <c r="L102" s="24" t="s">
        <v>377</v>
      </c>
      <c r="M102" s="7"/>
      <c r="N102" s="7"/>
      <c r="O102" s="7" t="s">
        <v>2266</v>
      </c>
      <c r="P102" s="7" t="str">
        <f t="shared" si="5"/>
        <v>Клемма N для провода сечением 120кв.мм</v>
      </c>
      <c r="Q102" s="7"/>
      <c r="R102" s="7"/>
    </row>
    <row r="103" spans="6:18" x14ac:dyDescent="0.25">
      <c r="F103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contactN150</v>
      </c>
      <c r="G103" s="7"/>
      <c r="H103" s="7"/>
      <c r="I103" s="7" t="s">
        <v>240</v>
      </c>
      <c r="J103" s="7" t="s">
        <v>532</v>
      </c>
      <c r="K103" s="24">
        <v>150</v>
      </c>
      <c r="L103" s="24" t="s">
        <v>377</v>
      </c>
      <c r="M103" s="7"/>
      <c r="N103" s="7"/>
      <c r="O103" s="7" t="s">
        <v>2266</v>
      </c>
      <c r="P103" s="6" t="str">
        <f t="shared" si="5"/>
        <v>Клемма N для провода сечением 150кв.мм</v>
      </c>
      <c r="Q103" s="7"/>
      <c r="R103" s="7"/>
    </row>
    <row r="104" spans="6:18" x14ac:dyDescent="0.25">
      <c r="F104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Phoenix contactN240</v>
      </c>
      <c r="G104" s="7"/>
      <c r="H104" s="7"/>
      <c r="I104" s="7" t="s">
        <v>240</v>
      </c>
      <c r="J104" s="7" t="s">
        <v>532</v>
      </c>
      <c r="K104" s="24">
        <v>240</v>
      </c>
      <c r="L104" s="24" t="s">
        <v>378</v>
      </c>
      <c r="M104" s="7"/>
      <c r="N104" s="7"/>
      <c r="O104" s="7" t="s">
        <v>2266</v>
      </c>
      <c r="P104" s="7" t="str">
        <f t="shared" si="5"/>
        <v>Клемма N для провода сечением 240кв.мм</v>
      </c>
      <c r="Q104" s="7"/>
      <c r="R104" s="7"/>
    </row>
    <row r="105" spans="6:18" x14ac:dyDescent="0.25">
      <c r="F105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TS35ВинтоваяWeidmuellerПеремычка2,5</v>
      </c>
      <c r="G105" s="7" t="s">
        <v>258</v>
      </c>
      <c r="H105" s="7" t="s">
        <v>242</v>
      </c>
      <c r="I105" s="7" t="s">
        <v>239</v>
      </c>
      <c r="J105" s="7" t="s">
        <v>533</v>
      </c>
      <c r="K105" s="7">
        <v>2.5</v>
      </c>
      <c r="L105" s="239" t="s">
        <v>607</v>
      </c>
      <c r="M105" s="7"/>
      <c r="N105" s="7"/>
      <c r="O105" s="7"/>
      <c r="P105" s="6" t="str">
        <f t="shared" si="5"/>
        <v>Клемма Перемычка для провода сечением 2,5кв.мм</v>
      </c>
      <c r="Q105" s="7"/>
      <c r="R105" s="7"/>
    </row>
    <row r="106" spans="6:18" x14ac:dyDescent="0.25">
      <c r="F10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TS35ВинтоваяWeidmuellerПеремычка4</v>
      </c>
      <c r="G106" s="7" t="s">
        <v>258</v>
      </c>
      <c r="H106" s="7" t="s">
        <v>242</v>
      </c>
      <c r="I106" s="7" t="s">
        <v>239</v>
      </c>
      <c r="J106" s="7" t="s">
        <v>533</v>
      </c>
      <c r="K106" s="7">
        <v>4</v>
      </c>
      <c r="L106" s="239" t="s">
        <v>610</v>
      </c>
      <c r="M106" s="7"/>
      <c r="N106" s="7"/>
      <c r="O106" s="7"/>
      <c r="P106" s="7" t="str">
        <f t="shared" si="5"/>
        <v xml:space="preserve"> Перемычка для провода сечением 4кв.мм</v>
      </c>
      <c r="Q106" s="7"/>
      <c r="R106" s="7"/>
    </row>
    <row r="107" spans="6:18" x14ac:dyDescent="0.25">
      <c r="F10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TS35ВинтоваяWeidmuellerПеремычка6</v>
      </c>
      <c r="G107" s="7" t="s">
        <v>258</v>
      </c>
      <c r="H107" s="7" t="s">
        <v>242</v>
      </c>
      <c r="I107" s="7" t="s">
        <v>239</v>
      </c>
      <c r="J107" s="7" t="s">
        <v>533</v>
      </c>
      <c r="K107" s="7">
        <v>6</v>
      </c>
      <c r="L107" s="239" t="s">
        <v>611</v>
      </c>
      <c r="M107" s="7"/>
      <c r="N107" s="7"/>
      <c r="O107" s="7"/>
      <c r="P107" s="6" t="str">
        <f t="shared" si="5"/>
        <v xml:space="preserve"> Перемычка для провода сечением 6кв.мм</v>
      </c>
      <c r="Q107" s="7"/>
      <c r="R107" s="7"/>
    </row>
    <row r="108" spans="6:18" x14ac:dyDescent="0.25">
      <c r="F10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TS35ВинтоваяWeidmuellerПеремычка10</v>
      </c>
      <c r="G108" s="7" t="s">
        <v>258</v>
      </c>
      <c r="H108" s="7" t="s">
        <v>242</v>
      </c>
      <c r="I108" s="7" t="s">
        <v>239</v>
      </c>
      <c r="J108" s="7" t="s">
        <v>533</v>
      </c>
      <c r="K108" s="7">
        <v>10</v>
      </c>
      <c r="L108" s="239" t="s">
        <v>608</v>
      </c>
      <c r="M108" s="7"/>
      <c r="N108" s="7"/>
      <c r="O108" s="7"/>
      <c r="P108" s="7" t="str">
        <f t="shared" si="5"/>
        <v xml:space="preserve"> Перемычка для провода сечением 10кв.мм</v>
      </c>
      <c r="Q108" s="7"/>
      <c r="R108" s="7"/>
    </row>
    <row r="109" spans="6:18" x14ac:dyDescent="0.25">
      <c r="F109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>TS35ВинтоваяWeidmuellerПеремычка16</v>
      </c>
      <c r="G109" s="7" t="s">
        <v>258</v>
      </c>
      <c r="H109" s="7" t="s">
        <v>242</v>
      </c>
      <c r="I109" s="7" t="s">
        <v>239</v>
      </c>
      <c r="J109" s="7" t="s">
        <v>533</v>
      </c>
      <c r="K109" s="7">
        <v>16</v>
      </c>
      <c r="L109" s="239" t="s">
        <v>609</v>
      </c>
      <c r="M109" s="7"/>
      <c r="N109" s="7"/>
      <c r="O109" s="7"/>
      <c r="P109" s="6" t="str">
        <f t="shared" si="5"/>
        <v xml:space="preserve"> Перемычка для провода сечением 16кв.мм</v>
      </c>
      <c r="Q109" s="7"/>
      <c r="R109" s="7"/>
    </row>
    <row r="110" spans="6:18" x14ac:dyDescent="0.25">
      <c r="F110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10" s="7"/>
      <c r="H110" s="7"/>
      <c r="I110" s="7"/>
      <c r="J110" s="7"/>
      <c r="K110" s="7"/>
      <c r="L110" s="27"/>
      <c r="M110" s="7"/>
      <c r="N110" s="7"/>
      <c r="O110" s="7"/>
      <c r="P110" s="7" t="str">
        <f t="shared" si="5"/>
        <v xml:space="preserve">  для провода сечением кв.мм</v>
      </c>
      <c r="Q110" s="7"/>
      <c r="R110" s="7"/>
    </row>
    <row r="111" spans="6:18" x14ac:dyDescent="0.25">
      <c r="F111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11" s="7"/>
      <c r="H111" s="7"/>
      <c r="I111" s="7"/>
      <c r="J111" s="7"/>
      <c r="K111" s="7"/>
      <c r="L111" s="27"/>
      <c r="M111" s="7"/>
      <c r="N111" s="7"/>
      <c r="O111" s="7"/>
      <c r="P111" s="6" t="str">
        <f t="shared" si="5"/>
        <v xml:space="preserve">  для провода сечением кв.мм</v>
      </c>
      <c r="Q111" s="7"/>
      <c r="R111" s="7"/>
    </row>
    <row r="112" spans="6:18" x14ac:dyDescent="0.25">
      <c r="F112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12" s="7"/>
      <c r="H112" s="7"/>
      <c r="I112" s="7"/>
      <c r="J112" s="7"/>
      <c r="K112" s="7"/>
      <c r="L112" s="27"/>
      <c r="M112" s="7"/>
      <c r="N112" s="7"/>
      <c r="O112" s="7"/>
      <c r="P112" s="7"/>
      <c r="Q112" s="7"/>
      <c r="R112" s="7"/>
    </row>
    <row r="113" spans="6:18" x14ac:dyDescent="0.25">
      <c r="F113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13" s="7"/>
      <c r="H113" s="7"/>
      <c r="I113" s="7"/>
      <c r="J113" s="7"/>
      <c r="K113" s="7"/>
      <c r="L113" s="27"/>
      <c r="M113" s="7"/>
      <c r="N113" s="7"/>
      <c r="O113" s="7"/>
      <c r="P113" s="7"/>
      <c r="Q113" s="7"/>
      <c r="R113" s="7"/>
    </row>
    <row r="114" spans="6:18" x14ac:dyDescent="0.25">
      <c r="F114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14" s="7"/>
      <c r="H114" s="7"/>
      <c r="I114" s="7"/>
      <c r="J114" s="7"/>
      <c r="K114" s="7"/>
      <c r="L114" s="27"/>
      <c r="M114" s="7"/>
      <c r="N114" s="7"/>
      <c r="O114" s="7"/>
      <c r="P114" s="7"/>
      <c r="Q114" s="7"/>
      <c r="R114" s="7"/>
    </row>
    <row r="115" spans="6:18" x14ac:dyDescent="0.25">
      <c r="F115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15" s="7"/>
      <c r="H115" s="7"/>
      <c r="I115" s="7"/>
      <c r="J115" s="7"/>
      <c r="K115" s="7"/>
      <c r="L115" s="27"/>
      <c r="M115" s="7"/>
      <c r="N115" s="7"/>
      <c r="O115" s="7"/>
      <c r="P115" s="7"/>
      <c r="Q115" s="7"/>
      <c r="R115" s="7"/>
    </row>
    <row r="116" spans="6:18" x14ac:dyDescent="0.25">
      <c r="F11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16" s="7"/>
      <c r="H116" s="7"/>
      <c r="I116" s="7"/>
      <c r="J116" s="7"/>
      <c r="K116" s="7"/>
      <c r="L116" s="27"/>
      <c r="M116" s="7"/>
      <c r="N116" s="7"/>
      <c r="O116" s="7"/>
      <c r="P116" s="7"/>
      <c r="Q116" s="7"/>
      <c r="R116" s="7"/>
    </row>
    <row r="117" spans="6:18" x14ac:dyDescent="0.25">
      <c r="F11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17" s="7"/>
      <c r="H117" s="7"/>
      <c r="I117" s="7"/>
      <c r="J117" s="7"/>
      <c r="K117" s="7"/>
      <c r="L117" s="27"/>
      <c r="M117" s="7"/>
      <c r="N117" s="7"/>
      <c r="O117" s="7"/>
      <c r="P117" s="7"/>
      <c r="Q117" s="7"/>
      <c r="R117" s="7"/>
    </row>
    <row r="118" spans="6:18" x14ac:dyDescent="0.25">
      <c r="F11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18" s="7"/>
      <c r="H118" s="7"/>
      <c r="I118" s="7"/>
      <c r="J118" s="7"/>
      <c r="K118" s="7"/>
      <c r="L118" s="27"/>
      <c r="M118" s="7"/>
      <c r="N118" s="7"/>
      <c r="O118" s="7"/>
      <c r="P118" s="7"/>
      <c r="Q118" s="7"/>
      <c r="R118" s="7"/>
    </row>
    <row r="119" spans="6:18" x14ac:dyDescent="0.25">
      <c r="F119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19" s="7"/>
      <c r="H119" s="7"/>
      <c r="I119" s="7"/>
      <c r="J119" s="7"/>
      <c r="K119" s="7"/>
      <c r="L119" s="27"/>
      <c r="M119" s="7"/>
      <c r="N119" s="7"/>
      <c r="O119" s="7"/>
      <c r="P119" s="7"/>
      <c r="Q119" s="7"/>
      <c r="R119" s="7"/>
    </row>
    <row r="120" spans="6:18" x14ac:dyDescent="0.25">
      <c r="F120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20" s="7"/>
      <c r="H120" s="7"/>
      <c r="I120" s="7"/>
      <c r="J120" s="7"/>
      <c r="K120" s="7"/>
      <c r="L120" s="27"/>
      <c r="M120" s="7"/>
      <c r="N120" s="7"/>
      <c r="O120" s="7"/>
      <c r="P120" s="7"/>
      <c r="Q120" s="7"/>
      <c r="R120" s="7"/>
    </row>
    <row r="121" spans="6:18" x14ac:dyDescent="0.25">
      <c r="F121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21" s="7"/>
      <c r="H121" s="7"/>
      <c r="I121" s="7"/>
      <c r="J121" s="7"/>
      <c r="K121" s="7"/>
      <c r="L121" s="27"/>
      <c r="M121" s="7"/>
      <c r="N121" s="7"/>
      <c r="O121" s="7"/>
      <c r="P121" s="7"/>
      <c r="Q121" s="7"/>
      <c r="R121" s="7"/>
    </row>
    <row r="122" spans="6:18" x14ac:dyDescent="0.25">
      <c r="F122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22" s="7"/>
      <c r="H122" s="7"/>
      <c r="I122" s="7"/>
      <c r="J122" s="7"/>
      <c r="K122" s="7"/>
      <c r="L122" s="27"/>
      <c r="M122" s="7"/>
      <c r="N122" s="7"/>
      <c r="O122" s="7"/>
      <c r="P122" s="7"/>
      <c r="Q122" s="7"/>
      <c r="R122" s="7"/>
    </row>
    <row r="123" spans="6:18" x14ac:dyDescent="0.25">
      <c r="F123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23" s="7"/>
      <c r="H123" s="7"/>
      <c r="I123" s="7"/>
      <c r="J123" s="7"/>
      <c r="K123" s="7"/>
      <c r="L123" s="27"/>
      <c r="M123" s="7"/>
      <c r="N123" s="7"/>
      <c r="O123" s="7"/>
      <c r="P123" s="7"/>
      <c r="Q123" s="7"/>
      <c r="R123" s="7"/>
    </row>
    <row r="124" spans="6:18" x14ac:dyDescent="0.25">
      <c r="F124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24" s="7"/>
      <c r="H124" s="7"/>
      <c r="I124" s="7"/>
      <c r="J124" s="7"/>
      <c r="K124" s="7"/>
      <c r="L124" s="27"/>
      <c r="M124" s="7"/>
      <c r="N124" s="7"/>
      <c r="O124" s="7"/>
      <c r="P124" s="7"/>
      <c r="Q124" s="7"/>
      <c r="R124" s="7"/>
    </row>
    <row r="125" spans="6:18" x14ac:dyDescent="0.25">
      <c r="F125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25" s="7"/>
      <c r="H125" s="7"/>
      <c r="I125" s="7"/>
      <c r="J125" s="7"/>
      <c r="K125" s="7"/>
      <c r="L125" s="27"/>
      <c r="M125" s="7"/>
      <c r="N125" s="7"/>
      <c r="O125" s="7"/>
      <c r="P125" s="7"/>
      <c r="Q125" s="7"/>
      <c r="R125" s="7"/>
    </row>
    <row r="126" spans="6:18" x14ac:dyDescent="0.25">
      <c r="F126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26" s="7"/>
      <c r="H126" s="7"/>
      <c r="I126" s="7"/>
      <c r="J126" s="7"/>
      <c r="K126" s="7"/>
      <c r="L126" s="27"/>
      <c r="M126" s="7"/>
      <c r="N126" s="7"/>
      <c r="O126" s="7"/>
      <c r="P126" s="7"/>
      <c r="Q126" s="7"/>
      <c r="R126" s="7"/>
    </row>
    <row r="127" spans="6:18" x14ac:dyDescent="0.25">
      <c r="F127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27" s="7"/>
      <c r="H127" s="7"/>
      <c r="I127" s="7"/>
      <c r="J127" s="7"/>
      <c r="K127" s="7"/>
      <c r="L127" s="27"/>
      <c r="M127" s="7"/>
      <c r="N127" s="7"/>
      <c r="O127" s="7"/>
      <c r="P127" s="7"/>
      <c r="Q127" s="7"/>
      <c r="R127" s="7"/>
    </row>
    <row r="128" spans="6:18" x14ac:dyDescent="0.25">
      <c r="F128" s="238" t="str">
        <f>CONCATENATE(Таблица17[[#This Row],[Вид]],Таблица17[[#This Row],[Тип]],Таблица17[[#This Row],[Производитель]],Таблица17[[#This Row],[Тип2]],Таблица17[[#This Row],[сечение ]])</f>
        <v/>
      </c>
      <c r="G128" s="7"/>
      <c r="H128" s="7"/>
      <c r="I128" s="7"/>
      <c r="J128" s="7"/>
      <c r="K128" s="7"/>
      <c r="L128" s="27"/>
      <c r="M128" s="7"/>
      <c r="N128" s="7"/>
      <c r="O128" s="7"/>
      <c r="P128" s="7"/>
      <c r="Q128" s="7"/>
      <c r="R128" s="7"/>
    </row>
  </sheetData>
  <mergeCells count="1">
    <mergeCell ref="W11:Z11"/>
  </mergeCells>
  <conditionalFormatting sqref="E30">
    <cfRule type="containsErrors" dxfId="135" priority="1">
      <formula>ISERROR(E30)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51"/>
  <sheetViews>
    <sheetView topLeftCell="A43" zoomScale="80" zoomScaleNormal="80" workbookViewId="0">
      <selection activeCell="G6" sqref="G6"/>
    </sheetView>
  </sheetViews>
  <sheetFormatPr defaultRowHeight="15" x14ac:dyDescent="0.25"/>
  <cols>
    <col min="1" max="1" width="9.140625" style="209"/>
    <col min="2" max="2" width="21" style="209" bestFit="1" customWidth="1"/>
    <col min="3" max="3" width="12.7109375" style="209" customWidth="1"/>
    <col min="4" max="5" width="9.140625" style="209"/>
    <col min="6" max="6" width="11.85546875" style="209" customWidth="1"/>
    <col min="7" max="8" width="9.140625" style="209"/>
    <col min="9" max="9" width="15.28515625" style="209" customWidth="1"/>
    <col min="10" max="10" width="11.85546875" style="209" customWidth="1"/>
    <col min="11" max="14" width="9.140625" style="209"/>
    <col min="15" max="15" width="18.85546875" style="209" bestFit="1" customWidth="1"/>
    <col min="16" max="16" width="12.7109375" style="209" bestFit="1" customWidth="1"/>
    <col min="17" max="17" width="9.140625" style="209"/>
    <col min="18" max="18" width="24.5703125" style="209" bestFit="1" customWidth="1"/>
    <col min="19" max="19" width="12.28515625" style="209" customWidth="1"/>
    <col min="20" max="22" width="9.140625" style="209"/>
    <col min="23" max="23" width="23.28515625" style="209" customWidth="1"/>
    <col min="24" max="16384" width="9.140625" style="209"/>
  </cols>
  <sheetData>
    <row r="1" spans="2:19" x14ac:dyDescent="0.25">
      <c r="D1" s="209">
        <v>1</v>
      </c>
    </row>
    <row r="2" spans="2:19" x14ac:dyDescent="0.25">
      <c r="B2" s="209" t="s">
        <v>198</v>
      </c>
      <c r="D2" s="209">
        <v>2</v>
      </c>
      <c r="R2" s="209" t="s">
        <v>23</v>
      </c>
    </row>
    <row r="3" spans="2:19" x14ac:dyDescent="0.25">
      <c r="D3" s="209">
        <v>3</v>
      </c>
      <c r="O3" s="19"/>
      <c r="P3" s="20"/>
      <c r="R3" s="209" t="s">
        <v>394</v>
      </c>
      <c r="S3" s="209" t="s">
        <v>395</v>
      </c>
    </row>
    <row r="4" spans="2:19" x14ac:dyDescent="0.25">
      <c r="B4" s="209" t="s">
        <v>156</v>
      </c>
      <c r="D4" s="209">
        <v>4</v>
      </c>
      <c r="O4" s="19"/>
      <c r="P4" s="21"/>
      <c r="R4" s="209" t="s">
        <v>396</v>
      </c>
      <c r="S4" s="209" t="s">
        <v>395</v>
      </c>
    </row>
    <row r="5" spans="2:19" x14ac:dyDescent="0.25">
      <c r="B5" s="209" t="s">
        <v>157</v>
      </c>
      <c r="D5" s="209">
        <v>5</v>
      </c>
      <c r="K5" s="209" t="s">
        <v>164</v>
      </c>
      <c r="M5" s="209" t="s">
        <v>199</v>
      </c>
      <c r="O5" s="209" t="s">
        <v>23</v>
      </c>
      <c r="P5" s="209" t="s">
        <v>24</v>
      </c>
      <c r="R5" s="209" t="s">
        <v>397</v>
      </c>
      <c r="S5" s="209" t="s">
        <v>395</v>
      </c>
    </row>
    <row r="6" spans="2:19" x14ac:dyDescent="0.25">
      <c r="B6" s="209" t="s">
        <v>158</v>
      </c>
      <c r="D6" s="209">
        <v>6</v>
      </c>
      <c r="O6" s="211"/>
      <c r="P6" s="246"/>
      <c r="R6" s="209" t="s">
        <v>398</v>
      </c>
      <c r="S6" s="209" t="s">
        <v>399</v>
      </c>
    </row>
    <row r="7" spans="2:19" x14ac:dyDescent="0.25">
      <c r="B7" s="209" t="s">
        <v>159</v>
      </c>
      <c r="D7" s="209">
        <v>7</v>
      </c>
      <c r="K7" s="209" t="s">
        <v>165</v>
      </c>
      <c r="L7" s="209" t="s">
        <v>166</v>
      </c>
      <c r="M7" s="15" t="s">
        <v>207</v>
      </c>
      <c r="O7" s="209" t="s">
        <v>215</v>
      </c>
      <c r="P7" s="22" t="s">
        <v>168</v>
      </c>
      <c r="R7" s="209" t="s">
        <v>400</v>
      </c>
      <c r="S7" s="209" t="s">
        <v>399</v>
      </c>
    </row>
    <row r="8" spans="2:19" x14ac:dyDescent="0.25">
      <c r="B8" s="209" t="s">
        <v>160</v>
      </c>
      <c r="D8" s="209">
        <v>8</v>
      </c>
      <c r="K8" s="209" t="s">
        <v>167</v>
      </c>
      <c r="L8" s="209" t="s">
        <v>168</v>
      </c>
      <c r="M8" s="14" t="s">
        <v>208</v>
      </c>
      <c r="O8" s="209" t="s">
        <v>216</v>
      </c>
      <c r="P8" s="23" t="s">
        <v>170</v>
      </c>
      <c r="R8" s="209" t="s">
        <v>401</v>
      </c>
      <c r="S8" s="209" t="s">
        <v>399</v>
      </c>
    </row>
    <row r="9" spans="2:19" x14ac:dyDescent="0.25">
      <c r="B9" s="209" t="s">
        <v>161</v>
      </c>
      <c r="D9" s="209">
        <v>9</v>
      </c>
      <c r="K9" s="209" t="s">
        <v>169</v>
      </c>
      <c r="L9" s="209" t="s">
        <v>170</v>
      </c>
      <c r="M9" s="15" t="s">
        <v>209</v>
      </c>
      <c r="O9" s="209" t="s">
        <v>217</v>
      </c>
      <c r="P9" s="22" t="s">
        <v>170</v>
      </c>
      <c r="R9" s="209" t="s">
        <v>402</v>
      </c>
      <c r="S9" s="209" t="s">
        <v>403</v>
      </c>
    </row>
    <row r="10" spans="2:19" x14ac:dyDescent="0.25">
      <c r="B10" s="209" t="s">
        <v>380</v>
      </c>
      <c r="D10" s="209">
        <v>10</v>
      </c>
      <c r="K10" s="209" t="s">
        <v>171</v>
      </c>
      <c r="L10" s="209" t="s">
        <v>172</v>
      </c>
      <c r="M10" s="14" t="s">
        <v>210</v>
      </c>
      <c r="O10" s="209" t="s">
        <v>218</v>
      </c>
      <c r="P10" s="23" t="s">
        <v>170</v>
      </c>
      <c r="R10" s="209" t="s">
        <v>404</v>
      </c>
      <c r="S10" s="209" t="s">
        <v>403</v>
      </c>
    </row>
    <row r="11" spans="2:19" x14ac:dyDescent="0.25">
      <c r="B11" s="209" t="s">
        <v>381</v>
      </c>
      <c r="D11" s="209">
        <v>11</v>
      </c>
      <c r="K11" s="209" t="s">
        <v>173</v>
      </c>
      <c r="L11" s="209" t="s">
        <v>174</v>
      </c>
      <c r="M11" s="15" t="s">
        <v>211</v>
      </c>
      <c r="O11" s="209" t="s">
        <v>219</v>
      </c>
      <c r="P11" s="22" t="s">
        <v>170</v>
      </c>
      <c r="R11" s="209" t="s">
        <v>405</v>
      </c>
      <c r="S11" s="209" t="s">
        <v>403</v>
      </c>
    </row>
    <row r="12" spans="2:19" x14ac:dyDescent="0.25">
      <c r="D12" s="209">
        <v>12</v>
      </c>
      <c r="K12" s="209" t="s">
        <v>175</v>
      </c>
      <c r="L12" s="209" t="s">
        <v>176</v>
      </c>
      <c r="M12" s="14" t="s">
        <v>212</v>
      </c>
      <c r="O12" s="209" t="s">
        <v>220</v>
      </c>
      <c r="P12" s="23" t="s">
        <v>170</v>
      </c>
    </row>
    <row r="13" spans="2:19" x14ac:dyDescent="0.25">
      <c r="D13" s="209">
        <v>13</v>
      </c>
      <c r="K13" s="209" t="s">
        <v>177</v>
      </c>
      <c r="L13" s="209" t="s">
        <v>178</v>
      </c>
      <c r="M13" s="15" t="s">
        <v>213</v>
      </c>
      <c r="O13" s="209" t="s">
        <v>221</v>
      </c>
      <c r="P13" s="22" t="s">
        <v>170</v>
      </c>
    </row>
    <row r="14" spans="2:19" x14ac:dyDescent="0.25">
      <c r="D14" s="209">
        <v>14</v>
      </c>
      <c r="K14" s="209" t="s">
        <v>179</v>
      </c>
      <c r="L14" s="209" t="s">
        <v>180</v>
      </c>
      <c r="M14" s="16" t="s">
        <v>214</v>
      </c>
      <c r="O14" s="209" t="s">
        <v>222</v>
      </c>
      <c r="P14" s="23" t="s">
        <v>172</v>
      </c>
    </row>
    <row r="15" spans="2:19" x14ac:dyDescent="0.25">
      <c r="D15" s="209">
        <v>15</v>
      </c>
      <c r="K15" s="209" t="s">
        <v>181</v>
      </c>
      <c r="L15" s="209" t="s">
        <v>182</v>
      </c>
      <c r="M15" s="14" t="s">
        <v>1094</v>
      </c>
      <c r="O15" s="209" t="s">
        <v>223</v>
      </c>
      <c r="P15" s="22" t="s">
        <v>172</v>
      </c>
    </row>
    <row r="16" spans="2:19" x14ac:dyDescent="0.25">
      <c r="D16" s="209">
        <v>16</v>
      </c>
      <c r="K16" s="209" t="s">
        <v>183</v>
      </c>
      <c r="L16" s="209" t="s">
        <v>184</v>
      </c>
      <c r="M16" s="14" t="s">
        <v>1096</v>
      </c>
      <c r="O16" s="209" t="s">
        <v>224</v>
      </c>
      <c r="P16" s="23" t="s">
        <v>172</v>
      </c>
      <c r="R16" s="209" t="s">
        <v>23</v>
      </c>
      <c r="S16" s="209" t="s">
        <v>24</v>
      </c>
    </row>
    <row r="17" spans="2:19" x14ac:dyDescent="0.25">
      <c r="D17" s="209">
        <v>17</v>
      </c>
      <c r="K17" s="209" t="s">
        <v>185</v>
      </c>
      <c r="L17" s="209" t="s">
        <v>186</v>
      </c>
      <c r="M17" s="14" t="s">
        <v>1098</v>
      </c>
      <c r="O17" s="209" t="s">
        <v>225</v>
      </c>
      <c r="P17" s="22" t="s">
        <v>172</v>
      </c>
      <c r="R17" s="209" t="s">
        <v>394</v>
      </c>
      <c r="S17" s="209" t="s">
        <v>395</v>
      </c>
    </row>
    <row r="18" spans="2:19" x14ac:dyDescent="0.25">
      <c r="D18" s="209">
        <v>18</v>
      </c>
      <c r="K18" s="209" t="s">
        <v>187</v>
      </c>
      <c r="L18" s="209" t="s">
        <v>188</v>
      </c>
      <c r="M18" s="14" t="s">
        <v>1100</v>
      </c>
      <c r="O18" s="209" t="s">
        <v>226</v>
      </c>
      <c r="P18" s="23" t="s">
        <v>172</v>
      </c>
      <c r="R18" s="209" t="s">
        <v>396</v>
      </c>
      <c r="S18" s="209" t="s">
        <v>395</v>
      </c>
    </row>
    <row r="19" spans="2:19" x14ac:dyDescent="0.25">
      <c r="D19" s="209">
        <v>19</v>
      </c>
      <c r="K19" s="209" t="s">
        <v>189</v>
      </c>
      <c r="L19" s="209" t="s">
        <v>186</v>
      </c>
      <c r="O19" s="209" t="s">
        <v>227</v>
      </c>
      <c r="P19" s="22" t="s">
        <v>174</v>
      </c>
      <c r="R19" s="209" t="s">
        <v>397</v>
      </c>
      <c r="S19" s="209" t="s">
        <v>395</v>
      </c>
    </row>
    <row r="20" spans="2:19" x14ac:dyDescent="0.25">
      <c r="K20" s="209" t="s">
        <v>190</v>
      </c>
      <c r="L20" s="209" t="s">
        <v>188</v>
      </c>
      <c r="O20" s="209" t="s">
        <v>228</v>
      </c>
      <c r="P20" s="23" t="s">
        <v>174</v>
      </c>
      <c r="R20" s="209" t="s">
        <v>398</v>
      </c>
      <c r="S20" s="209" t="s">
        <v>399</v>
      </c>
    </row>
    <row r="21" spans="2:19" x14ac:dyDescent="0.25">
      <c r="B21" s="15" t="s">
        <v>156</v>
      </c>
      <c r="C21" s="209" t="s">
        <v>164</v>
      </c>
      <c r="K21" s="209" t="s">
        <v>191</v>
      </c>
      <c r="L21" s="209" t="s">
        <v>192</v>
      </c>
      <c r="O21" s="209" t="s">
        <v>229</v>
      </c>
      <c r="P21" s="22" t="s">
        <v>174</v>
      </c>
      <c r="R21" s="209" t="s">
        <v>400</v>
      </c>
      <c r="S21" s="209" t="s">
        <v>399</v>
      </c>
    </row>
    <row r="22" spans="2:19" x14ac:dyDescent="0.25">
      <c r="B22" s="14" t="s">
        <v>157</v>
      </c>
      <c r="C22" s="209" t="s">
        <v>199</v>
      </c>
      <c r="K22" s="209" t="s">
        <v>193</v>
      </c>
      <c r="L22" s="209" t="s">
        <v>194</v>
      </c>
      <c r="O22" s="209" t="s">
        <v>230</v>
      </c>
      <c r="P22" s="23" t="s">
        <v>176</v>
      </c>
      <c r="R22" s="209" t="s">
        <v>401</v>
      </c>
      <c r="S22" s="209" t="s">
        <v>399</v>
      </c>
    </row>
    <row r="23" spans="2:19" x14ac:dyDescent="0.25">
      <c r="B23" s="15" t="s">
        <v>158</v>
      </c>
      <c r="C23" s="209" t="s">
        <v>200</v>
      </c>
      <c r="K23" s="209" t="s">
        <v>195</v>
      </c>
      <c r="L23" s="209" t="s">
        <v>192</v>
      </c>
      <c r="O23" s="209" t="s">
        <v>231</v>
      </c>
      <c r="P23" s="22" t="s">
        <v>176</v>
      </c>
      <c r="R23" s="209" t="s">
        <v>402</v>
      </c>
      <c r="S23" s="209" t="s">
        <v>403</v>
      </c>
    </row>
    <row r="24" spans="2:19" x14ac:dyDescent="0.25">
      <c r="B24" s="14" t="s">
        <v>159</v>
      </c>
      <c r="C24" s="209" t="s">
        <v>201</v>
      </c>
      <c r="K24" s="209" t="s">
        <v>196</v>
      </c>
      <c r="L24" s="209" t="s">
        <v>194</v>
      </c>
      <c r="R24" s="209" t="s">
        <v>404</v>
      </c>
      <c r="S24" s="209" t="s">
        <v>403</v>
      </c>
    </row>
    <row r="25" spans="2:19" x14ac:dyDescent="0.25">
      <c r="B25" s="15" t="s">
        <v>160</v>
      </c>
      <c r="C25" s="209" t="s">
        <v>202</v>
      </c>
      <c r="R25" s="209" t="s">
        <v>405</v>
      </c>
      <c r="S25" s="209" t="s">
        <v>403</v>
      </c>
    </row>
    <row r="26" spans="2:19" x14ac:dyDescent="0.25">
      <c r="B26" s="14" t="s">
        <v>161</v>
      </c>
      <c r="C26" s="209" t="s">
        <v>203</v>
      </c>
    </row>
    <row r="27" spans="2:19" x14ac:dyDescent="0.25">
      <c r="B27" s="15" t="s">
        <v>162</v>
      </c>
      <c r="C27" s="209" t="s">
        <v>204</v>
      </c>
    </row>
    <row r="28" spans="2:19" x14ac:dyDescent="0.25">
      <c r="B28" s="14" t="s">
        <v>163</v>
      </c>
      <c r="C28" s="209" t="s">
        <v>205</v>
      </c>
    </row>
    <row r="29" spans="2:19" x14ac:dyDescent="0.25">
      <c r="I29" s="209" t="s">
        <v>23</v>
      </c>
      <c r="J29" s="209" t="s">
        <v>24</v>
      </c>
    </row>
    <row r="30" spans="2:19" x14ac:dyDescent="0.25">
      <c r="I30" s="209" t="s">
        <v>165</v>
      </c>
      <c r="J30" s="209" t="s">
        <v>166</v>
      </c>
      <c r="O30" s="209" t="s">
        <v>23</v>
      </c>
      <c r="R30" s="209" t="s">
        <v>205</v>
      </c>
    </row>
    <row r="31" spans="2:19" x14ac:dyDescent="0.25">
      <c r="B31" s="209" t="s">
        <v>198</v>
      </c>
      <c r="I31" s="209" t="s">
        <v>167</v>
      </c>
      <c r="J31" s="209" t="s">
        <v>168</v>
      </c>
      <c r="O31" s="209" t="s">
        <v>406</v>
      </c>
      <c r="P31" s="209" t="s">
        <v>168</v>
      </c>
      <c r="R31" s="209" t="s">
        <v>1195</v>
      </c>
    </row>
    <row r="32" spans="2:19" x14ac:dyDescent="0.25">
      <c r="I32" s="209" t="s">
        <v>169</v>
      </c>
      <c r="J32" s="209" t="s">
        <v>170</v>
      </c>
      <c r="O32" s="209" t="s">
        <v>410</v>
      </c>
      <c r="P32" s="209" t="s">
        <v>168</v>
      </c>
      <c r="R32" s="209" t="s">
        <v>1197</v>
      </c>
    </row>
    <row r="33" spans="2:18" x14ac:dyDescent="0.25">
      <c r="B33" s="209" t="s">
        <v>2492</v>
      </c>
      <c r="I33" s="209" t="s">
        <v>171</v>
      </c>
      <c r="J33" s="209" t="s">
        <v>172</v>
      </c>
      <c r="O33" s="209" t="s">
        <v>414</v>
      </c>
      <c r="P33" s="209" t="s">
        <v>170</v>
      </c>
      <c r="R33" s="209" t="s">
        <v>1199</v>
      </c>
    </row>
    <row r="34" spans="2:18" x14ac:dyDescent="0.25">
      <c r="B34" s="209" t="s">
        <v>2493</v>
      </c>
      <c r="I34" s="209" t="s">
        <v>173</v>
      </c>
      <c r="J34" s="209" t="s">
        <v>174</v>
      </c>
      <c r="O34" s="209" t="s">
        <v>418</v>
      </c>
      <c r="P34" s="209" t="s">
        <v>170</v>
      </c>
      <c r="R34" s="209" t="s">
        <v>1201</v>
      </c>
    </row>
    <row r="35" spans="2:18" x14ac:dyDescent="0.25">
      <c r="B35" s="209" t="s">
        <v>2495</v>
      </c>
      <c r="I35" s="209" t="s">
        <v>175</v>
      </c>
      <c r="J35" s="209" t="s">
        <v>176</v>
      </c>
      <c r="O35" s="209" t="s">
        <v>422</v>
      </c>
      <c r="P35" s="209" t="s">
        <v>172</v>
      </c>
      <c r="R35" s="209" t="s">
        <v>1203</v>
      </c>
    </row>
    <row r="36" spans="2:18" x14ac:dyDescent="0.25">
      <c r="B36" s="209" t="s">
        <v>2494</v>
      </c>
      <c r="I36" s="209" t="s">
        <v>177</v>
      </c>
      <c r="J36" s="209" t="s">
        <v>178</v>
      </c>
      <c r="O36" s="209" t="s">
        <v>426</v>
      </c>
      <c r="P36" s="209" t="s">
        <v>172</v>
      </c>
      <c r="R36" s="209" t="s">
        <v>1205</v>
      </c>
    </row>
    <row r="37" spans="2:18" x14ac:dyDescent="0.25">
      <c r="B37" s="209" t="s">
        <v>2496</v>
      </c>
      <c r="I37" s="209" t="s">
        <v>179</v>
      </c>
      <c r="J37" s="209" t="s">
        <v>180</v>
      </c>
      <c r="O37" s="209" t="s">
        <v>430</v>
      </c>
      <c r="P37" s="209" t="s">
        <v>174</v>
      </c>
      <c r="R37" s="209" t="s">
        <v>1207</v>
      </c>
    </row>
    <row r="38" spans="2:18" x14ac:dyDescent="0.25">
      <c r="B38" s="209" t="s">
        <v>2497</v>
      </c>
      <c r="I38" s="209" t="s">
        <v>181</v>
      </c>
      <c r="J38" s="209" t="s">
        <v>182</v>
      </c>
      <c r="O38" s="209" t="s">
        <v>434</v>
      </c>
      <c r="P38" s="209" t="s">
        <v>174</v>
      </c>
      <c r="R38" s="209" t="s">
        <v>1209</v>
      </c>
    </row>
    <row r="39" spans="2:18" x14ac:dyDescent="0.25">
      <c r="B39" s="209" t="s">
        <v>2498</v>
      </c>
      <c r="I39" s="209" t="s">
        <v>183</v>
      </c>
      <c r="J39" s="209" t="s">
        <v>184</v>
      </c>
      <c r="O39" s="209" t="s">
        <v>438</v>
      </c>
      <c r="P39" s="209" t="s">
        <v>176</v>
      </c>
      <c r="R39" s="209" t="s">
        <v>1211</v>
      </c>
    </row>
    <row r="40" spans="2:18" x14ac:dyDescent="0.25">
      <c r="B40" s="209" t="s">
        <v>2499</v>
      </c>
      <c r="I40" s="209" t="s">
        <v>185</v>
      </c>
      <c r="J40" s="209" t="s">
        <v>186</v>
      </c>
      <c r="O40" s="209" t="s">
        <v>442</v>
      </c>
      <c r="P40" s="209" t="s">
        <v>176</v>
      </c>
      <c r="R40" s="209" t="s">
        <v>1213</v>
      </c>
    </row>
    <row r="41" spans="2:18" x14ac:dyDescent="0.25">
      <c r="I41" s="209" t="s">
        <v>187</v>
      </c>
      <c r="J41" s="209" t="s">
        <v>188</v>
      </c>
      <c r="O41" s="209" t="s">
        <v>446</v>
      </c>
      <c r="P41" s="209" t="s">
        <v>178</v>
      </c>
      <c r="R41" s="209" t="s">
        <v>1215</v>
      </c>
    </row>
    <row r="42" spans="2:18" x14ac:dyDescent="0.25">
      <c r="I42" s="209" t="s">
        <v>189</v>
      </c>
      <c r="J42" s="209" t="s">
        <v>186</v>
      </c>
      <c r="O42" s="209" t="s">
        <v>450</v>
      </c>
      <c r="P42" s="209" t="s">
        <v>178</v>
      </c>
      <c r="R42" s="209" t="s">
        <v>1217</v>
      </c>
    </row>
    <row r="43" spans="2:18" x14ac:dyDescent="0.25">
      <c r="I43" s="209" t="s">
        <v>190</v>
      </c>
      <c r="J43" s="209" t="s">
        <v>188</v>
      </c>
      <c r="O43" s="209" t="s">
        <v>407</v>
      </c>
      <c r="P43" s="209" t="s">
        <v>168</v>
      </c>
      <c r="R43" s="209" t="s">
        <v>1219</v>
      </c>
    </row>
    <row r="44" spans="2:18" x14ac:dyDescent="0.25">
      <c r="I44" s="209" t="s">
        <v>191</v>
      </c>
      <c r="J44" s="209" t="s">
        <v>192</v>
      </c>
      <c r="O44" s="209" t="s">
        <v>411</v>
      </c>
      <c r="P44" s="209" t="s">
        <v>168</v>
      </c>
    </row>
    <row r="45" spans="2:18" x14ac:dyDescent="0.25">
      <c r="I45" s="209" t="s">
        <v>193</v>
      </c>
      <c r="J45" s="209" t="s">
        <v>194</v>
      </c>
      <c r="O45" s="209" t="s">
        <v>415</v>
      </c>
      <c r="P45" s="209" t="s">
        <v>170</v>
      </c>
    </row>
    <row r="46" spans="2:18" x14ac:dyDescent="0.25">
      <c r="I46" s="209" t="s">
        <v>195</v>
      </c>
      <c r="J46" s="209" t="s">
        <v>192</v>
      </c>
      <c r="O46" s="209" t="s">
        <v>419</v>
      </c>
      <c r="P46" s="209" t="s">
        <v>170</v>
      </c>
    </row>
    <row r="47" spans="2:18" x14ac:dyDescent="0.25">
      <c r="I47" s="209" t="s">
        <v>196</v>
      </c>
      <c r="J47" s="209" t="s">
        <v>194</v>
      </c>
      <c r="O47" s="209" t="s">
        <v>423</v>
      </c>
      <c r="P47" s="209" t="s">
        <v>172</v>
      </c>
    </row>
    <row r="48" spans="2:18" x14ac:dyDescent="0.25">
      <c r="I48" s="15" t="s">
        <v>207</v>
      </c>
      <c r="J48" s="209" t="s">
        <v>166</v>
      </c>
      <c r="O48" s="209" t="s">
        <v>427</v>
      </c>
      <c r="P48" s="209" t="s">
        <v>172</v>
      </c>
    </row>
    <row r="49" spans="9:16" x14ac:dyDescent="0.25">
      <c r="I49" s="14" t="s">
        <v>208</v>
      </c>
      <c r="J49" s="209" t="s">
        <v>168</v>
      </c>
      <c r="O49" s="209" t="s">
        <v>431</v>
      </c>
      <c r="P49" s="209" t="s">
        <v>174</v>
      </c>
    </row>
    <row r="50" spans="9:16" x14ac:dyDescent="0.25">
      <c r="I50" s="15" t="s">
        <v>209</v>
      </c>
      <c r="J50" s="209" t="s">
        <v>170</v>
      </c>
      <c r="O50" s="209" t="s">
        <v>435</v>
      </c>
      <c r="P50" s="209" t="s">
        <v>174</v>
      </c>
    </row>
    <row r="51" spans="9:16" x14ac:dyDescent="0.25">
      <c r="I51" s="14" t="s">
        <v>210</v>
      </c>
      <c r="J51" s="209" t="s">
        <v>172</v>
      </c>
      <c r="O51" s="209" t="s">
        <v>439</v>
      </c>
      <c r="P51" s="209" t="s">
        <v>176</v>
      </c>
    </row>
    <row r="52" spans="9:16" x14ac:dyDescent="0.25">
      <c r="I52" s="15" t="s">
        <v>211</v>
      </c>
      <c r="J52" s="209" t="s">
        <v>174</v>
      </c>
      <c r="O52" s="209" t="s">
        <v>443</v>
      </c>
      <c r="P52" s="209" t="s">
        <v>176</v>
      </c>
    </row>
    <row r="53" spans="9:16" x14ac:dyDescent="0.25">
      <c r="I53" s="14" t="s">
        <v>212</v>
      </c>
      <c r="J53" s="209" t="s">
        <v>176</v>
      </c>
      <c r="O53" s="209" t="s">
        <v>447</v>
      </c>
      <c r="P53" s="209" t="s">
        <v>178</v>
      </c>
    </row>
    <row r="54" spans="9:16" x14ac:dyDescent="0.25">
      <c r="I54" s="15" t="s">
        <v>213</v>
      </c>
      <c r="J54" s="209" t="s">
        <v>178</v>
      </c>
      <c r="O54" s="209" t="s">
        <v>451</v>
      </c>
      <c r="P54" s="209" t="s">
        <v>178</v>
      </c>
    </row>
    <row r="55" spans="9:16" x14ac:dyDescent="0.25">
      <c r="I55" s="14" t="s">
        <v>214</v>
      </c>
      <c r="J55" s="209" t="s">
        <v>180</v>
      </c>
      <c r="O55" s="209" t="s">
        <v>408</v>
      </c>
      <c r="P55" s="209" t="s">
        <v>168</v>
      </c>
    </row>
    <row r="56" spans="9:16" x14ac:dyDescent="0.25">
      <c r="I56" s="209" t="s">
        <v>165</v>
      </c>
      <c r="J56" s="209" t="s">
        <v>166</v>
      </c>
      <c r="O56" s="209" t="s">
        <v>412</v>
      </c>
      <c r="P56" s="209" t="s">
        <v>168</v>
      </c>
    </row>
    <row r="57" spans="9:16" x14ac:dyDescent="0.25">
      <c r="I57" s="209" t="s">
        <v>167</v>
      </c>
      <c r="J57" s="209" t="s">
        <v>168</v>
      </c>
      <c r="O57" s="209" t="s">
        <v>416</v>
      </c>
      <c r="P57" s="209" t="s">
        <v>170</v>
      </c>
    </row>
    <row r="58" spans="9:16" x14ac:dyDescent="0.25">
      <c r="I58" s="209" t="s">
        <v>169</v>
      </c>
      <c r="J58" s="209" t="s">
        <v>170</v>
      </c>
      <c r="O58" s="209" t="s">
        <v>420</v>
      </c>
      <c r="P58" s="209" t="s">
        <v>170</v>
      </c>
    </row>
    <row r="59" spans="9:16" x14ac:dyDescent="0.25">
      <c r="I59" s="209" t="s">
        <v>171</v>
      </c>
      <c r="J59" s="209" t="s">
        <v>172</v>
      </c>
      <c r="O59" s="209" t="s">
        <v>424</v>
      </c>
      <c r="P59" s="209" t="s">
        <v>172</v>
      </c>
    </row>
    <row r="60" spans="9:16" x14ac:dyDescent="0.25">
      <c r="I60" s="209" t="s">
        <v>173</v>
      </c>
      <c r="J60" s="209" t="s">
        <v>174</v>
      </c>
      <c r="O60" s="209" t="s">
        <v>428</v>
      </c>
      <c r="P60" s="209" t="s">
        <v>172</v>
      </c>
    </row>
    <row r="61" spans="9:16" x14ac:dyDescent="0.25">
      <c r="I61" s="209" t="s">
        <v>175</v>
      </c>
      <c r="J61" s="209" t="s">
        <v>176</v>
      </c>
      <c r="O61" s="209" t="s">
        <v>432</v>
      </c>
      <c r="P61" s="209" t="s">
        <v>174</v>
      </c>
    </row>
    <row r="62" spans="9:16" x14ac:dyDescent="0.25">
      <c r="I62" s="209" t="s">
        <v>215</v>
      </c>
      <c r="J62" s="209" t="s">
        <v>168</v>
      </c>
      <c r="O62" s="209" t="s">
        <v>436</v>
      </c>
      <c r="P62" s="209" t="s">
        <v>174</v>
      </c>
    </row>
    <row r="63" spans="9:16" x14ac:dyDescent="0.25">
      <c r="I63" s="209" t="s">
        <v>216</v>
      </c>
      <c r="J63" s="209" t="s">
        <v>170</v>
      </c>
      <c r="O63" s="209" t="s">
        <v>440</v>
      </c>
      <c r="P63" s="209" t="s">
        <v>176</v>
      </c>
    </row>
    <row r="64" spans="9:16" x14ac:dyDescent="0.25">
      <c r="I64" s="209" t="s">
        <v>217</v>
      </c>
      <c r="J64" s="209" t="s">
        <v>170</v>
      </c>
      <c r="O64" s="209" t="s">
        <v>444</v>
      </c>
      <c r="P64" s="209" t="s">
        <v>176</v>
      </c>
    </row>
    <row r="65" spans="9:16" x14ac:dyDescent="0.25">
      <c r="I65" s="209" t="s">
        <v>218</v>
      </c>
      <c r="J65" s="209" t="s">
        <v>170</v>
      </c>
      <c r="O65" s="209" t="s">
        <v>448</v>
      </c>
      <c r="P65" s="209" t="s">
        <v>178</v>
      </c>
    </row>
    <row r="66" spans="9:16" x14ac:dyDescent="0.25">
      <c r="I66" s="209" t="s">
        <v>219</v>
      </c>
      <c r="J66" s="209" t="s">
        <v>170</v>
      </c>
      <c r="O66" s="209" t="s">
        <v>452</v>
      </c>
      <c r="P66" s="209" t="s">
        <v>178</v>
      </c>
    </row>
    <row r="67" spans="9:16" x14ac:dyDescent="0.25">
      <c r="I67" s="209" t="s">
        <v>220</v>
      </c>
      <c r="J67" s="209" t="s">
        <v>170</v>
      </c>
      <c r="O67" s="209" t="s">
        <v>409</v>
      </c>
      <c r="P67" s="209" t="s">
        <v>168</v>
      </c>
    </row>
    <row r="68" spans="9:16" x14ac:dyDescent="0.25">
      <c r="I68" s="209" t="s">
        <v>221</v>
      </c>
      <c r="J68" s="209" t="s">
        <v>170</v>
      </c>
      <c r="O68" s="209" t="s">
        <v>413</v>
      </c>
      <c r="P68" s="209" t="s">
        <v>168</v>
      </c>
    </row>
    <row r="69" spans="9:16" x14ac:dyDescent="0.25">
      <c r="I69" s="209" t="s">
        <v>222</v>
      </c>
      <c r="J69" s="209" t="s">
        <v>172</v>
      </c>
      <c r="O69" s="209" t="s">
        <v>417</v>
      </c>
      <c r="P69" s="209" t="s">
        <v>170</v>
      </c>
    </row>
    <row r="70" spans="9:16" x14ac:dyDescent="0.25">
      <c r="I70" s="209" t="s">
        <v>223</v>
      </c>
      <c r="J70" s="209" t="s">
        <v>172</v>
      </c>
      <c r="O70" s="209" t="s">
        <v>421</v>
      </c>
      <c r="P70" s="209" t="s">
        <v>170</v>
      </c>
    </row>
    <row r="71" spans="9:16" x14ac:dyDescent="0.25">
      <c r="I71" s="209" t="s">
        <v>224</v>
      </c>
      <c r="J71" s="209" t="s">
        <v>172</v>
      </c>
      <c r="O71" s="209" t="s">
        <v>425</v>
      </c>
      <c r="P71" s="209" t="s">
        <v>172</v>
      </c>
    </row>
    <row r="72" spans="9:16" x14ac:dyDescent="0.25">
      <c r="I72" s="209" t="s">
        <v>225</v>
      </c>
      <c r="J72" s="209" t="s">
        <v>172</v>
      </c>
      <c r="O72" s="209" t="s">
        <v>429</v>
      </c>
      <c r="P72" s="209" t="s">
        <v>172</v>
      </c>
    </row>
    <row r="73" spans="9:16" x14ac:dyDescent="0.25">
      <c r="I73" s="209" t="s">
        <v>226</v>
      </c>
      <c r="J73" s="209" t="s">
        <v>172</v>
      </c>
      <c r="O73" s="209" t="s">
        <v>433</v>
      </c>
      <c r="P73" s="209" t="s">
        <v>174</v>
      </c>
    </row>
    <row r="74" spans="9:16" x14ac:dyDescent="0.25">
      <c r="I74" s="209" t="s">
        <v>227</v>
      </c>
      <c r="J74" s="209" t="s">
        <v>174</v>
      </c>
      <c r="O74" s="209" t="s">
        <v>437</v>
      </c>
      <c r="P74" s="209" t="s">
        <v>174</v>
      </c>
    </row>
    <row r="75" spans="9:16" x14ac:dyDescent="0.25">
      <c r="I75" s="209" t="s">
        <v>228</v>
      </c>
      <c r="J75" s="209" t="s">
        <v>174</v>
      </c>
      <c r="O75" s="209" t="s">
        <v>441</v>
      </c>
      <c r="P75" s="209" t="s">
        <v>176</v>
      </c>
    </row>
    <row r="76" spans="9:16" x14ac:dyDescent="0.25">
      <c r="I76" s="209" t="s">
        <v>229</v>
      </c>
      <c r="J76" s="209" t="s">
        <v>174</v>
      </c>
      <c r="O76" s="209" t="s">
        <v>445</v>
      </c>
      <c r="P76" s="209" t="s">
        <v>176</v>
      </c>
    </row>
    <row r="77" spans="9:16" x14ac:dyDescent="0.25">
      <c r="I77" s="209" t="s">
        <v>230</v>
      </c>
      <c r="J77" s="209" t="s">
        <v>176</v>
      </c>
      <c r="O77" s="209" t="s">
        <v>449</v>
      </c>
      <c r="P77" s="209" t="s">
        <v>178</v>
      </c>
    </row>
    <row r="78" spans="9:16" x14ac:dyDescent="0.25">
      <c r="I78" s="209" t="s">
        <v>231</v>
      </c>
      <c r="J78" s="209" t="s">
        <v>176</v>
      </c>
      <c r="O78" s="209" t="s">
        <v>453</v>
      </c>
      <c r="P78" s="209" t="s">
        <v>178</v>
      </c>
    </row>
    <row r="79" spans="9:16" x14ac:dyDescent="0.25">
      <c r="I79" s="209" t="s">
        <v>394</v>
      </c>
      <c r="J79" s="209" t="s">
        <v>395</v>
      </c>
    </row>
    <row r="80" spans="9:16" x14ac:dyDescent="0.25">
      <c r="I80" s="209" t="s">
        <v>396</v>
      </c>
      <c r="J80" s="209" t="s">
        <v>395</v>
      </c>
    </row>
    <row r="81" spans="9:10" x14ac:dyDescent="0.25">
      <c r="I81" s="209" t="s">
        <v>397</v>
      </c>
      <c r="J81" s="209" t="s">
        <v>395</v>
      </c>
    </row>
    <row r="82" spans="9:10" x14ac:dyDescent="0.25">
      <c r="I82" s="209" t="s">
        <v>398</v>
      </c>
      <c r="J82" s="209" t="s">
        <v>399</v>
      </c>
    </row>
    <row r="83" spans="9:10" x14ac:dyDescent="0.25">
      <c r="I83" s="209" t="s">
        <v>400</v>
      </c>
      <c r="J83" s="209" t="s">
        <v>399</v>
      </c>
    </row>
    <row r="84" spans="9:10" x14ac:dyDescent="0.25">
      <c r="I84" s="209" t="s">
        <v>401</v>
      </c>
      <c r="J84" s="209" t="s">
        <v>399</v>
      </c>
    </row>
    <row r="85" spans="9:10" x14ac:dyDescent="0.25">
      <c r="I85" s="209" t="s">
        <v>402</v>
      </c>
      <c r="J85" s="209" t="s">
        <v>403</v>
      </c>
    </row>
    <row r="86" spans="9:10" x14ac:dyDescent="0.25">
      <c r="I86" s="209" t="s">
        <v>404</v>
      </c>
      <c r="J86" s="209" t="s">
        <v>403</v>
      </c>
    </row>
    <row r="87" spans="9:10" x14ac:dyDescent="0.25">
      <c r="I87" s="209" t="s">
        <v>405</v>
      </c>
      <c r="J87" s="209" t="s">
        <v>403</v>
      </c>
    </row>
    <row r="88" spans="9:10" x14ac:dyDescent="0.25">
      <c r="I88" s="209" t="s">
        <v>406</v>
      </c>
      <c r="J88" s="209" t="s">
        <v>168</v>
      </c>
    </row>
    <row r="89" spans="9:10" x14ac:dyDescent="0.25">
      <c r="I89" s="209" t="s">
        <v>410</v>
      </c>
      <c r="J89" s="209" t="s">
        <v>168</v>
      </c>
    </row>
    <row r="90" spans="9:10" x14ac:dyDescent="0.25">
      <c r="I90" s="209" t="s">
        <v>414</v>
      </c>
      <c r="J90" s="209" t="s">
        <v>170</v>
      </c>
    </row>
    <row r="91" spans="9:10" x14ac:dyDescent="0.25">
      <c r="I91" s="209" t="s">
        <v>418</v>
      </c>
      <c r="J91" s="209" t="s">
        <v>170</v>
      </c>
    </row>
    <row r="92" spans="9:10" x14ac:dyDescent="0.25">
      <c r="I92" s="209" t="s">
        <v>422</v>
      </c>
      <c r="J92" s="209" t="s">
        <v>172</v>
      </c>
    </row>
    <row r="93" spans="9:10" x14ac:dyDescent="0.25">
      <c r="I93" s="209" t="s">
        <v>426</v>
      </c>
      <c r="J93" s="209" t="s">
        <v>172</v>
      </c>
    </row>
    <row r="94" spans="9:10" x14ac:dyDescent="0.25">
      <c r="I94" s="209" t="s">
        <v>430</v>
      </c>
      <c r="J94" s="209" t="s">
        <v>174</v>
      </c>
    </row>
    <row r="95" spans="9:10" x14ac:dyDescent="0.25">
      <c r="I95" s="209" t="s">
        <v>434</v>
      </c>
      <c r="J95" s="209" t="s">
        <v>174</v>
      </c>
    </row>
    <row r="96" spans="9:10" x14ac:dyDescent="0.25">
      <c r="I96" s="209" t="s">
        <v>438</v>
      </c>
      <c r="J96" s="209" t="s">
        <v>176</v>
      </c>
    </row>
    <row r="97" spans="9:10" x14ac:dyDescent="0.25">
      <c r="I97" s="209" t="s">
        <v>442</v>
      </c>
      <c r="J97" s="209" t="s">
        <v>176</v>
      </c>
    </row>
    <row r="98" spans="9:10" x14ac:dyDescent="0.25">
      <c r="I98" s="209" t="s">
        <v>446</v>
      </c>
      <c r="J98" s="209" t="s">
        <v>178</v>
      </c>
    </row>
    <row r="99" spans="9:10" x14ac:dyDescent="0.25">
      <c r="I99" s="209" t="s">
        <v>450</v>
      </c>
      <c r="J99" s="209" t="s">
        <v>178</v>
      </c>
    </row>
    <row r="100" spans="9:10" x14ac:dyDescent="0.25">
      <c r="I100" s="209" t="s">
        <v>406</v>
      </c>
      <c r="J100" s="209" t="s">
        <v>168</v>
      </c>
    </row>
    <row r="101" spans="9:10" x14ac:dyDescent="0.25">
      <c r="I101" s="209" t="s">
        <v>410</v>
      </c>
      <c r="J101" s="209" t="s">
        <v>168</v>
      </c>
    </row>
    <row r="102" spans="9:10" x14ac:dyDescent="0.25">
      <c r="I102" s="209" t="s">
        <v>414</v>
      </c>
      <c r="J102" s="209" t="s">
        <v>170</v>
      </c>
    </row>
    <row r="103" spans="9:10" x14ac:dyDescent="0.25">
      <c r="I103" s="209" t="s">
        <v>418</v>
      </c>
      <c r="J103" s="209" t="s">
        <v>170</v>
      </c>
    </row>
    <row r="104" spans="9:10" x14ac:dyDescent="0.25">
      <c r="I104" s="209" t="s">
        <v>422</v>
      </c>
      <c r="J104" s="209" t="s">
        <v>172</v>
      </c>
    </row>
    <row r="105" spans="9:10" x14ac:dyDescent="0.25">
      <c r="I105" s="209" t="s">
        <v>426</v>
      </c>
      <c r="J105" s="209" t="s">
        <v>172</v>
      </c>
    </row>
    <row r="106" spans="9:10" x14ac:dyDescent="0.25">
      <c r="I106" s="209" t="s">
        <v>430</v>
      </c>
      <c r="J106" s="209" t="s">
        <v>174</v>
      </c>
    </row>
    <row r="107" spans="9:10" x14ac:dyDescent="0.25">
      <c r="I107" s="209" t="s">
        <v>434</v>
      </c>
      <c r="J107" s="209" t="s">
        <v>174</v>
      </c>
    </row>
    <row r="108" spans="9:10" x14ac:dyDescent="0.25">
      <c r="I108" s="209" t="s">
        <v>438</v>
      </c>
      <c r="J108" s="209" t="s">
        <v>176</v>
      </c>
    </row>
    <row r="109" spans="9:10" x14ac:dyDescent="0.25">
      <c r="I109" s="209" t="s">
        <v>442</v>
      </c>
      <c r="J109" s="209" t="s">
        <v>176</v>
      </c>
    </row>
    <row r="110" spans="9:10" x14ac:dyDescent="0.25">
      <c r="I110" s="209" t="s">
        <v>446</v>
      </c>
      <c r="J110" s="209" t="s">
        <v>178</v>
      </c>
    </row>
    <row r="111" spans="9:10" x14ac:dyDescent="0.25">
      <c r="I111" s="209" t="s">
        <v>450</v>
      </c>
      <c r="J111" s="209" t="s">
        <v>178</v>
      </c>
    </row>
    <row r="112" spans="9:10" x14ac:dyDescent="0.25">
      <c r="I112" s="209" t="s">
        <v>407</v>
      </c>
      <c r="J112" s="209" t="s">
        <v>168</v>
      </c>
    </row>
    <row r="113" spans="9:10" x14ac:dyDescent="0.25">
      <c r="I113" s="209" t="s">
        <v>411</v>
      </c>
      <c r="J113" s="209" t="s">
        <v>168</v>
      </c>
    </row>
    <row r="114" spans="9:10" x14ac:dyDescent="0.25">
      <c r="I114" s="209" t="s">
        <v>415</v>
      </c>
      <c r="J114" s="209" t="s">
        <v>170</v>
      </c>
    </row>
    <row r="115" spans="9:10" x14ac:dyDescent="0.25">
      <c r="I115" s="209" t="s">
        <v>419</v>
      </c>
      <c r="J115" s="209" t="s">
        <v>170</v>
      </c>
    </row>
    <row r="116" spans="9:10" x14ac:dyDescent="0.25">
      <c r="I116" s="209" t="s">
        <v>423</v>
      </c>
      <c r="J116" s="209" t="s">
        <v>172</v>
      </c>
    </row>
    <row r="117" spans="9:10" x14ac:dyDescent="0.25">
      <c r="I117" s="209" t="s">
        <v>427</v>
      </c>
      <c r="J117" s="209" t="s">
        <v>172</v>
      </c>
    </row>
    <row r="118" spans="9:10" x14ac:dyDescent="0.25">
      <c r="I118" s="209" t="s">
        <v>431</v>
      </c>
      <c r="J118" s="209" t="s">
        <v>174</v>
      </c>
    </row>
    <row r="119" spans="9:10" x14ac:dyDescent="0.25">
      <c r="I119" s="209" t="s">
        <v>435</v>
      </c>
      <c r="J119" s="209" t="s">
        <v>174</v>
      </c>
    </row>
    <row r="120" spans="9:10" x14ac:dyDescent="0.25">
      <c r="I120" s="209" t="s">
        <v>439</v>
      </c>
      <c r="J120" s="209" t="s">
        <v>176</v>
      </c>
    </row>
    <row r="121" spans="9:10" x14ac:dyDescent="0.25">
      <c r="I121" s="209" t="s">
        <v>443</v>
      </c>
      <c r="J121" s="209" t="s">
        <v>176</v>
      </c>
    </row>
    <row r="122" spans="9:10" x14ac:dyDescent="0.25">
      <c r="I122" s="209" t="s">
        <v>447</v>
      </c>
      <c r="J122" s="209" t="s">
        <v>178</v>
      </c>
    </row>
    <row r="123" spans="9:10" x14ac:dyDescent="0.25">
      <c r="I123" s="209" t="s">
        <v>451</v>
      </c>
      <c r="J123" s="209" t="s">
        <v>178</v>
      </c>
    </row>
    <row r="124" spans="9:10" x14ac:dyDescent="0.25">
      <c r="I124" s="209" t="s">
        <v>408</v>
      </c>
      <c r="J124" s="209" t="s">
        <v>168</v>
      </c>
    </row>
    <row r="125" spans="9:10" x14ac:dyDescent="0.25">
      <c r="I125" s="209" t="s">
        <v>412</v>
      </c>
      <c r="J125" s="209" t="s">
        <v>168</v>
      </c>
    </row>
    <row r="126" spans="9:10" x14ac:dyDescent="0.25">
      <c r="I126" s="209" t="s">
        <v>416</v>
      </c>
      <c r="J126" s="209" t="s">
        <v>170</v>
      </c>
    </row>
    <row r="127" spans="9:10" x14ac:dyDescent="0.25">
      <c r="I127" s="209" t="s">
        <v>420</v>
      </c>
      <c r="J127" s="209" t="s">
        <v>170</v>
      </c>
    </row>
    <row r="128" spans="9:10" x14ac:dyDescent="0.25">
      <c r="I128" s="209" t="s">
        <v>424</v>
      </c>
      <c r="J128" s="209" t="s">
        <v>172</v>
      </c>
    </row>
    <row r="129" spans="9:10" x14ac:dyDescent="0.25">
      <c r="I129" s="209" t="s">
        <v>428</v>
      </c>
      <c r="J129" s="209" t="s">
        <v>172</v>
      </c>
    </row>
    <row r="130" spans="9:10" x14ac:dyDescent="0.25">
      <c r="I130" s="209" t="s">
        <v>432</v>
      </c>
      <c r="J130" s="209" t="s">
        <v>174</v>
      </c>
    </row>
    <row r="131" spans="9:10" x14ac:dyDescent="0.25">
      <c r="I131" s="209" t="s">
        <v>436</v>
      </c>
      <c r="J131" s="209" t="s">
        <v>174</v>
      </c>
    </row>
    <row r="132" spans="9:10" x14ac:dyDescent="0.25">
      <c r="I132" s="209" t="s">
        <v>440</v>
      </c>
      <c r="J132" s="209" t="s">
        <v>176</v>
      </c>
    </row>
    <row r="133" spans="9:10" x14ac:dyDescent="0.25">
      <c r="I133" s="209" t="s">
        <v>444</v>
      </c>
      <c r="J133" s="209" t="s">
        <v>176</v>
      </c>
    </row>
    <row r="134" spans="9:10" x14ac:dyDescent="0.25">
      <c r="I134" s="209" t="s">
        <v>448</v>
      </c>
      <c r="J134" s="209" t="s">
        <v>178</v>
      </c>
    </row>
    <row r="135" spans="9:10" x14ac:dyDescent="0.25">
      <c r="I135" s="209" t="s">
        <v>452</v>
      </c>
      <c r="J135" s="209" t="s">
        <v>178</v>
      </c>
    </row>
    <row r="136" spans="9:10" x14ac:dyDescent="0.25">
      <c r="I136" s="209" t="s">
        <v>409</v>
      </c>
      <c r="J136" s="209" t="s">
        <v>168</v>
      </c>
    </row>
    <row r="137" spans="9:10" x14ac:dyDescent="0.25">
      <c r="I137" s="209" t="s">
        <v>413</v>
      </c>
      <c r="J137" s="209" t="s">
        <v>168</v>
      </c>
    </row>
    <row r="138" spans="9:10" x14ac:dyDescent="0.25">
      <c r="I138" s="209" t="s">
        <v>417</v>
      </c>
      <c r="J138" s="209" t="s">
        <v>170</v>
      </c>
    </row>
    <row r="139" spans="9:10" x14ac:dyDescent="0.25">
      <c r="I139" s="209" t="s">
        <v>421</v>
      </c>
      <c r="J139" s="209" t="s">
        <v>170</v>
      </c>
    </row>
    <row r="140" spans="9:10" x14ac:dyDescent="0.25">
      <c r="I140" s="209" t="s">
        <v>425</v>
      </c>
      <c r="J140" s="209" t="s">
        <v>172</v>
      </c>
    </row>
    <row r="141" spans="9:10" x14ac:dyDescent="0.25">
      <c r="I141" s="209" t="s">
        <v>429</v>
      </c>
      <c r="J141" s="209" t="s">
        <v>172</v>
      </c>
    </row>
    <row r="142" spans="9:10" x14ac:dyDescent="0.25">
      <c r="I142" s="209" t="s">
        <v>433</v>
      </c>
      <c r="J142" s="209" t="s">
        <v>174</v>
      </c>
    </row>
    <row r="143" spans="9:10" x14ac:dyDescent="0.25">
      <c r="I143" s="209" t="s">
        <v>437</v>
      </c>
      <c r="J143" s="209" t="s">
        <v>174</v>
      </c>
    </row>
    <row r="144" spans="9:10" x14ac:dyDescent="0.25">
      <c r="I144" s="209" t="s">
        <v>441</v>
      </c>
      <c r="J144" s="209" t="s">
        <v>176</v>
      </c>
    </row>
    <row r="145" spans="9:10" x14ac:dyDescent="0.25">
      <c r="I145" s="209" t="s">
        <v>445</v>
      </c>
      <c r="J145" s="209" t="s">
        <v>176</v>
      </c>
    </row>
    <row r="146" spans="9:10" x14ac:dyDescent="0.25">
      <c r="I146" s="209" t="s">
        <v>449</v>
      </c>
      <c r="J146" s="209" t="s">
        <v>178</v>
      </c>
    </row>
    <row r="147" spans="9:10" x14ac:dyDescent="0.25">
      <c r="I147" s="209" t="s">
        <v>453</v>
      </c>
      <c r="J147" s="209" t="s">
        <v>178</v>
      </c>
    </row>
    <row r="148" spans="9:10" x14ac:dyDescent="0.25">
      <c r="I148" s="15" t="s">
        <v>1094</v>
      </c>
      <c r="J148" s="209" t="s">
        <v>170</v>
      </c>
    </row>
    <row r="149" spans="9:10" x14ac:dyDescent="0.25">
      <c r="I149" s="14" t="s">
        <v>1096</v>
      </c>
      <c r="J149" s="209" t="s">
        <v>172</v>
      </c>
    </row>
    <row r="150" spans="9:10" x14ac:dyDescent="0.25">
      <c r="I150" s="15" t="s">
        <v>1098</v>
      </c>
      <c r="J150" s="209" t="s">
        <v>174</v>
      </c>
    </row>
    <row r="151" spans="9:10" x14ac:dyDescent="0.25">
      <c r="I151" s="14" t="s">
        <v>1100</v>
      </c>
      <c r="J151" s="209" t="s">
        <v>176</v>
      </c>
    </row>
  </sheetData>
  <pageMargins left="0.7" right="0.7" top="0.75" bottom="0.75" header="0.3" footer="0.3"/>
  <ignoredErrors>
    <ignoredError sqref="L9:L10 P8:P18" twoDigitTextYear="1"/>
  </ignoredErrors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4"/>
  <dimension ref="B2:T82"/>
  <sheetViews>
    <sheetView zoomScale="85" zoomScaleNormal="85" workbookViewId="0">
      <selection activeCell="I33" sqref="I33"/>
    </sheetView>
  </sheetViews>
  <sheetFormatPr defaultRowHeight="15" x14ac:dyDescent="0.25"/>
  <cols>
    <col min="2" max="2" width="14.7109375" customWidth="1"/>
    <col min="3" max="3" width="12.28515625" customWidth="1"/>
    <col min="4" max="4" width="19" bestFit="1" customWidth="1"/>
    <col min="5" max="5" width="11.5703125" customWidth="1"/>
    <col min="6" max="6" width="17.85546875" customWidth="1"/>
    <col min="7" max="7" width="14.140625" customWidth="1"/>
    <col min="8" max="8" width="24" customWidth="1"/>
    <col min="9" max="9" width="21.5703125" customWidth="1"/>
    <col min="10" max="10" width="18" bestFit="1" customWidth="1"/>
    <col min="11" max="11" width="12.85546875" customWidth="1"/>
    <col min="12" max="14" width="18.28515625" customWidth="1"/>
    <col min="15" max="15" width="11.7109375" customWidth="1"/>
    <col min="16" max="16" width="9.42578125" style="256" customWidth="1"/>
    <col min="39" max="39" width="18.7109375" customWidth="1"/>
  </cols>
  <sheetData>
    <row r="2" spans="2:14" x14ac:dyDescent="0.25">
      <c r="D2" t="s">
        <v>19</v>
      </c>
    </row>
    <row r="4" spans="2:14" s="256" customFormat="1" x14ac:dyDescent="0.25">
      <c r="B4" s="256" t="s">
        <v>12</v>
      </c>
      <c r="D4" s="3" t="s">
        <v>21</v>
      </c>
      <c r="F4" s="256" t="s">
        <v>2564</v>
      </c>
      <c r="H4" s="256" t="s">
        <v>22</v>
      </c>
      <c r="I4" s="256" t="s">
        <v>23</v>
      </c>
      <c r="J4" s="256" t="s">
        <v>24</v>
      </c>
      <c r="L4" s="256" t="s">
        <v>92</v>
      </c>
    </row>
    <row r="5" spans="2:14" x14ac:dyDescent="0.25">
      <c r="B5" s="159"/>
      <c r="D5" s="325"/>
      <c r="F5" s="159"/>
      <c r="H5" s="325"/>
      <c r="I5" s="327"/>
      <c r="J5" s="160"/>
      <c r="L5" s="329"/>
      <c r="M5" s="329"/>
      <c r="N5" s="332"/>
    </row>
    <row r="6" spans="2:14" x14ac:dyDescent="0.25">
      <c r="B6" s="10" t="s">
        <v>3</v>
      </c>
      <c r="D6" s="325" t="s">
        <v>2537</v>
      </c>
      <c r="F6" s="10" t="s">
        <v>2508</v>
      </c>
      <c r="H6" s="328" t="s">
        <v>3</v>
      </c>
      <c r="I6" s="328" t="s">
        <v>20</v>
      </c>
      <c r="J6" s="329" t="s">
        <v>44</v>
      </c>
      <c r="L6" s="329" t="s">
        <v>54</v>
      </c>
      <c r="M6" s="329" t="s">
        <v>118</v>
      </c>
      <c r="N6" s="332" t="s">
        <v>2507</v>
      </c>
    </row>
    <row r="7" spans="2:14" x14ac:dyDescent="0.25">
      <c r="B7" s="10" t="s">
        <v>4</v>
      </c>
      <c r="D7" s="325" t="s">
        <v>2531</v>
      </c>
      <c r="F7" s="341" t="s">
        <v>2509</v>
      </c>
      <c r="H7" s="328" t="s">
        <v>4</v>
      </c>
      <c r="I7" s="328" t="s">
        <v>20</v>
      </c>
      <c r="J7" s="329" t="s">
        <v>45</v>
      </c>
      <c r="L7" s="329" t="s">
        <v>55</v>
      </c>
      <c r="M7" s="329" t="s">
        <v>110</v>
      </c>
      <c r="N7" s="332" t="s">
        <v>75</v>
      </c>
    </row>
    <row r="8" spans="2:14" x14ac:dyDescent="0.25">
      <c r="B8" s="10" t="s">
        <v>5</v>
      </c>
      <c r="D8" s="325" t="s">
        <v>2535</v>
      </c>
      <c r="F8" s="341" t="s">
        <v>2510</v>
      </c>
      <c r="H8" s="325" t="s">
        <v>5</v>
      </c>
      <c r="I8" s="328" t="s">
        <v>21</v>
      </c>
      <c r="J8" s="329" t="s">
        <v>46</v>
      </c>
      <c r="L8" s="329" t="s">
        <v>56</v>
      </c>
      <c r="M8" s="329" t="s">
        <v>111</v>
      </c>
      <c r="N8" s="332" t="s">
        <v>77</v>
      </c>
    </row>
    <row r="9" spans="2:14" x14ac:dyDescent="0.25">
      <c r="B9" s="10" t="s">
        <v>8</v>
      </c>
      <c r="D9" s="345" t="s">
        <v>2536</v>
      </c>
      <c r="F9" s="341" t="s">
        <v>2511</v>
      </c>
      <c r="H9" s="325" t="s">
        <v>10</v>
      </c>
      <c r="I9" s="328" t="s">
        <v>21</v>
      </c>
      <c r="J9" s="329" t="s">
        <v>47</v>
      </c>
      <c r="L9" s="329" t="s">
        <v>57</v>
      </c>
      <c r="M9" s="329" t="s">
        <v>112</v>
      </c>
      <c r="N9" s="332" t="s">
        <v>79</v>
      </c>
    </row>
    <row r="10" spans="2:14" x14ac:dyDescent="0.25">
      <c r="B10" s="10" t="s">
        <v>6</v>
      </c>
      <c r="D10" s="325" t="s">
        <v>2532</v>
      </c>
      <c r="F10" s="341" t="s">
        <v>2512</v>
      </c>
      <c r="H10" s="325" t="s">
        <v>9</v>
      </c>
      <c r="I10" s="328" t="s">
        <v>21</v>
      </c>
      <c r="J10" s="329" t="s">
        <v>48</v>
      </c>
      <c r="L10" s="329" t="s">
        <v>58</v>
      </c>
      <c r="M10" s="329" t="s">
        <v>113</v>
      </c>
      <c r="N10" s="332" t="s">
        <v>81</v>
      </c>
    </row>
    <row r="11" spans="2:14" x14ac:dyDescent="0.25">
      <c r="B11" s="10" t="s">
        <v>7</v>
      </c>
      <c r="D11" s="325" t="s">
        <v>2533</v>
      </c>
      <c r="F11" s="341" t="s">
        <v>2513</v>
      </c>
      <c r="H11" s="325" t="s">
        <v>8</v>
      </c>
      <c r="I11" s="328" t="s">
        <v>40</v>
      </c>
      <c r="J11" s="329" t="s">
        <v>49</v>
      </c>
      <c r="L11" s="333" t="s">
        <v>2528</v>
      </c>
      <c r="M11" s="329" t="s">
        <v>2529</v>
      </c>
      <c r="N11" s="332" t="s">
        <v>2530</v>
      </c>
    </row>
    <row r="12" spans="2:14" x14ac:dyDescent="0.25">
      <c r="B12" s="10" t="s">
        <v>9</v>
      </c>
      <c r="D12" s="325" t="s">
        <v>2534</v>
      </c>
      <c r="F12" s="341" t="s">
        <v>2514</v>
      </c>
      <c r="H12" s="325" t="s">
        <v>6</v>
      </c>
      <c r="I12" s="328" t="s">
        <v>387</v>
      </c>
      <c r="J12" s="329" t="s">
        <v>44</v>
      </c>
      <c r="L12" s="335" t="s">
        <v>2438</v>
      </c>
      <c r="M12" s="329" t="s">
        <v>2437</v>
      </c>
      <c r="N12" s="332" t="s">
        <v>2439</v>
      </c>
    </row>
    <row r="13" spans="2:14" x14ac:dyDescent="0.25">
      <c r="B13" s="10" t="s">
        <v>10</v>
      </c>
      <c r="F13" s="341" t="s">
        <v>2539</v>
      </c>
      <c r="H13" s="325" t="s">
        <v>7</v>
      </c>
      <c r="I13" s="328" t="s">
        <v>387</v>
      </c>
      <c r="J13" s="329" t="s">
        <v>45</v>
      </c>
    </row>
    <row r="14" spans="2:14" x14ac:dyDescent="0.25">
      <c r="B14" s="10" t="s">
        <v>11</v>
      </c>
      <c r="D14" s="256" t="s">
        <v>20</v>
      </c>
      <c r="F14" s="341" t="s">
        <v>2540</v>
      </c>
      <c r="H14" s="325" t="s">
        <v>11</v>
      </c>
      <c r="I14" s="328" t="s">
        <v>21</v>
      </c>
      <c r="J14" s="329" t="s">
        <v>388</v>
      </c>
    </row>
    <row r="15" spans="2:14" x14ac:dyDescent="0.25">
      <c r="B15" s="10" t="s">
        <v>391</v>
      </c>
      <c r="D15" s="325"/>
      <c r="F15" s="341" t="s">
        <v>2541</v>
      </c>
      <c r="H15" s="325" t="s">
        <v>391</v>
      </c>
      <c r="I15" s="328" t="s">
        <v>21</v>
      </c>
      <c r="J15" s="329" t="s">
        <v>392</v>
      </c>
      <c r="L15" t="s">
        <v>93</v>
      </c>
    </row>
    <row r="16" spans="2:14" x14ac:dyDescent="0.25">
      <c r="D16" s="325" t="s">
        <v>15</v>
      </c>
      <c r="F16" s="341" t="s">
        <v>2542</v>
      </c>
      <c r="G16" s="116"/>
      <c r="H16" s="325"/>
      <c r="I16" s="327"/>
      <c r="J16" s="160"/>
      <c r="L16" s="160"/>
      <c r="M16" s="329"/>
      <c r="N16" s="329"/>
    </row>
    <row r="17" spans="2:20" x14ac:dyDescent="0.25">
      <c r="D17" s="325" t="s">
        <v>16</v>
      </c>
      <c r="F17" s="341" t="s">
        <v>2543</v>
      </c>
      <c r="G17" s="18"/>
      <c r="H17" s="18"/>
      <c r="I17" s="330"/>
      <c r="L17" s="329" t="s">
        <v>50</v>
      </c>
      <c r="M17" s="329" t="s">
        <v>114</v>
      </c>
      <c r="N17" s="332" t="s">
        <v>65</v>
      </c>
    </row>
    <row r="18" spans="2:20" x14ac:dyDescent="0.25">
      <c r="B18" s="256" t="s">
        <v>150</v>
      </c>
      <c r="D18" s="325" t="s">
        <v>18</v>
      </c>
      <c r="F18" s="341" t="s">
        <v>2544</v>
      </c>
      <c r="H18" t="str">
        <f>_xlfn.IFNA(I21,"   ")</f>
        <v>ВЗКДЩДПУД</v>
      </c>
      <c r="L18" s="329" t="s">
        <v>51</v>
      </c>
      <c r="M18" s="329" t="s">
        <v>115</v>
      </c>
      <c r="N18" s="332" t="s">
        <v>67</v>
      </c>
    </row>
    <row r="19" spans="2:20" x14ac:dyDescent="0.25">
      <c r="B19" s="10"/>
      <c r="D19" s="325" t="s">
        <v>14</v>
      </c>
      <c r="F19" s="341" t="s">
        <v>2545</v>
      </c>
      <c r="L19" s="329" t="s">
        <v>52</v>
      </c>
      <c r="M19" s="329" t="s">
        <v>116</v>
      </c>
      <c r="N19" s="332" t="s">
        <v>69</v>
      </c>
    </row>
    <row r="20" spans="2:20" x14ac:dyDescent="0.25">
      <c r="B20" s="10">
        <v>65</v>
      </c>
      <c r="D20" s="325" t="s">
        <v>17</v>
      </c>
      <c r="H20" s="349" t="s">
        <v>2565</v>
      </c>
      <c r="I20" s="349" t="str">
        <f>'Рабочий стол'!D9</f>
        <v>ЩД</v>
      </c>
      <c r="L20" s="329" t="s">
        <v>53</v>
      </c>
      <c r="M20" s="329" t="s">
        <v>117</v>
      </c>
      <c r="N20" s="332" t="s">
        <v>71</v>
      </c>
    </row>
    <row r="21" spans="2:20" x14ac:dyDescent="0.25">
      <c r="B21" s="10">
        <v>66</v>
      </c>
      <c r="H21" s="349" t="s">
        <v>25</v>
      </c>
      <c r="I21" s="349" t="str">
        <f>VLOOKUP(I20,Таблица5[],2,0)</f>
        <v>ВЗКДЩДПУД</v>
      </c>
      <c r="L21" s="329" t="s">
        <v>54</v>
      </c>
      <c r="M21" s="329" t="s">
        <v>118</v>
      </c>
      <c r="N21" s="332" t="s">
        <v>73</v>
      </c>
    </row>
    <row r="22" spans="2:20" x14ac:dyDescent="0.25">
      <c r="B22" s="10">
        <v>67</v>
      </c>
      <c r="D22" s="256" t="s">
        <v>387</v>
      </c>
      <c r="F22" s="308" t="s">
        <v>2563</v>
      </c>
      <c r="H22" s="349" t="s">
        <v>2566</v>
      </c>
      <c r="I22" s="349" t="str">
        <f>VLOOKUP(I20,Таблица5[],3,0)</f>
        <v>ЩД_О</v>
      </c>
      <c r="L22" s="329" t="s">
        <v>55</v>
      </c>
      <c r="M22" s="329" t="s">
        <v>110</v>
      </c>
      <c r="N22" s="332" t="s">
        <v>75</v>
      </c>
    </row>
    <row r="23" spans="2:20" x14ac:dyDescent="0.25">
      <c r="D23" s="325"/>
      <c r="F23" s="159"/>
      <c r="L23" s="329" t="s">
        <v>56</v>
      </c>
      <c r="M23" s="329" t="s">
        <v>111</v>
      </c>
      <c r="N23" s="332" t="s">
        <v>77</v>
      </c>
    </row>
    <row r="24" spans="2:20" x14ac:dyDescent="0.25">
      <c r="D24" s="325" t="s">
        <v>15</v>
      </c>
      <c r="F24" s="341" t="s">
        <v>2508</v>
      </c>
      <c r="L24" s="329" t="s">
        <v>57</v>
      </c>
      <c r="M24" s="329" t="s">
        <v>112</v>
      </c>
      <c r="N24" s="332" t="s">
        <v>79</v>
      </c>
    </row>
    <row r="25" spans="2:20" x14ac:dyDescent="0.25">
      <c r="B25" s="308" t="s">
        <v>42</v>
      </c>
      <c r="D25" s="1" t="s">
        <v>14</v>
      </c>
      <c r="F25" s="341" t="s">
        <v>2517</v>
      </c>
      <c r="L25" s="329" t="s">
        <v>58</v>
      </c>
      <c r="M25" s="329" t="s">
        <v>113</v>
      </c>
      <c r="N25" s="332" t="s">
        <v>81</v>
      </c>
    </row>
    <row r="26" spans="2:20" x14ac:dyDescent="0.25">
      <c r="B26" s="10"/>
      <c r="D26" s="325" t="s">
        <v>16</v>
      </c>
      <c r="F26" s="341" t="s">
        <v>2516</v>
      </c>
      <c r="L26" s="329" t="s">
        <v>2528</v>
      </c>
      <c r="M26" s="329" t="s">
        <v>2529</v>
      </c>
      <c r="N26" s="332" t="s">
        <v>2530</v>
      </c>
    </row>
    <row r="27" spans="2:20" x14ac:dyDescent="0.25">
      <c r="B27" s="10" t="s">
        <v>2522</v>
      </c>
      <c r="D27" s="325" t="s">
        <v>17</v>
      </c>
      <c r="F27" s="341" t="s">
        <v>2515</v>
      </c>
      <c r="T27" s="330"/>
    </row>
    <row r="28" spans="2:20" x14ac:dyDescent="0.25">
      <c r="B28" s="10" t="s">
        <v>2523</v>
      </c>
      <c r="D28" s="325" t="s">
        <v>18</v>
      </c>
      <c r="E28" s="17"/>
      <c r="F28" s="341" t="s">
        <v>2518</v>
      </c>
      <c r="T28" s="330"/>
    </row>
    <row r="29" spans="2:20" x14ac:dyDescent="0.25">
      <c r="B29" s="10" t="s">
        <v>2524</v>
      </c>
      <c r="D29" s="325" t="s">
        <v>26</v>
      </c>
      <c r="F29" s="341" t="s">
        <v>2519</v>
      </c>
      <c r="H29" s="330"/>
      <c r="L29" s="4" t="s">
        <v>49</v>
      </c>
      <c r="T29" s="330"/>
    </row>
    <row r="30" spans="2:20" x14ac:dyDescent="0.25">
      <c r="B30" s="10" t="s">
        <v>2525</v>
      </c>
      <c r="D30" s="325" t="s">
        <v>27</v>
      </c>
      <c r="F30" s="341" t="s">
        <v>2520</v>
      </c>
      <c r="H30" s="330"/>
      <c r="L30" s="329"/>
      <c r="M30" s="329"/>
      <c r="N30" s="332"/>
      <c r="T30" s="330"/>
    </row>
    <row r="31" spans="2:20" x14ac:dyDescent="0.25">
      <c r="B31" s="10" t="s">
        <v>2526</v>
      </c>
      <c r="D31" s="325" t="s">
        <v>28</v>
      </c>
      <c r="F31" s="341" t="s">
        <v>2538</v>
      </c>
      <c r="H31" s="330"/>
      <c r="L31" s="329" t="s">
        <v>83</v>
      </c>
      <c r="M31" s="329" t="s">
        <v>119</v>
      </c>
      <c r="N31" s="332" t="s">
        <v>84</v>
      </c>
      <c r="T31" s="330"/>
    </row>
    <row r="32" spans="2:20" x14ac:dyDescent="0.25">
      <c r="B32" s="10" t="s">
        <v>2527</v>
      </c>
      <c r="D32" s="325" t="s">
        <v>29</v>
      </c>
      <c r="H32" s="330"/>
      <c r="L32" s="329" t="s">
        <v>85</v>
      </c>
      <c r="M32" s="329" t="s">
        <v>120</v>
      </c>
      <c r="N32" s="332" t="s">
        <v>86</v>
      </c>
      <c r="T32" s="330"/>
    </row>
    <row r="33" spans="4:20" x14ac:dyDescent="0.25">
      <c r="D33" s="325" t="s">
        <v>30</v>
      </c>
      <c r="H33" s="330"/>
      <c r="L33" s="329" t="s">
        <v>87</v>
      </c>
      <c r="M33" s="329" t="s">
        <v>121</v>
      </c>
      <c r="N33" s="332" t="s">
        <v>88</v>
      </c>
      <c r="T33" s="330"/>
    </row>
    <row r="34" spans="4:20" x14ac:dyDescent="0.25">
      <c r="D34" s="325" t="s">
        <v>31</v>
      </c>
      <c r="L34" s="329" t="s">
        <v>89</v>
      </c>
      <c r="M34" s="329" t="s">
        <v>122</v>
      </c>
      <c r="N34" s="332" t="s">
        <v>90</v>
      </c>
      <c r="T34" s="330"/>
    </row>
    <row r="35" spans="4:20" x14ac:dyDescent="0.25">
      <c r="D35" s="325" t="s">
        <v>32</v>
      </c>
      <c r="L35" s="235"/>
      <c r="M35" s="235"/>
      <c r="N35" s="339"/>
      <c r="T35" s="330"/>
    </row>
    <row r="36" spans="4:20" x14ac:dyDescent="0.25">
      <c r="D36" s="325" t="s">
        <v>33</v>
      </c>
      <c r="T36" s="330"/>
    </row>
    <row r="37" spans="4:20" x14ac:dyDescent="0.25">
      <c r="D37" s="325" t="s">
        <v>34</v>
      </c>
      <c r="L37" t="s">
        <v>44</v>
      </c>
      <c r="T37" s="330"/>
    </row>
    <row r="38" spans="4:20" x14ac:dyDescent="0.25">
      <c r="D38" s="325" t="s">
        <v>35</v>
      </c>
      <c r="L38" s="334"/>
      <c r="M38" s="334"/>
      <c r="N38" s="334"/>
      <c r="T38" s="330"/>
    </row>
    <row r="39" spans="4:20" x14ac:dyDescent="0.25">
      <c r="D39" s="325" t="s">
        <v>36</v>
      </c>
      <c r="L39" s="334" t="s">
        <v>102</v>
      </c>
      <c r="M39" s="334" t="s">
        <v>123</v>
      </c>
      <c r="N39" s="334" t="s">
        <v>151</v>
      </c>
      <c r="T39" s="330"/>
    </row>
    <row r="40" spans="4:20" x14ac:dyDescent="0.25">
      <c r="D40" s="325" t="s">
        <v>37</v>
      </c>
      <c r="L40" s="334" t="s">
        <v>103</v>
      </c>
      <c r="M40" s="334" t="s">
        <v>124</v>
      </c>
      <c r="N40" s="334" t="s">
        <v>152</v>
      </c>
      <c r="T40" s="330"/>
    </row>
    <row r="41" spans="4:20" x14ac:dyDescent="0.25">
      <c r="D41" s="326" t="s">
        <v>38</v>
      </c>
      <c r="L41" s="334" t="s">
        <v>104</v>
      </c>
      <c r="M41" s="334" t="s">
        <v>125</v>
      </c>
      <c r="N41" s="334" t="s">
        <v>95</v>
      </c>
    </row>
    <row r="42" spans="4:20" x14ac:dyDescent="0.25">
      <c r="L42" s="334" t="s">
        <v>105</v>
      </c>
      <c r="M42" s="334" t="s">
        <v>126</v>
      </c>
      <c r="N42" s="334" t="s">
        <v>97</v>
      </c>
    </row>
    <row r="43" spans="4:20" x14ac:dyDescent="0.25">
      <c r="D43" s="308" t="s">
        <v>40</v>
      </c>
      <c r="L43" s="334" t="s">
        <v>106</v>
      </c>
      <c r="M43" s="334" t="s">
        <v>127</v>
      </c>
      <c r="N43" s="334" t="s">
        <v>99</v>
      </c>
    </row>
    <row r="44" spans="4:20" x14ac:dyDescent="0.25">
      <c r="D44" s="2"/>
      <c r="L44" s="334" t="s">
        <v>107</v>
      </c>
      <c r="M44" s="334" t="s">
        <v>128</v>
      </c>
      <c r="N44" s="334" t="s">
        <v>108</v>
      </c>
    </row>
    <row r="45" spans="4:20" x14ac:dyDescent="0.25">
      <c r="D45" s="2" t="s">
        <v>41</v>
      </c>
      <c r="L45" s="334" t="s">
        <v>109</v>
      </c>
      <c r="M45" s="334" t="s">
        <v>129</v>
      </c>
      <c r="N45" s="334" t="s">
        <v>101</v>
      </c>
    </row>
    <row r="46" spans="4:20" x14ac:dyDescent="0.25">
      <c r="L46" s="338"/>
      <c r="M46" s="338"/>
      <c r="N46" s="338"/>
    </row>
    <row r="48" spans="4:20" x14ac:dyDescent="0.25">
      <c r="L48" t="s">
        <v>45</v>
      </c>
    </row>
    <row r="49" spans="2:14" x14ac:dyDescent="0.25">
      <c r="B49" s="682" t="s">
        <v>59</v>
      </c>
      <c r="C49" s="682"/>
      <c r="D49" s="682"/>
      <c r="L49" s="334"/>
      <c r="M49" s="334"/>
      <c r="N49" s="334"/>
    </row>
    <row r="50" spans="2:14" x14ac:dyDescent="0.25">
      <c r="B50" s="331" t="s">
        <v>60</v>
      </c>
      <c r="C50" s="331" t="s">
        <v>61</v>
      </c>
      <c r="D50" s="331" t="s">
        <v>62</v>
      </c>
      <c r="E50" s="331" t="s">
        <v>63</v>
      </c>
      <c r="F50" s="340" t="s">
        <v>23</v>
      </c>
      <c r="L50" s="334" t="s">
        <v>94</v>
      </c>
      <c r="M50" s="334" t="s">
        <v>125</v>
      </c>
      <c r="N50" s="334" t="s">
        <v>95</v>
      </c>
    </row>
    <row r="51" spans="2:14" x14ac:dyDescent="0.25">
      <c r="B51" s="160" t="s">
        <v>50</v>
      </c>
      <c r="C51" s="342" t="s">
        <v>65</v>
      </c>
      <c r="D51" s="160"/>
      <c r="E51" s="342">
        <v>1900</v>
      </c>
      <c r="F51" s="343" t="s">
        <v>66</v>
      </c>
      <c r="L51" s="334" t="s">
        <v>96</v>
      </c>
      <c r="M51" s="334" t="s">
        <v>130</v>
      </c>
      <c r="N51" s="334" t="s">
        <v>97</v>
      </c>
    </row>
    <row r="52" spans="2:14" x14ac:dyDescent="0.25">
      <c r="B52" s="160" t="s">
        <v>51</v>
      </c>
      <c r="C52" s="342" t="s">
        <v>67</v>
      </c>
      <c r="D52" s="160"/>
      <c r="E52" s="342">
        <v>2200</v>
      </c>
      <c r="F52" s="343" t="s">
        <v>68</v>
      </c>
      <c r="L52" s="334" t="s">
        <v>98</v>
      </c>
      <c r="M52" s="334" t="s">
        <v>127</v>
      </c>
      <c r="N52" s="334" t="s">
        <v>99</v>
      </c>
    </row>
    <row r="53" spans="2:14" x14ac:dyDescent="0.25">
      <c r="B53" s="160" t="s">
        <v>52</v>
      </c>
      <c r="C53" s="342" t="s">
        <v>69</v>
      </c>
      <c r="D53" s="160"/>
      <c r="E53" s="342">
        <v>2700</v>
      </c>
      <c r="F53" s="343" t="s">
        <v>70</v>
      </c>
      <c r="L53" s="334" t="s">
        <v>100</v>
      </c>
      <c r="M53" s="334" t="s">
        <v>129</v>
      </c>
      <c r="N53" s="334" t="s">
        <v>101</v>
      </c>
    </row>
    <row r="54" spans="2:14" x14ac:dyDescent="0.25">
      <c r="B54" s="160" t="s">
        <v>53</v>
      </c>
      <c r="C54" s="342" t="s">
        <v>71</v>
      </c>
      <c r="D54" s="160"/>
      <c r="E54" s="342">
        <v>2680</v>
      </c>
      <c r="F54" s="343" t="s">
        <v>72</v>
      </c>
      <c r="L54" s="334" t="s">
        <v>2365</v>
      </c>
      <c r="M54" s="334" t="s">
        <v>2374</v>
      </c>
      <c r="N54" s="334"/>
    </row>
    <row r="55" spans="2:14" x14ac:dyDescent="0.25">
      <c r="B55" s="160" t="s">
        <v>54</v>
      </c>
      <c r="C55" s="342" t="s">
        <v>73</v>
      </c>
      <c r="D55" s="160"/>
      <c r="E55" s="342">
        <v>8300</v>
      </c>
      <c r="F55" s="343" t="s">
        <v>74</v>
      </c>
      <c r="L55" s="334" t="s">
        <v>2366</v>
      </c>
      <c r="M55" s="334" t="s">
        <v>2375</v>
      </c>
      <c r="N55" s="334"/>
    </row>
    <row r="56" spans="2:14" x14ac:dyDescent="0.25">
      <c r="B56" s="160" t="s">
        <v>55</v>
      </c>
      <c r="C56" s="342" t="s">
        <v>75</v>
      </c>
      <c r="D56" s="160"/>
      <c r="E56" s="342">
        <v>13400</v>
      </c>
      <c r="F56" s="343" t="s">
        <v>76</v>
      </c>
      <c r="L56" s="334" t="s">
        <v>2367</v>
      </c>
      <c r="M56" s="334" t="s">
        <v>2376</v>
      </c>
      <c r="N56" s="334"/>
    </row>
    <row r="57" spans="2:14" x14ac:dyDescent="0.25">
      <c r="B57" s="160" t="s">
        <v>56</v>
      </c>
      <c r="C57" s="342" t="s">
        <v>77</v>
      </c>
      <c r="D57" s="160"/>
      <c r="E57" s="342">
        <v>19900</v>
      </c>
      <c r="F57" s="343" t="s">
        <v>78</v>
      </c>
      <c r="L57" s="334" t="s">
        <v>2368</v>
      </c>
      <c r="M57" s="334" t="s">
        <v>2377</v>
      </c>
      <c r="N57" s="334"/>
    </row>
    <row r="58" spans="2:14" x14ac:dyDescent="0.25">
      <c r="B58" s="160" t="s">
        <v>57</v>
      </c>
      <c r="C58" s="342" t="s">
        <v>79</v>
      </c>
      <c r="D58" s="160"/>
      <c r="E58" s="342">
        <v>29700</v>
      </c>
      <c r="F58" s="343" t="s">
        <v>80</v>
      </c>
      <c r="L58" s="334" t="s">
        <v>2369</v>
      </c>
      <c r="M58" s="334" t="s">
        <v>2378</v>
      </c>
      <c r="N58" s="334"/>
    </row>
    <row r="59" spans="2:14" x14ac:dyDescent="0.25">
      <c r="B59" s="160" t="s">
        <v>58</v>
      </c>
      <c r="C59" s="342" t="s">
        <v>81</v>
      </c>
      <c r="D59" s="160"/>
      <c r="E59" s="342">
        <v>34600</v>
      </c>
      <c r="F59" s="343" t="s">
        <v>82</v>
      </c>
    </row>
    <row r="60" spans="2:14" x14ac:dyDescent="0.25">
      <c r="B60" s="160"/>
      <c r="C60" s="342"/>
      <c r="D60" s="160"/>
      <c r="E60" s="332">
        <v>7800</v>
      </c>
      <c r="F60" s="344" t="s">
        <v>91</v>
      </c>
    </row>
    <row r="61" spans="2:14" x14ac:dyDescent="0.25">
      <c r="B61" s="28"/>
      <c r="C61" s="346"/>
      <c r="D61" s="28"/>
      <c r="E61" s="339"/>
      <c r="F61" s="347"/>
      <c r="L61" t="s">
        <v>48</v>
      </c>
    </row>
    <row r="62" spans="2:14" x14ac:dyDescent="0.25">
      <c r="B62" s="28"/>
      <c r="C62" s="346"/>
      <c r="D62" s="28"/>
      <c r="E62" s="339"/>
      <c r="F62" s="347"/>
      <c r="L62" s="329"/>
      <c r="M62" s="329"/>
      <c r="N62" s="332"/>
    </row>
    <row r="63" spans="2:14" x14ac:dyDescent="0.25">
      <c r="B63" s="28"/>
      <c r="C63" s="346"/>
      <c r="D63" s="28"/>
      <c r="L63" s="336" t="s">
        <v>50</v>
      </c>
      <c r="M63" s="336" t="s">
        <v>131</v>
      </c>
      <c r="N63" s="336" t="s">
        <v>65</v>
      </c>
    </row>
    <row r="64" spans="2:14" x14ac:dyDescent="0.25">
      <c r="B64" s="28"/>
      <c r="C64" s="346"/>
      <c r="D64" s="28"/>
      <c r="E64" s="339"/>
      <c r="F64" s="348"/>
      <c r="L64" s="336" t="s">
        <v>51</v>
      </c>
      <c r="M64" s="336" t="s">
        <v>132</v>
      </c>
      <c r="N64" s="336" t="s">
        <v>67</v>
      </c>
    </row>
    <row r="65" spans="2:14" x14ac:dyDescent="0.25">
      <c r="B65" s="28"/>
      <c r="C65" s="346"/>
      <c r="D65" s="28"/>
      <c r="E65" s="339"/>
      <c r="F65" s="28"/>
      <c r="L65" s="336" t="s">
        <v>52</v>
      </c>
      <c r="M65" s="336" t="s">
        <v>133</v>
      </c>
      <c r="N65" s="336" t="s">
        <v>69</v>
      </c>
    </row>
    <row r="66" spans="2:14" x14ac:dyDescent="0.25">
      <c r="F66" s="8"/>
      <c r="L66" s="336" t="s">
        <v>53</v>
      </c>
      <c r="M66" s="336" t="s">
        <v>134</v>
      </c>
      <c r="N66" s="336" t="s">
        <v>71</v>
      </c>
    </row>
    <row r="67" spans="2:14" x14ac:dyDescent="0.25">
      <c r="L67" s="336" t="s">
        <v>54</v>
      </c>
      <c r="M67" s="336" t="s">
        <v>135</v>
      </c>
      <c r="N67" s="336" t="s">
        <v>73</v>
      </c>
    </row>
    <row r="68" spans="2:14" x14ac:dyDescent="0.25">
      <c r="B68" s="328" t="s">
        <v>5</v>
      </c>
      <c r="C68" s="336" t="s">
        <v>140</v>
      </c>
      <c r="L68" s="336" t="s">
        <v>55</v>
      </c>
      <c r="M68" s="336" t="s">
        <v>136</v>
      </c>
      <c r="N68" s="336" t="s">
        <v>75</v>
      </c>
    </row>
    <row r="69" spans="2:14" x14ac:dyDescent="0.25">
      <c r="B69" s="328" t="s">
        <v>9</v>
      </c>
      <c r="C69" s="336" t="s">
        <v>141</v>
      </c>
      <c r="L69" s="336" t="s">
        <v>56</v>
      </c>
      <c r="M69" s="336" t="s">
        <v>137</v>
      </c>
      <c r="N69" s="336" t="s">
        <v>77</v>
      </c>
    </row>
    <row r="70" spans="2:14" x14ac:dyDescent="0.25">
      <c r="B70" s="328" t="s">
        <v>10</v>
      </c>
      <c r="C70" s="336" t="s">
        <v>142</v>
      </c>
      <c r="L70" s="336" t="s">
        <v>57</v>
      </c>
      <c r="M70" s="336" t="s">
        <v>138</v>
      </c>
      <c r="N70" s="336" t="s">
        <v>79</v>
      </c>
    </row>
    <row r="71" spans="2:14" x14ac:dyDescent="0.25">
      <c r="B71" s="328" t="s">
        <v>4</v>
      </c>
      <c r="C71" s="336" t="s">
        <v>2372</v>
      </c>
      <c r="L71" s="336" t="s">
        <v>58</v>
      </c>
      <c r="M71" s="336" t="s">
        <v>139</v>
      </c>
      <c r="N71" s="336" t="s">
        <v>81</v>
      </c>
    </row>
    <row r="72" spans="2:14" x14ac:dyDescent="0.25">
      <c r="B72" s="328" t="s">
        <v>3</v>
      </c>
      <c r="C72" s="336" t="s">
        <v>2371</v>
      </c>
      <c r="L72" s="337"/>
      <c r="M72" s="337"/>
      <c r="N72" s="337"/>
    </row>
    <row r="73" spans="2:14" x14ac:dyDescent="0.25">
      <c r="B73" s="328" t="s">
        <v>7</v>
      </c>
      <c r="C73" s="336" t="s">
        <v>143</v>
      </c>
    </row>
    <row r="74" spans="2:14" x14ac:dyDescent="0.25">
      <c r="B74" s="328" t="s">
        <v>6</v>
      </c>
      <c r="C74" s="336" t="s">
        <v>2521</v>
      </c>
      <c r="L74" t="s">
        <v>388</v>
      </c>
    </row>
    <row r="75" spans="2:14" x14ac:dyDescent="0.25">
      <c r="B75" s="328" t="s">
        <v>144</v>
      </c>
      <c r="C75" s="336" t="s">
        <v>2373</v>
      </c>
      <c r="L75" s="160"/>
      <c r="M75" s="160"/>
      <c r="N75" s="160"/>
    </row>
    <row r="76" spans="2:14" x14ac:dyDescent="0.25">
      <c r="B76" s="328" t="s">
        <v>39</v>
      </c>
      <c r="C76" s="336" t="s">
        <v>145</v>
      </c>
      <c r="L76" s="336" t="s">
        <v>2347</v>
      </c>
      <c r="M76" s="336" t="s">
        <v>2355</v>
      </c>
      <c r="N76" s="336" t="s">
        <v>2432</v>
      </c>
    </row>
    <row r="77" spans="2:14" x14ac:dyDescent="0.25">
      <c r="B77" s="328" t="s">
        <v>146</v>
      </c>
      <c r="C77" s="336" t="s">
        <v>147</v>
      </c>
    </row>
    <row r="78" spans="2:14" x14ac:dyDescent="0.25">
      <c r="B78" s="328" t="s">
        <v>148</v>
      </c>
      <c r="C78" s="336" t="s">
        <v>149</v>
      </c>
    </row>
    <row r="79" spans="2:14" x14ac:dyDescent="0.25">
      <c r="B79" s="328" t="s">
        <v>8</v>
      </c>
      <c r="C79" s="336" t="s">
        <v>386</v>
      </c>
      <c r="L79" t="s">
        <v>392</v>
      </c>
    </row>
    <row r="80" spans="2:14" x14ac:dyDescent="0.25">
      <c r="B80" s="328" t="s">
        <v>391</v>
      </c>
      <c r="C80" s="336" t="s">
        <v>2381</v>
      </c>
      <c r="L80" s="160"/>
      <c r="M80" s="160"/>
      <c r="N80" s="160"/>
    </row>
    <row r="81" spans="12:14" x14ac:dyDescent="0.25">
      <c r="L81" s="336" t="s">
        <v>2346</v>
      </c>
      <c r="M81" s="336" t="s">
        <v>2355</v>
      </c>
      <c r="N81" s="336" t="s">
        <v>2432</v>
      </c>
    </row>
    <row r="82" spans="12:14" x14ac:dyDescent="0.25">
      <c r="L82" s="336" t="s">
        <v>2356</v>
      </c>
      <c r="M82" s="336" t="s">
        <v>2357</v>
      </c>
      <c r="N82" s="336" t="s">
        <v>2358</v>
      </c>
    </row>
  </sheetData>
  <mergeCells count="1">
    <mergeCell ref="B49:D49"/>
  </mergeCells>
  <pageMargins left="0.7" right="0.7" top="0.75" bottom="0.75" header="0.3" footer="0.3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X136"/>
  <sheetViews>
    <sheetView topLeftCell="A73" zoomScale="70" zoomScaleNormal="70" workbookViewId="0">
      <selection activeCell="O77" sqref="O77"/>
    </sheetView>
  </sheetViews>
  <sheetFormatPr defaultRowHeight="15" x14ac:dyDescent="0.25"/>
  <cols>
    <col min="3" max="3" width="22.85546875" customWidth="1"/>
    <col min="7" max="7" width="20.5703125" customWidth="1"/>
    <col min="11" max="11" width="15" customWidth="1"/>
    <col min="12" max="12" width="49.85546875" customWidth="1"/>
    <col min="15" max="15" width="23.5703125" customWidth="1"/>
    <col min="16" max="16" width="67.28515625" customWidth="1"/>
  </cols>
  <sheetData>
    <row r="3" spans="3:16" x14ac:dyDescent="0.25">
      <c r="C3" t="s">
        <v>491</v>
      </c>
      <c r="D3" t="s">
        <v>23</v>
      </c>
      <c r="G3" t="s">
        <v>541</v>
      </c>
      <c r="O3" s="49" t="s">
        <v>498</v>
      </c>
    </row>
    <row r="4" spans="3:16" x14ac:dyDescent="0.25">
      <c r="G4" t="str">
        <f>VLOOKUP('Рабочий стол'!AG25,Таблица29[#All],2,0)</f>
        <v>Лампа</v>
      </c>
    </row>
    <row r="5" spans="3:16" x14ac:dyDescent="0.25">
      <c r="C5" t="s">
        <v>498</v>
      </c>
      <c r="D5" t="s">
        <v>536</v>
      </c>
      <c r="G5" t="str">
        <f>VLOOKUP('Рабочий стол'!AG26,Таблица29[#All],2,0)</f>
        <v>ПАВ</v>
      </c>
      <c r="O5" s="46" t="s">
        <v>521</v>
      </c>
      <c r="P5" s="12" t="s">
        <v>531</v>
      </c>
    </row>
    <row r="6" spans="3:16" x14ac:dyDescent="0.25">
      <c r="C6" t="s">
        <v>492</v>
      </c>
      <c r="D6" t="s">
        <v>537</v>
      </c>
      <c r="G6" t="e">
        <f>VLOOKUP('Рабочий стол'!AG27,Таблица29[#All],2,0)</f>
        <v>#N/A</v>
      </c>
      <c r="O6" s="45" t="s">
        <v>520</v>
      </c>
      <c r="P6" s="12" t="s">
        <v>531</v>
      </c>
    </row>
    <row r="7" spans="3:16" x14ac:dyDescent="0.25">
      <c r="C7" t="s">
        <v>493</v>
      </c>
      <c r="D7" t="s">
        <v>538</v>
      </c>
      <c r="G7" t="e">
        <f>VLOOKUP('Рабочий стол'!AG28,Таблица29[#All],2,0)</f>
        <v>#N/A</v>
      </c>
      <c r="O7" s="46" t="s">
        <v>522</v>
      </c>
      <c r="P7" s="12" t="s">
        <v>531</v>
      </c>
    </row>
    <row r="8" spans="3:16" x14ac:dyDescent="0.25">
      <c r="C8" t="s">
        <v>494</v>
      </c>
      <c r="D8" t="s">
        <v>539</v>
      </c>
      <c r="G8" t="e">
        <f>VLOOKUP('Рабочий стол'!AG29,Таблица29[#All],2,0)</f>
        <v>#N/A</v>
      </c>
      <c r="O8" s="45" t="s">
        <v>523</v>
      </c>
      <c r="P8" s="12" t="s">
        <v>531</v>
      </c>
    </row>
    <row r="9" spans="3:16" x14ac:dyDescent="0.25">
      <c r="C9" t="s">
        <v>497</v>
      </c>
      <c r="D9" t="s">
        <v>540</v>
      </c>
      <c r="G9" t="e">
        <f>VLOOKUP('Рабочий стол'!AG30,Таблица29[#All],2,0)</f>
        <v>#N/A</v>
      </c>
      <c r="O9" s="46" t="s">
        <v>524</v>
      </c>
      <c r="P9" s="12" t="s">
        <v>531</v>
      </c>
    </row>
    <row r="10" spans="3:16" x14ac:dyDescent="0.25">
      <c r="C10" t="s">
        <v>503</v>
      </c>
      <c r="D10" t="s">
        <v>503</v>
      </c>
      <c r="G10" t="e">
        <f>VLOOKUP('Рабочий стол'!AG31,Таблица29[#All],2,0)</f>
        <v>#N/A</v>
      </c>
      <c r="O10" s="47" t="s">
        <v>525</v>
      </c>
      <c r="P10" s="12" t="s">
        <v>531</v>
      </c>
    </row>
    <row r="11" spans="3:16" x14ac:dyDescent="0.25">
      <c r="C11" t="s">
        <v>2379</v>
      </c>
      <c r="D11" t="s">
        <v>2380</v>
      </c>
      <c r="G11" t="e">
        <f>VLOOKUP('Рабочий стол'!AG32,Таблица29[#All],2,0)</f>
        <v>#N/A</v>
      </c>
      <c r="O11" s="48" t="s">
        <v>526</v>
      </c>
      <c r="P11" s="12" t="s">
        <v>531</v>
      </c>
    </row>
    <row r="12" spans="3:16" x14ac:dyDescent="0.25">
      <c r="G12" t="e">
        <f>VLOOKUP('Рабочий стол'!AG33,Таблица29[#All],2,0)</f>
        <v>#N/A</v>
      </c>
      <c r="O12" s="47" t="s">
        <v>527</v>
      </c>
      <c r="P12" s="12" t="s">
        <v>531</v>
      </c>
    </row>
    <row r="13" spans="3:16" x14ac:dyDescent="0.25">
      <c r="G13" t="e">
        <f>VLOOKUP('Рабочий стол'!AG34,Таблица29[#All],2,0)</f>
        <v>#N/A</v>
      </c>
      <c r="O13" s="48" t="s">
        <v>528</v>
      </c>
      <c r="P13" s="12" t="s">
        <v>531</v>
      </c>
    </row>
    <row r="14" spans="3:16" x14ac:dyDescent="0.25">
      <c r="G14" t="e">
        <f>VLOOKUP('Рабочий стол'!AG35,Таблица29[#All],2,0)</f>
        <v>#N/A</v>
      </c>
      <c r="O14" s="47" t="s">
        <v>529</v>
      </c>
      <c r="P14" s="12" t="s">
        <v>531</v>
      </c>
    </row>
    <row r="15" spans="3:16" x14ac:dyDescent="0.25">
      <c r="G15" t="e">
        <f>VLOOKUP('Рабочий стол'!AG36,Таблица29[#All],2,0)</f>
        <v>#N/A</v>
      </c>
      <c r="O15" s="46" t="s">
        <v>530</v>
      </c>
      <c r="P15" s="12" t="s">
        <v>531</v>
      </c>
    </row>
    <row r="21" spans="12:24" x14ac:dyDescent="0.25">
      <c r="L21" s="8"/>
      <c r="O21" s="50" t="s">
        <v>492</v>
      </c>
      <c r="P21" s="51" t="s">
        <v>23</v>
      </c>
      <c r="T21" s="8"/>
      <c r="X21" s="8"/>
    </row>
    <row r="22" spans="12:24" x14ac:dyDescent="0.25">
      <c r="L22" s="8"/>
      <c r="T22" s="8"/>
      <c r="X22" s="8"/>
    </row>
    <row r="23" spans="12:24" x14ac:dyDescent="0.25">
      <c r="O23" t="s">
        <v>495</v>
      </c>
      <c r="P23" t="s">
        <v>534</v>
      </c>
    </row>
    <row r="24" spans="12:24" x14ac:dyDescent="0.25">
      <c r="O24" t="s">
        <v>496</v>
      </c>
      <c r="P24" t="s">
        <v>535</v>
      </c>
    </row>
    <row r="28" spans="12:24" x14ac:dyDescent="0.25">
      <c r="O28" t="s">
        <v>538</v>
      </c>
    </row>
    <row r="29" spans="12:24" x14ac:dyDescent="0.25">
      <c r="O29" t="s">
        <v>542</v>
      </c>
      <c r="P29" t="s">
        <v>543</v>
      </c>
    </row>
    <row r="30" spans="12:24" x14ac:dyDescent="0.25">
      <c r="O30" t="s">
        <v>544</v>
      </c>
      <c r="P30" t="s">
        <v>545</v>
      </c>
    </row>
    <row r="33" spans="15:17" x14ac:dyDescent="0.25">
      <c r="O33" t="s">
        <v>539</v>
      </c>
    </row>
    <row r="34" spans="15:17" x14ac:dyDescent="0.25">
      <c r="O34" s="52" t="s">
        <v>546</v>
      </c>
      <c r="P34" s="53" t="s">
        <v>547</v>
      </c>
      <c r="Q34" s="54">
        <v>2036.875</v>
      </c>
    </row>
    <row r="35" spans="15:17" x14ac:dyDescent="0.25">
      <c r="O35" s="55" t="s">
        <v>548</v>
      </c>
      <c r="P35" s="56" t="s">
        <v>549</v>
      </c>
      <c r="Q35" s="57">
        <v>2036.875</v>
      </c>
    </row>
    <row r="36" spans="15:17" x14ac:dyDescent="0.25">
      <c r="O36" s="52" t="s">
        <v>550</v>
      </c>
      <c r="P36" s="53" t="s">
        <v>551</v>
      </c>
      <c r="Q36" s="54">
        <v>2036.875</v>
      </c>
    </row>
    <row r="37" spans="15:17" x14ac:dyDescent="0.25">
      <c r="O37" s="55" t="s">
        <v>552</v>
      </c>
      <c r="P37" s="56" t="s">
        <v>553</v>
      </c>
      <c r="Q37" s="57">
        <v>1887.875</v>
      </c>
    </row>
    <row r="38" spans="15:17" x14ac:dyDescent="0.25">
      <c r="O38" s="58" t="s">
        <v>554</v>
      </c>
      <c r="P38" s="59" t="s">
        <v>555</v>
      </c>
      <c r="Q38" s="60">
        <v>1887.875</v>
      </c>
    </row>
    <row r="39" spans="15:17" x14ac:dyDescent="0.25">
      <c r="O39" s="61" t="s">
        <v>556</v>
      </c>
      <c r="P39" s="62" t="s">
        <v>557</v>
      </c>
      <c r="Q39" s="63">
        <v>2036.875</v>
      </c>
    </row>
    <row r="40" spans="15:17" x14ac:dyDescent="0.25">
      <c r="O40" s="64" t="s">
        <v>558</v>
      </c>
      <c r="P40" s="65" t="s">
        <v>559</v>
      </c>
      <c r="Q40" s="66">
        <v>2036.875</v>
      </c>
    </row>
    <row r="41" spans="15:17" x14ac:dyDescent="0.25">
      <c r="O41" s="61" t="s">
        <v>560</v>
      </c>
      <c r="P41" s="62" t="s">
        <v>561</v>
      </c>
      <c r="Q41" s="63">
        <v>2036.875</v>
      </c>
    </row>
    <row r="42" spans="15:17" x14ac:dyDescent="0.25">
      <c r="O42" s="64" t="s">
        <v>562</v>
      </c>
      <c r="P42" s="65" t="s">
        <v>563</v>
      </c>
      <c r="Q42" s="66">
        <v>1887.875</v>
      </c>
    </row>
    <row r="43" spans="15:17" x14ac:dyDescent="0.25">
      <c r="O43" s="67" t="s">
        <v>564</v>
      </c>
      <c r="P43" s="68" t="s">
        <v>565</v>
      </c>
      <c r="Q43" s="69">
        <v>1887.875</v>
      </c>
    </row>
    <row r="44" spans="15:17" x14ac:dyDescent="0.25">
      <c r="O44" s="70" t="s">
        <v>566</v>
      </c>
      <c r="P44" s="71" t="s">
        <v>567</v>
      </c>
      <c r="Q44" s="72">
        <v>2036.875</v>
      </c>
    </row>
    <row r="45" spans="15:17" x14ac:dyDescent="0.25">
      <c r="O45" s="73" t="s">
        <v>568</v>
      </c>
      <c r="P45" s="74" t="s">
        <v>569</v>
      </c>
      <c r="Q45" s="75">
        <v>2036.875</v>
      </c>
    </row>
    <row r="46" spans="15:17" x14ac:dyDescent="0.25">
      <c r="O46" s="70" t="s">
        <v>570</v>
      </c>
      <c r="P46" s="71" t="s">
        <v>571</v>
      </c>
      <c r="Q46" s="72">
        <v>2036.875</v>
      </c>
    </row>
    <row r="47" spans="15:17" x14ac:dyDescent="0.25">
      <c r="O47" s="73" t="s">
        <v>572</v>
      </c>
      <c r="P47" s="74" t="s">
        <v>573</v>
      </c>
      <c r="Q47" s="75">
        <v>1887.875</v>
      </c>
    </row>
    <row r="48" spans="15:17" x14ac:dyDescent="0.25">
      <c r="O48" s="76" t="s">
        <v>574</v>
      </c>
      <c r="P48" s="77" t="s">
        <v>575</v>
      </c>
      <c r="Q48" s="78">
        <v>1887.875</v>
      </c>
    </row>
    <row r="49" spans="15:17" x14ac:dyDescent="0.25">
      <c r="O49" s="79" t="s">
        <v>576</v>
      </c>
      <c r="P49" s="80" t="s">
        <v>577</v>
      </c>
      <c r="Q49" s="81">
        <v>2036.875</v>
      </c>
    </row>
    <row r="50" spans="15:17" x14ac:dyDescent="0.25">
      <c r="O50" s="82" t="s">
        <v>578</v>
      </c>
      <c r="P50" s="83" t="s">
        <v>579</v>
      </c>
      <c r="Q50" s="84">
        <v>2036.875</v>
      </c>
    </row>
    <row r="51" spans="15:17" x14ac:dyDescent="0.25">
      <c r="O51" s="79" t="s">
        <v>580</v>
      </c>
      <c r="P51" s="80" t="s">
        <v>581</v>
      </c>
      <c r="Q51" s="81">
        <v>2036.875</v>
      </c>
    </row>
    <row r="52" spans="15:17" x14ac:dyDescent="0.25">
      <c r="O52" s="82" t="s">
        <v>582</v>
      </c>
      <c r="P52" s="83" t="s">
        <v>583</v>
      </c>
      <c r="Q52" s="84">
        <v>1887.875</v>
      </c>
    </row>
    <row r="53" spans="15:17" x14ac:dyDescent="0.25">
      <c r="O53" s="85" t="s">
        <v>584</v>
      </c>
      <c r="P53" s="86" t="s">
        <v>585</v>
      </c>
      <c r="Q53" s="87">
        <v>1887.875</v>
      </c>
    </row>
    <row r="54" spans="15:17" x14ac:dyDescent="0.25">
      <c r="O54" s="88" t="s">
        <v>586</v>
      </c>
      <c r="P54" s="89" t="s">
        <v>587</v>
      </c>
      <c r="Q54" s="90">
        <v>2036.875</v>
      </c>
    </row>
    <row r="55" spans="15:17" x14ac:dyDescent="0.25">
      <c r="O55" s="91" t="s">
        <v>588</v>
      </c>
      <c r="P55" s="92" t="s">
        <v>589</v>
      </c>
      <c r="Q55" s="93">
        <v>2036.875</v>
      </c>
    </row>
    <row r="56" spans="15:17" x14ac:dyDescent="0.25">
      <c r="O56" s="88" t="s">
        <v>590</v>
      </c>
      <c r="P56" s="89" t="s">
        <v>591</v>
      </c>
      <c r="Q56" s="90">
        <v>2036.875</v>
      </c>
    </row>
    <row r="57" spans="15:17" x14ac:dyDescent="0.25">
      <c r="O57" s="91" t="s">
        <v>592</v>
      </c>
      <c r="P57" s="92" t="s">
        <v>593</v>
      </c>
      <c r="Q57" s="93">
        <v>1887.875</v>
      </c>
    </row>
    <row r="58" spans="15:17" x14ac:dyDescent="0.25">
      <c r="O58" s="94" t="s">
        <v>594</v>
      </c>
      <c r="P58" s="95" t="s">
        <v>595</v>
      </c>
      <c r="Q58" s="96">
        <v>1887.875</v>
      </c>
    </row>
    <row r="60" spans="15:17" x14ac:dyDescent="0.25">
      <c r="O60" t="s">
        <v>540</v>
      </c>
    </row>
    <row r="61" spans="15:17" x14ac:dyDescent="0.25">
      <c r="O61" s="61" t="s">
        <v>596</v>
      </c>
      <c r="P61" s="62" t="s">
        <v>597</v>
      </c>
      <c r="Q61" s="63">
        <v>2758.875</v>
      </c>
    </row>
    <row r="62" spans="15:17" x14ac:dyDescent="0.25">
      <c r="O62" s="64" t="s">
        <v>598</v>
      </c>
      <c r="P62" s="65" t="s">
        <v>599</v>
      </c>
      <c r="Q62" s="66">
        <v>2758.875</v>
      </c>
    </row>
    <row r="63" spans="15:17" x14ac:dyDescent="0.25">
      <c r="O63" s="61" t="s">
        <v>600</v>
      </c>
      <c r="P63" s="62" t="s">
        <v>601</v>
      </c>
      <c r="Q63" s="63">
        <v>2758.875</v>
      </c>
    </row>
    <row r="64" spans="15:17" x14ac:dyDescent="0.25">
      <c r="O64" s="64" t="s">
        <v>602</v>
      </c>
      <c r="P64" s="65" t="s">
        <v>603</v>
      </c>
      <c r="Q64" s="66">
        <v>2608.875</v>
      </c>
    </row>
    <row r="65" spans="15:17" x14ac:dyDescent="0.25">
      <c r="O65" s="67" t="s">
        <v>604</v>
      </c>
      <c r="P65" s="68" t="s">
        <v>605</v>
      </c>
      <c r="Q65" s="69">
        <v>2608.875</v>
      </c>
    </row>
    <row r="77" spans="15:17" x14ac:dyDescent="0.25">
      <c r="O77" t="s">
        <v>503</v>
      </c>
    </row>
    <row r="78" spans="15:17" x14ac:dyDescent="0.25">
      <c r="O78" s="42"/>
      <c r="P78" s="43"/>
      <c r="Q78" s="42"/>
    </row>
    <row r="79" spans="15:17" x14ac:dyDescent="0.25">
      <c r="O79" s="7" t="s">
        <v>499</v>
      </c>
      <c r="P79" s="44" t="s">
        <v>500</v>
      </c>
      <c r="Q79" s="7">
        <v>865.375</v>
      </c>
    </row>
    <row r="80" spans="15:17" x14ac:dyDescent="0.25">
      <c r="O80" s="42" t="s">
        <v>501</v>
      </c>
      <c r="P80" s="43" t="s">
        <v>502</v>
      </c>
      <c r="Q80" s="42">
        <v>865.375</v>
      </c>
    </row>
    <row r="81" spans="15:17" x14ac:dyDescent="0.25">
      <c r="O81" t="s">
        <v>504</v>
      </c>
      <c r="P81" s="8" t="s">
        <v>505</v>
      </c>
      <c r="Q81">
        <v>865.375</v>
      </c>
    </row>
    <row r="82" spans="15:17" x14ac:dyDescent="0.25">
      <c r="O82" t="s">
        <v>512</v>
      </c>
      <c r="P82" s="8" t="s">
        <v>513</v>
      </c>
      <c r="Q82">
        <v>865.375</v>
      </c>
    </row>
    <row r="83" spans="15:17" x14ac:dyDescent="0.25">
      <c r="O83" t="s">
        <v>506</v>
      </c>
      <c r="P83" s="8" t="s">
        <v>507</v>
      </c>
      <c r="Q83">
        <v>865.375</v>
      </c>
    </row>
    <row r="84" spans="15:17" x14ac:dyDescent="0.25">
      <c r="O84" t="s">
        <v>514</v>
      </c>
      <c r="P84" s="8" t="s">
        <v>515</v>
      </c>
      <c r="Q84">
        <v>865.375</v>
      </c>
    </row>
    <row r="85" spans="15:17" x14ac:dyDescent="0.25">
      <c r="O85" t="s">
        <v>508</v>
      </c>
      <c r="P85" s="8" t="s">
        <v>509</v>
      </c>
      <c r="Q85">
        <v>865.375</v>
      </c>
    </row>
    <row r="86" spans="15:17" x14ac:dyDescent="0.25">
      <c r="O86" t="s">
        <v>516</v>
      </c>
      <c r="P86" s="8" t="s">
        <v>517</v>
      </c>
      <c r="Q86">
        <v>865.375</v>
      </c>
    </row>
    <row r="87" spans="15:17" x14ac:dyDescent="0.25">
      <c r="O87" t="s">
        <v>510</v>
      </c>
      <c r="P87" s="8" t="s">
        <v>511</v>
      </c>
      <c r="Q87">
        <v>865.375</v>
      </c>
    </row>
    <row r="88" spans="15:17" x14ac:dyDescent="0.25">
      <c r="O88" t="s">
        <v>518</v>
      </c>
      <c r="P88" s="8" t="s">
        <v>519</v>
      </c>
      <c r="Q88">
        <v>865.375</v>
      </c>
    </row>
    <row r="99" spans="15:16" x14ac:dyDescent="0.25">
      <c r="O99" s="153" t="s">
        <v>2380</v>
      </c>
      <c r="P99" s="154" t="s">
        <v>23</v>
      </c>
    </row>
    <row r="100" spans="15:16" ht="15.75" x14ac:dyDescent="0.25">
      <c r="O100" s="155" t="s">
        <v>2101</v>
      </c>
      <c r="P100" s="156" t="s">
        <v>2102</v>
      </c>
    </row>
    <row r="101" spans="15:16" ht="15.75" x14ac:dyDescent="0.25">
      <c r="O101" s="155" t="s">
        <v>2103</v>
      </c>
      <c r="P101" s="152" t="s">
        <v>2104</v>
      </c>
    </row>
    <row r="102" spans="15:16" ht="15.75" x14ac:dyDescent="0.25">
      <c r="O102" s="155" t="s">
        <v>2105</v>
      </c>
      <c r="P102" s="152" t="s">
        <v>2106</v>
      </c>
    </row>
    <row r="103" spans="15:16" ht="15.75" x14ac:dyDescent="0.25">
      <c r="O103" s="155" t="s">
        <v>2107</v>
      </c>
      <c r="P103" s="152" t="s">
        <v>2108</v>
      </c>
    </row>
    <row r="104" spans="15:16" ht="15.75" x14ac:dyDescent="0.25">
      <c r="O104" s="155" t="s">
        <v>2109</v>
      </c>
      <c r="P104" s="152" t="s">
        <v>2110</v>
      </c>
    </row>
    <row r="105" spans="15:16" ht="15.75" x14ac:dyDescent="0.25">
      <c r="O105" s="155" t="s">
        <v>2111</v>
      </c>
      <c r="P105" s="152" t="s">
        <v>2112</v>
      </c>
    </row>
    <row r="106" spans="15:16" ht="15.75" x14ac:dyDescent="0.25">
      <c r="O106" s="155" t="s">
        <v>2113</v>
      </c>
      <c r="P106" s="152" t="s">
        <v>2114</v>
      </c>
    </row>
    <row r="107" spans="15:16" ht="15.75" x14ac:dyDescent="0.25">
      <c r="O107" s="155" t="s">
        <v>2115</v>
      </c>
      <c r="P107" s="152" t="s">
        <v>2116</v>
      </c>
    </row>
    <row r="108" spans="15:16" ht="15.75" x14ac:dyDescent="0.25">
      <c r="O108" s="155" t="s">
        <v>2117</v>
      </c>
      <c r="P108" s="152" t="s">
        <v>2118</v>
      </c>
    </row>
    <row r="109" spans="15:16" ht="15.75" x14ac:dyDescent="0.25">
      <c r="O109" s="155" t="s">
        <v>2119</v>
      </c>
      <c r="P109" s="152" t="s">
        <v>2120</v>
      </c>
    </row>
    <row r="110" spans="15:16" ht="15.75" x14ac:dyDescent="0.25">
      <c r="O110" s="155" t="s">
        <v>2121</v>
      </c>
      <c r="P110" s="152" t="s">
        <v>2122</v>
      </c>
    </row>
    <row r="111" spans="15:16" ht="15.75" x14ac:dyDescent="0.25">
      <c r="O111" s="155" t="s">
        <v>2123</v>
      </c>
      <c r="P111" s="152" t="s">
        <v>2124</v>
      </c>
    </row>
    <row r="112" spans="15:16" ht="15.75" x14ac:dyDescent="0.25">
      <c r="O112" s="155" t="s">
        <v>2125</v>
      </c>
      <c r="P112" s="152" t="s">
        <v>2126</v>
      </c>
    </row>
    <row r="113" spans="15:16" ht="15.75" x14ac:dyDescent="0.25">
      <c r="O113" s="155" t="s">
        <v>2127</v>
      </c>
      <c r="P113" s="152" t="s">
        <v>2128</v>
      </c>
    </row>
    <row r="114" spans="15:16" ht="15.75" x14ac:dyDescent="0.25">
      <c r="O114" s="155" t="s">
        <v>2129</v>
      </c>
      <c r="P114" s="152" t="s">
        <v>2130</v>
      </c>
    </row>
    <row r="115" spans="15:16" ht="15.75" x14ac:dyDescent="0.25">
      <c r="O115" s="155" t="s">
        <v>2131</v>
      </c>
      <c r="P115" s="152" t="s">
        <v>2132</v>
      </c>
    </row>
    <row r="116" spans="15:16" ht="15.75" x14ac:dyDescent="0.25">
      <c r="O116" s="155" t="s">
        <v>2133</v>
      </c>
      <c r="P116" s="152" t="s">
        <v>2134</v>
      </c>
    </row>
    <row r="117" spans="15:16" ht="15.75" x14ac:dyDescent="0.25">
      <c r="O117" s="155" t="s">
        <v>2135</v>
      </c>
      <c r="P117" s="152" t="s">
        <v>2136</v>
      </c>
    </row>
    <row r="118" spans="15:16" ht="15.75" x14ac:dyDescent="0.25">
      <c r="O118" s="155" t="s">
        <v>2137</v>
      </c>
      <c r="P118" s="152" t="s">
        <v>2138</v>
      </c>
    </row>
    <row r="119" spans="15:16" ht="15.75" x14ac:dyDescent="0.25">
      <c r="O119" s="155" t="s">
        <v>2139</v>
      </c>
      <c r="P119" s="152" t="s">
        <v>2140</v>
      </c>
    </row>
    <row r="120" spans="15:16" ht="15.75" x14ac:dyDescent="0.25">
      <c r="O120" s="155" t="s">
        <v>2141</v>
      </c>
      <c r="P120" s="152" t="s">
        <v>2142</v>
      </c>
    </row>
    <row r="121" spans="15:16" ht="15.75" x14ac:dyDescent="0.25">
      <c r="O121" s="155" t="s">
        <v>2143</v>
      </c>
      <c r="P121" s="152" t="s">
        <v>2144</v>
      </c>
    </row>
    <row r="122" spans="15:16" ht="15.75" x14ac:dyDescent="0.25">
      <c r="O122" s="155" t="s">
        <v>2145</v>
      </c>
      <c r="P122" s="152" t="s">
        <v>2146</v>
      </c>
    </row>
    <row r="123" spans="15:16" ht="15.75" x14ac:dyDescent="0.25">
      <c r="O123" s="155" t="s">
        <v>2147</v>
      </c>
      <c r="P123" s="152" t="s">
        <v>2148</v>
      </c>
    </row>
    <row r="124" spans="15:16" ht="15.75" x14ac:dyDescent="0.25">
      <c r="O124" s="155" t="s">
        <v>2149</v>
      </c>
      <c r="P124" s="152" t="s">
        <v>2150</v>
      </c>
    </row>
    <row r="125" spans="15:16" ht="15.75" x14ac:dyDescent="0.25">
      <c r="O125" s="155" t="s">
        <v>2151</v>
      </c>
      <c r="P125" s="152" t="s">
        <v>2152</v>
      </c>
    </row>
    <row r="126" spans="15:16" ht="15.75" x14ac:dyDescent="0.25">
      <c r="O126" s="155" t="s">
        <v>2153</v>
      </c>
      <c r="P126" s="152" t="s">
        <v>2154</v>
      </c>
    </row>
    <row r="127" spans="15:16" ht="15.75" x14ac:dyDescent="0.25">
      <c r="O127" s="155" t="s">
        <v>2155</v>
      </c>
      <c r="P127" s="152" t="s">
        <v>2156</v>
      </c>
    </row>
    <row r="128" spans="15:16" ht="15.75" x14ac:dyDescent="0.25">
      <c r="O128" s="155" t="s">
        <v>2157</v>
      </c>
      <c r="P128" s="152" t="s">
        <v>2158</v>
      </c>
    </row>
    <row r="129" spans="15:16" ht="15.75" x14ac:dyDescent="0.25">
      <c r="O129" s="155" t="s">
        <v>2159</v>
      </c>
      <c r="P129" s="152" t="s">
        <v>2160</v>
      </c>
    </row>
    <row r="130" spans="15:16" ht="15.75" x14ac:dyDescent="0.25">
      <c r="O130" s="155" t="s">
        <v>2161</v>
      </c>
      <c r="P130" s="152" t="s">
        <v>2162</v>
      </c>
    </row>
    <row r="131" spans="15:16" ht="15.75" x14ac:dyDescent="0.25">
      <c r="O131" s="155" t="s">
        <v>2163</v>
      </c>
      <c r="P131" s="152" t="s">
        <v>2164</v>
      </c>
    </row>
    <row r="132" spans="15:16" ht="15.75" x14ac:dyDescent="0.25">
      <c r="O132" s="155" t="s">
        <v>2165</v>
      </c>
      <c r="P132" s="152" t="s">
        <v>2166</v>
      </c>
    </row>
    <row r="133" spans="15:16" ht="15.75" x14ac:dyDescent="0.25">
      <c r="O133" s="155" t="s">
        <v>2167</v>
      </c>
      <c r="P133" s="152" t="s">
        <v>2168</v>
      </c>
    </row>
    <row r="134" spans="15:16" ht="15.75" x14ac:dyDescent="0.25">
      <c r="O134" s="155" t="s">
        <v>2169</v>
      </c>
      <c r="P134" s="152" t="s">
        <v>2170</v>
      </c>
    </row>
    <row r="135" spans="15:16" ht="15.75" x14ac:dyDescent="0.25">
      <c r="O135" s="155" t="s">
        <v>2171</v>
      </c>
      <c r="P135" s="152" t="s">
        <v>2172</v>
      </c>
    </row>
    <row r="136" spans="15:16" ht="15.75" x14ac:dyDescent="0.25">
      <c r="O136" s="157" t="s">
        <v>2173</v>
      </c>
      <c r="P136" s="118" t="s">
        <v>2174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1"/>
  <dimension ref="B3:S321"/>
  <sheetViews>
    <sheetView zoomScale="70" zoomScaleNormal="70" workbookViewId="0">
      <selection activeCell="B3" sqref="B3"/>
    </sheetView>
  </sheetViews>
  <sheetFormatPr defaultRowHeight="15" x14ac:dyDescent="0.25"/>
  <cols>
    <col min="2" max="2" width="23.28515625" style="3" bestFit="1" customWidth="1"/>
    <col min="3" max="3" width="142.7109375" customWidth="1"/>
    <col min="5" max="5" width="17.140625" customWidth="1"/>
    <col min="6" max="6" width="44" customWidth="1"/>
    <col min="9" max="9" width="11.85546875" customWidth="1"/>
    <col min="10" max="10" width="11.140625" customWidth="1"/>
    <col min="11" max="11" width="12" customWidth="1"/>
    <col min="12" max="12" width="11.5703125" customWidth="1"/>
    <col min="13" max="13" width="11.42578125" customWidth="1"/>
    <col min="14" max="14" width="31.140625" bestFit="1" customWidth="1"/>
    <col min="15" max="15" width="16.42578125" bestFit="1" customWidth="1"/>
    <col min="16" max="16" width="39" bestFit="1" customWidth="1"/>
    <col min="17" max="17" width="10" bestFit="1" customWidth="1"/>
    <col min="18" max="18" width="36.42578125" bestFit="1" customWidth="1"/>
    <col min="19" max="19" width="17.140625" customWidth="1"/>
  </cols>
  <sheetData>
    <row r="3" spans="2:16" ht="15.75" x14ac:dyDescent="0.25">
      <c r="B3" s="13" t="s">
        <v>50</v>
      </c>
      <c r="C3" s="13" t="s">
        <v>66</v>
      </c>
      <c r="E3" t="s">
        <v>23</v>
      </c>
    </row>
    <row r="4" spans="2:16" ht="15.75" x14ac:dyDescent="0.25">
      <c r="B4" s="13" t="s">
        <v>51</v>
      </c>
      <c r="C4" s="13" t="s">
        <v>68</v>
      </c>
    </row>
    <row r="5" spans="2:16" ht="15.75" x14ac:dyDescent="0.25">
      <c r="B5" s="13" t="s">
        <v>52</v>
      </c>
      <c r="C5" s="13" t="s">
        <v>70</v>
      </c>
      <c r="E5" t="s">
        <v>384</v>
      </c>
    </row>
    <row r="6" spans="2:16" ht="15.75" x14ac:dyDescent="0.25">
      <c r="B6" s="13" t="s">
        <v>53</v>
      </c>
      <c r="C6" s="13" t="s">
        <v>72</v>
      </c>
      <c r="E6" t="s">
        <v>385</v>
      </c>
    </row>
    <row r="7" spans="2:16" ht="15.75" x14ac:dyDescent="0.25">
      <c r="B7" s="13" t="s">
        <v>54</v>
      </c>
      <c r="C7" s="13" t="s">
        <v>74</v>
      </c>
    </row>
    <row r="8" spans="2:16" ht="15.75" x14ac:dyDescent="0.25">
      <c r="B8" s="13" t="s">
        <v>55</v>
      </c>
      <c r="C8" s="13" t="s">
        <v>76</v>
      </c>
    </row>
    <row r="9" spans="2:16" ht="15.75" x14ac:dyDescent="0.25">
      <c r="B9" s="13" t="s">
        <v>56</v>
      </c>
      <c r="C9" s="13" t="s">
        <v>78</v>
      </c>
    </row>
    <row r="10" spans="2:16" ht="15.75" x14ac:dyDescent="0.25">
      <c r="B10" s="13" t="s">
        <v>57</v>
      </c>
      <c r="C10" s="13" t="s">
        <v>80</v>
      </c>
    </row>
    <row r="11" spans="2:16" ht="15.75" x14ac:dyDescent="0.25">
      <c r="B11" s="13" t="s">
        <v>58</v>
      </c>
      <c r="C11" s="13" t="s">
        <v>82</v>
      </c>
    </row>
    <row r="13" spans="2:16" x14ac:dyDescent="0.25">
      <c r="I13" s="683" t="s">
        <v>2401</v>
      </c>
      <c r="J13" s="683"/>
      <c r="K13" s="683"/>
      <c r="L13" s="683"/>
      <c r="M13" s="683"/>
      <c r="N13" s="683"/>
      <c r="O13" s="683"/>
      <c r="P13" s="683"/>
    </row>
    <row r="15" spans="2:16" ht="45" x14ac:dyDescent="0.25">
      <c r="I15" s="26" t="s">
        <v>2382</v>
      </c>
      <c r="J15" s="139" t="s">
        <v>2383</v>
      </c>
      <c r="K15" s="139" t="s">
        <v>2384</v>
      </c>
      <c r="L15" s="139" t="s">
        <v>2385</v>
      </c>
      <c r="M15" s="139" t="s">
        <v>2386</v>
      </c>
      <c r="N15" s="139" t="s">
        <v>2387</v>
      </c>
      <c r="O15" s="139" t="s">
        <v>2388</v>
      </c>
      <c r="P15" s="139" t="s">
        <v>2389</v>
      </c>
    </row>
    <row r="16" spans="2:16" x14ac:dyDescent="0.25">
      <c r="I16" s="159" t="s">
        <v>2390</v>
      </c>
      <c r="J16" s="26">
        <f>0.058*0.058</f>
        <v>3.3640000000000002E-3</v>
      </c>
      <c r="K16" s="159">
        <f>J16*'[4]Учетные цены на материалы'!$AE$6</f>
        <v>17.26852212</v>
      </c>
      <c r="L16" s="159">
        <v>0.11</v>
      </c>
      <c r="M16" s="159">
        <f>4/60</f>
        <v>6.6666666666666666E-2</v>
      </c>
      <c r="N16" s="159">
        <f t="shared" ref="N16:N26" si="0">M16+L16+0.13</f>
        <v>0.30666666666666664</v>
      </c>
      <c r="O16" s="159">
        <v>220.8</v>
      </c>
      <c r="P16" s="159">
        <f>(K16+O16)*1.02</f>
        <v>242.8298925624</v>
      </c>
    </row>
    <row r="17" spans="2:16" x14ac:dyDescent="0.25">
      <c r="I17" s="159" t="s">
        <v>2391</v>
      </c>
      <c r="J17" s="26">
        <f>0.106*0.58</f>
        <v>6.1479999999999993E-2</v>
      </c>
      <c r="K17" s="159">
        <f>J17*'[4]Учетные цены на материалы'!$AE$6</f>
        <v>315.59712839999997</v>
      </c>
      <c r="L17" s="159">
        <v>0.15</v>
      </c>
      <c r="M17" s="159">
        <f t="shared" ref="M17:M21" si="1">4/60</f>
        <v>6.6666666666666666E-2</v>
      </c>
      <c r="N17" s="159">
        <f t="shared" si="0"/>
        <v>0.34666666666666668</v>
      </c>
      <c r="O17" s="159">
        <v>249.6</v>
      </c>
      <c r="P17" s="159">
        <f t="shared" ref="P17:P26" si="2">(K17+O17)*1.02</f>
        <v>576.50107096800002</v>
      </c>
    </row>
    <row r="18" spans="2:16" x14ac:dyDescent="0.25">
      <c r="B18" s="321" t="s">
        <v>622</v>
      </c>
      <c r="C18" s="322" t="s">
        <v>23</v>
      </c>
      <c r="D18" s="323" t="s">
        <v>24</v>
      </c>
      <c r="I18" s="159" t="s">
        <v>2392</v>
      </c>
      <c r="J18" s="26">
        <f>0.07*0.07</f>
        <v>4.9000000000000007E-3</v>
      </c>
      <c r="K18" s="159">
        <f>J18*'[4]Учетные цены на материалы'!$AE$6</f>
        <v>25.153317000000005</v>
      </c>
      <c r="L18" s="159">
        <v>0.12</v>
      </c>
      <c r="M18" s="159">
        <f t="shared" si="1"/>
        <v>6.6666666666666666E-2</v>
      </c>
      <c r="N18" s="159">
        <f t="shared" si="0"/>
        <v>0.31666666666666665</v>
      </c>
      <c r="O18" s="159">
        <v>228</v>
      </c>
      <c r="P18" s="159">
        <f t="shared" si="2"/>
        <v>258.21638333999999</v>
      </c>
    </row>
    <row r="19" spans="2:16" x14ac:dyDescent="0.25">
      <c r="B19" s="313" t="s">
        <v>50</v>
      </c>
      <c r="C19" s="314" t="s">
        <v>620</v>
      </c>
      <c r="D19" s="315"/>
      <c r="I19" s="159" t="s">
        <v>2393</v>
      </c>
      <c r="J19" s="26">
        <f>0.085*0.085</f>
        <v>7.2250000000000014E-3</v>
      </c>
      <c r="K19" s="159">
        <f>J19*'[4]Учетные цены на материалы'!$AE$6</f>
        <v>37.088309250000009</v>
      </c>
      <c r="L19" s="159">
        <v>0.16</v>
      </c>
      <c r="M19" s="159">
        <f t="shared" si="1"/>
        <v>6.6666666666666666E-2</v>
      </c>
      <c r="N19" s="159">
        <f t="shared" si="0"/>
        <v>0.35666666666666669</v>
      </c>
      <c r="O19" s="159">
        <v>256.8</v>
      </c>
      <c r="P19" s="159">
        <f t="shared" si="2"/>
        <v>299.766075435</v>
      </c>
    </row>
    <row r="20" spans="2:16" x14ac:dyDescent="0.25">
      <c r="B20" s="313" t="s">
        <v>51</v>
      </c>
      <c r="C20" s="314" t="s">
        <v>620</v>
      </c>
      <c r="D20" s="315"/>
      <c r="I20" s="159" t="s">
        <v>2394</v>
      </c>
      <c r="J20" s="26">
        <f>0.16*0.085</f>
        <v>1.3600000000000001E-2</v>
      </c>
      <c r="K20" s="159">
        <f>J20*'[4]Учетные цены на материалы'!$AE$6</f>
        <v>69.813288</v>
      </c>
      <c r="L20" s="159">
        <v>0.33</v>
      </c>
      <c r="M20" s="159">
        <f>5/60</f>
        <v>8.3333333333333329E-2</v>
      </c>
      <c r="N20" s="159">
        <f t="shared" si="0"/>
        <v>0.54333333333333333</v>
      </c>
      <c r="O20" s="159">
        <v>391.2</v>
      </c>
      <c r="P20" s="159">
        <f t="shared" si="2"/>
        <v>470.23355376000001</v>
      </c>
    </row>
    <row r="21" spans="2:16" x14ac:dyDescent="0.25">
      <c r="B21" s="313" t="s">
        <v>52</v>
      </c>
      <c r="C21" s="314" t="s">
        <v>620</v>
      </c>
      <c r="D21" s="315"/>
      <c r="I21" s="160" t="s">
        <v>2395</v>
      </c>
      <c r="J21" s="26">
        <f>0.16*0.16</f>
        <v>2.5600000000000001E-2</v>
      </c>
      <c r="K21" s="159">
        <f>J21*'[4]Учетные цены на материалы'!$AE$6</f>
        <v>131.41324800000001</v>
      </c>
      <c r="L21" s="159">
        <v>0.66</v>
      </c>
      <c r="M21" s="159">
        <f t="shared" si="1"/>
        <v>6.6666666666666666E-2</v>
      </c>
      <c r="N21" s="159">
        <f t="shared" si="0"/>
        <v>0.85666666666666669</v>
      </c>
      <c r="O21" s="159">
        <v>616.79999999999995</v>
      </c>
      <c r="P21" s="159">
        <f t="shared" si="2"/>
        <v>763.17751296000006</v>
      </c>
    </row>
    <row r="22" spans="2:16" x14ac:dyDescent="0.25">
      <c r="B22" s="313" t="s">
        <v>53</v>
      </c>
      <c r="C22" s="314" t="s">
        <v>620</v>
      </c>
      <c r="D22" s="315"/>
      <c r="I22" s="160" t="s">
        <v>2396</v>
      </c>
      <c r="J22" s="26">
        <f>0.31*0.085</f>
        <v>2.6350000000000002E-2</v>
      </c>
      <c r="K22" s="159">
        <f>J22*'[4]Учетные цены на материалы'!$AE$6</f>
        <v>135.26324550000001</v>
      </c>
      <c r="L22" s="159">
        <v>0.66</v>
      </c>
      <c r="M22" s="159">
        <f>6/60</f>
        <v>0.1</v>
      </c>
      <c r="N22" s="159">
        <f t="shared" si="0"/>
        <v>0.89</v>
      </c>
      <c r="O22" s="159">
        <v>640.79999999999995</v>
      </c>
      <c r="P22" s="159">
        <f t="shared" si="2"/>
        <v>791.58451041000001</v>
      </c>
    </row>
    <row r="23" spans="2:16" x14ac:dyDescent="0.25">
      <c r="B23" s="313" t="s">
        <v>54</v>
      </c>
      <c r="C23" s="314" t="s">
        <v>620</v>
      </c>
      <c r="D23" s="315"/>
      <c r="I23" s="160" t="s">
        <v>2397</v>
      </c>
      <c r="J23" s="26">
        <f>0.31*0.16</f>
        <v>4.9599999999999998E-2</v>
      </c>
      <c r="K23" s="159">
        <f>J23*'[4]Учетные цены на материалы'!$AE$6</f>
        <v>254.61316799999997</v>
      </c>
      <c r="L23" s="159">
        <v>0.93</v>
      </c>
      <c r="M23" s="159">
        <f t="shared" ref="M23:M24" si="3">6/60</f>
        <v>0.1</v>
      </c>
      <c r="N23" s="159">
        <f t="shared" si="0"/>
        <v>1.1600000000000001</v>
      </c>
      <c r="O23" s="159">
        <v>835.2</v>
      </c>
      <c r="P23" s="159">
        <f t="shared" si="2"/>
        <v>1111.6094313600001</v>
      </c>
    </row>
    <row r="24" spans="2:16" x14ac:dyDescent="0.25">
      <c r="B24" s="313" t="s">
        <v>55</v>
      </c>
      <c r="C24" s="314" t="s">
        <v>620</v>
      </c>
      <c r="D24" s="315"/>
      <c r="I24" s="160" t="s">
        <v>2398</v>
      </c>
      <c r="J24" s="26">
        <f>0.31*0.21</f>
        <v>6.5099999999999991E-2</v>
      </c>
      <c r="K24" s="159">
        <f>J24*'[4]Учетные цены на материалы'!$AE$6</f>
        <v>334.17978299999993</v>
      </c>
      <c r="L24" s="159">
        <v>1.1000000000000001</v>
      </c>
      <c r="M24" s="159">
        <f t="shared" si="3"/>
        <v>0.1</v>
      </c>
      <c r="N24" s="159">
        <f t="shared" si="0"/>
        <v>1.33</v>
      </c>
      <c r="O24" s="159">
        <v>957.6</v>
      </c>
      <c r="P24" s="159">
        <f t="shared" si="2"/>
        <v>1317.61537866</v>
      </c>
    </row>
    <row r="25" spans="2:16" ht="15" customHeight="1" x14ac:dyDescent="0.25">
      <c r="B25" s="313" t="s">
        <v>56</v>
      </c>
      <c r="C25" s="314" t="s">
        <v>620</v>
      </c>
      <c r="D25" s="315"/>
      <c r="I25" s="160" t="s">
        <v>2399</v>
      </c>
      <c r="J25" s="26">
        <f>0.31*0.31</f>
        <v>9.6100000000000005E-2</v>
      </c>
      <c r="K25" s="159">
        <f>J25*'[4]Учетные цены на материалы'!$AE$6</f>
        <v>493.31301300000001</v>
      </c>
      <c r="L25" s="159">
        <v>1.22</v>
      </c>
      <c r="M25" s="159">
        <f>7/60</f>
        <v>0.11666666666666667</v>
      </c>
      <c r="N25" s="159">
        <f t="shared" si="0"/>
        <v>1.4666666666666668</v>
      </c>
      <c r="O25" s="159">
        <v>1056</v>
      </c>
      <c r="P25" s="159">
        <f t="shared" si="2"/>
        <v>1580.2992732600001</v>
      </c>
    </row>
    <row r="26" spans="2:16" x14ac:dyDescent="0.25">
      <c r="B26" s="313" t="s">
        <v>57</v>
      </c>
      <c r="C26" s="314" t="s">
        <v>620</v>
      </c>
      <c r="D26" s="315"/>
      <c r="I26" s="160" t="s">
        <v>2400</v>
      </c>
      <c r="J26" s="26">
        <f>0.46*0.31</f>
        <v>0.1426</v>
      </c>
      <c r="K26" s="159">
        <f>J26*'[4]Учетные цены на материалы'!$AE$6</f>
        <v>732.01285800000005</v>
      </c>
      <c r="L26" s="159">
        <v>1.36</v>
      </c>
      <c r="M26" s="159">
        <f>7/60</f>
        <v>0.11666666666666667</v>
      </c>
      <c r="N26" s="159">
        <f t="shared" si="0"/>
        <v>1.6066666666666669</v>
      </c>
      <c r="O26" s="159">
        <v>1156.8</v>
      </c>
      <c r="P26" s="159">
        <f t="shared" si="2"/>
        <v>1926.5891151600001</v>
      </c>
    </row>
    <row r="27" spans="2:16" x14ac:dyDescent="0.25">
      <c r="B27" s="313" t="s">
        <v>58</v>
      </c>
      <c r="C27" s="314" t="s">
        <v>620</v>
      </c>
      <c r="D27" s="315"/>
    </row>
    <row r="28" spans="2:16" ht="15.75" customHeight="1" x14ac:dyDescent="0.25">
      <c r="B28" s="313" t="s">
        <v>2528</v>
      </c>
      <c r="C28" s="314" t="s">
        <v>620</v>
      </c>
      <c r="D28" s="315"/>
    </row>
    <row r="29" spans="2:16" x14ac:dyDescent="0.25">
      <c r="B29" s="313" t="s">
        <v>83</v>
      </c>
      <c r="C29" s="314" t="s">
        <v>620</v>
      </c>
      <c r="D29" s="315"/>
    </row>
    <row r="30" spans="2:16" x14ac:dyDescent="0.25">
      <c r="B30" s="313" t="s">
        <v>85</v>
      </c>
      <c r="C30" s="314" t="s">
        <v>620</v>
      </c>
      <c r="D30" s="315"/>
    </row>
    <row r="31" spans="2:16" x14ac:dyDescent="0.25">
      <c r="B31" s="313" t="s">
        <v>87</v>
      </c>
      <c r="C31" s="314" t="s">
        <v>620</v>
      </c>
      <c r="D31" s="315"/>
    </row>
    <row r="32" spans="2:16" x14ac:dyDescent="0.25">
      <c r="B32" s="313" t="s">
        <v>89</v>
      </c>
      <c r="C32" s="314" t="s">
        <v>620</v>
      </c>
      <c r="D32" s="315"/>
    </row>
    <row r="33" spans="2:4" x14ac:dyDescent="0.25">
      <c r="B33" s="313" t="s">
        <v>102</v>
      </c>
      <c r="C33" s="314" t="s">
        <v>621</v>
      </c>
      <c r="D33" s="315"/>
    </row>
    <row r="34" spans="2:4" x14ac:dyDescent="0.25">
      <c r="B34" s="316" t="s">
        <v>103</v>
      </c>
      <c r="C34" s="314" t="s">
        <v>621</v>
      </c>
      <c r="D34" s="315"/>
    </row>
    <row r="35" spans="2:4" x14ac:dyDescent="0.25">
      <c r="B35" s="313" t="s">
        <v>104</v>
      </c>
      <c r="C35" s="314" t="s">
        <v>621</v>
      </c>
      <c r="D35" s="315"/>
    </row>
    <row r="36" spans="2:4" x14ac:dyDescent="0.25">
      <c r="B36" s="316" t="s">
        <v>105</v>
      </c>
      <c r="C36" s="314" t="s">
        <v>621</v>
      </c>
      <c r="D36" s="315"/>
    </row>
    <row r="37" spans="2:4" x14ac:dyDescent="0.25">
      <c r="B37" s="313" t="s">
        <v>106</v>
      </c>
      <c r="C37" s="314" t="s">
        <v>621</v>
      </c>
      <c r="D37" s="315"/>
    </row>
    <row r="38" spans="2:4" x14ac:dyDescent="0.25">
      <c r="B38" s="316" t="s">
        <v>107</v>
      </c>
      <c r="C38" s="314" t="s">
        <v>621</v>
      </c>
      <c r="D38" s="315"/>
    </row>
    <row r="39" spans="2:4" x14ac:dyDescent="0.25">
      <c r="B39" s="313" t="s">
        <v>109</v>
      </c>
      <c r="C39" s="314" t="s">
        <v>621</v>
      </c>
      <c r="D39" s="315"/>
    </row>
    <row r="40" spans="2:4" x14ac:dyDescent="0.25">
      <c r="B40" s="313" t="s">
        <v>94</v>
      </c>
      <c r="C40" s="314" t="s">
        <v>621</v>
      </c>
      <c r="D40" s="315"/>
    </row>
    <row r="41" spans="2:4" x14ac:dyDescent="0.25">
      <c r="B41" s="313" t="s">
        <v>96</v>
      </c>
      <c r="C41" s="314" t="s">
        <v>621</v>
      </c>
      <c r="D41" s="315"/>
    </row>
    <row r="42" spans="2:4" x14ac:dyDescent="0.25">
      <c r="B42" s="313" t="s">
        <v>98</v>
      </c>
      <c r="C42" s="314" t="s">
        <v>621</v>
      </c>
      <c r="D42" s="315"/>
    </row>
    <row r="43" spans="2:4" x14ac:dyDescent="0.25">
      <c r="B43" s="313" t="s">
        <v>100</v>
      </c>
      <c r="C43" s="314" t="s">
        <v>621</v>
      </c>
      <c r="D43" s="315"/>
    </row>
    <row r="44" spans="2:4" x14ac:dyDescent="0.25">
      <c r="B44" s="316" t="s">
        <v>390</v>
      </c>
      <c r="C44" s="314" t="s">
        <v>620</v>
      </c>
      <c r="D44" s="315"/>
    </row>
    <row r="45" spans="2:4" x14ac:dyDescent="0.25">
      <c r="B45" s="313" t="s">
        <v>389</v>
      </c>
      <c r="C45" s="314" t="s">
        <v>620</v>
      </c>
      <c r="D45" s="315"/>
    </row>
    <row r="46" spans="2:4" x14ac:dyDescent="0.25">
      <c r="B46" s="317" t="s">
        <v>165</v>
      </c>
      <c r="C46" s="314" t="s">
        <v>623</v>
      </c>
      <c r="D46" s="315" t="s">
        <v>166</v>
      </c>
    </row>
    <row r="47" spans="2:4" x14ac:dyDescent="0.25">
      <c r="B47" s="317" t="s">
        <v>167</v>
      </c>
      <c r="C47" s="314" t="s">
        <v>623</v>
      </c>
      <c r="D47" s="315" t="s">
        <v>168</v>
      </c>
    </row>
    <row r="48" spans="2:4" x14ac:dyDescent="0.25">
      <c r="B48" s="317" t="s">
        <v>169</v>
      </c>
      <c r="C48" s="314" t="s">
        <v>623</v>
      </c>
      <c r="D48" s="315" t="s">
        <v>170</v>
      </c>
    </row>
    <row r="49" spans="2:4" x14ac:dyDescent="0.25">
      <c r="B49" s="317" t="s">
        <v>171</v>
      </c>
      <c r="C49" s="314" t="s">
        <v>623</v>
      </c>
      <c r="D49" s="315" t="s">
        <v>172</v>
      </c>
    </row>
    <row r="50" spans="2:4" x14ac:dyDescent="0.25">
      <c r="B50" s="317" t="s">
        <v>173</v>
      </c>
      <c r="C50" s="314" t="s">
        <v>623</v>
      </c>
      <c r="D50" s="315" t="s">
        <v>174</v>
      </c>
    </row>
    <row r="51" spans="2:4" x14ac:dyDescent="0.25">
      <c r="B51" s="317" t="s">
        <v>175</v>
      </c>
      <c r="C51" s="314" t="s">
        <v>623</v>
      </c>
      <c r="D51" s="315" t="s">
        <v>176</v>
      </c>
    </row>
    <row r="52" spans="2:4" x14ac:dyDescent="0.25">
      <c r="B52" s="317" t="s">
        <v>177</v>
      </c>
      <c r="C52" s="314" t="s">
        <v>623</v>
      </c>
      <c r="D52" s="315" t="s">
        <v>178</v>
      </c>
    </row>
    <row r="53" spans="2:4" x14ac:dyDescent="0.25">
      <c r="B53" s="317" t="s">
        <v>179</v>
      </c>
      <c r="C53" s="314" t="s">
        <v>623</v>
      </c>
      <c r="D53" s="315" t="s">
        <v>180</v>
      </c>
    </row>
    <row r="54" spans="2:4" x14ac:dyDescent="0.25">
      <c r="B54" s="317" t="s">
        <v>181</v>
      </c>
      <c r="C54" s="314" t="s">
        <v>623</v>
      </c>
      <c r="D54" s="315" t="s">
        <v>182</v>
      </c>
    </row>
    <row r="55" spans="2:4" x14ac:dyDescent="0.25">
      <c r="B55" s="317" t="s">
        <v>183</v>
      </c>
      <c r="C55" s="314" t="s">
        <v>623</v>
      </c>
      <c r="D55" s="315" t="s">
        <v>184</v>
      </c>
    </row>
    <row r="56" spans="2:4" x14ac:dyDescent="0.25">
      <c r="B56" s="317" t="s">
        <v>185</v>
      </c>
      <c r="C56" s="314" t="s">
        <v>623</v>
      </c>
      <c r="D56" s="315" t="s">
        <v>186</v>
      </c>
    </row>
    <row r="57" spans="2:4" x14ac:dyDescent="0.25">
      <c r="B57" s="317" t="s">
        <v>187</v>
      </c>
      <c r="C57" s="314" t="s">
        <v>623</v>
      </c>
      <c r="D57" s="315" t="s">
        <v>188</v>
      </c>
    </row>
    <row r="58" spans="2:4" x14ac:dyDescent="0.25">
      <c r="B58" s="317" t="s">
        <v>189</v>
      </c>
      <c r="C58" s="314" t="s">
        <v>623</v>
      </c>
      <c r="D58" s="315" t="s">
        <v>186</v>
      </c>
    </row>
    <row r="59" spans="2:4" x14ac:dyDescent="0.25">
      <c r="B59" s="317" t="s">
        <v>190</v>
      </c>
      <c r="C59" s="314" t="s">
        <v>623</v>
      </c>
      <c r="D59" s="315" t="s">
        <v>188</v>
      </c>
    </row>
    <row r="60" spans="2:4" x14ac:dyDescent="0.25">
      <c r="B60" s="317" t="s">
        <v>191</v>
      </c>
      <c r="C60" s="314" t="s">
        <v>623</v>
      </c>
      <c r="D60" s="315" t="s">
        <v>192</v>
      </c>
    </row>
    <row r="61" spans="2:4" x14ac:dyDescent="0.25">
      <c r="B61" s="317" t="s">
        <v>193</v>
      </c>
      <c r="C61" s="314" t="s">
        <v>623</v>
      </c>
      <c r="D61" s="315" t="s">
        <v>194</v>
      </c>
    </row>
    <row r="62" spans="2:4" x14ac:dyDescent="0.25">
      <c r="B62" s="317" t="s">
        <v>195</v>
      </c>
      <c r="C62" s="314" t="s">
        <v>623</v>
      </c>
      <c r="D62" s="315" t="s">
        <v>192</v>
      </c>
    </row>
    <row r="63" spans="2:4" x14ac:dyDescent="0.25">
      <c r="B63" s="317" t="s">
        <v>196</v>
      </c>
      <c r="C63" s="314" t="s">
        <v>623</v>
      </c>
      <c r="D63" s="315" t="s">
        <v>194</v>
      </c>
    </row>
    <row r="64" spans="2:4" x14ac:dyDescent="0.25">
      <c r="B64" s="317" t="s">
        <v>207</v>
      </c>
      <c r="C64" s="314" t="s">
        <v>624</v>
      </c>
      <c r="D64" s="315" t="s">
        <v>166</v>
      </c>
    </row>
    <row r="65" spans="2:4" x14ac:dyDescent="0.25">
      <c r="B65" s="318" t="s">
        <v>208</v>
      </c>
      <c r="C65" s="314" t="s">
        <v>624</v>
      </c>
      <c r="D65" s="315" t="s">
        <v>168</v>
      </c>
    </row>
    <row r="66" spans="2:4" x14ac:dyDescent="0.25">
      <c r="B66" s="317" t="s">
        <v>209</v>
      </c>
      <c r="C66" s="314" t="s">
        <v>624</v>
      </c>
      <c r="D66" s="315" t="s">
        <v>170</v>
      </c>
    </row>
    <row r="67" spans="2:4" x14ac:dyDescent="0.25">
      <c r="B67" s="318" t="s">
        <v>210</v>
      </c>
      <c r="C67" s="314" t="s">
        <v>624</v>
      </c>
      <c r="D67" s="315" t="s">
        <v>172</v>
      </c>
    </row>
    <row r="68" spans="2:4" x14ac:dyDescent="0.25">
      <c r="B68" s="317" t="s">
        <v>211</v>
      </c>
      <c r="C68" s="314" t="s">
        <v>624</v>
      </c>
      <c r="D68" s="315" t="s">
        <v>174</v>
      </c>
    </row>
    <row r="69" spans="2:4" x14ac:dyDescent="0.25">
      <c r="B69" s="318" t="s">
        <v>212</v>
      </c>
      <c r="C69" s="314" t="s">
        <v>624</v>
      </c>
      <c r="D69" s="315" t="s">
        <v>176</v>
      </c>
    </row>
    <row r="70" spans="2:4" x14ac:dyDescent="0.25">
      <c r="B70" s="317" t="s">
        <v>213</v>
      </c>
      <c r="C70" s="314" t="s">
        <v>624</v>
      </c>
      <c r="D70" s="315" t="s">
        <v>178</v>
      </c>
    </row>
    <row r="71" spans="2:4" x14ac:dyDescent="0.25">
      <c r="B71" s="318" t="s">
        <v>214</v>
      </c>
      <c r="C71" s="314" t="s">
        <v>624</v>
      </c>
      <c r="D71" s="315" t="s">
        <v>180</v>
      </c>
    </row>
    <row r="72" spans="2:4" x14ac:dyDescent="0.25">
      <c r="B72" s="317"/>
      <c r="C72" s="314"/>
      <c r="D72" s="315" t="s">
        <v>166</v>
      </c>
    </row>
    <row r="73" spans="2:4" x14ac:dyDescent="0.25">
      <c r="B73" s="317"/>
      <c r="C73" s="314"/>
      <c r="D73" s="315" t="s">
        <v>168</v>
      </c>
    </row>
    <row r="74" spans="2:4" x14ac:dyDescent="0.25">
      <c r="B74" s="317"/>
      <c r="C74" s="314"/>
      <c r="D74" s="315" t="s">
        <v>170</v>
      </c>
    </row>
    <row r="75" spans="2:4" x14ac:dyDescent="0.25">
      <c r="B75" s="317"/>
      <c r="C75" s="314"/>
      <c r="D75" s="315" t="s">
        <v>172</v>
      </c>
    </row>
    <row r="76" spans="2:4" x14ac:dyDescent="0.25">
      <c r="B76" s="317"/>
      <c r="C76" s="314"/>
      <c r="D76" s="315" t="s">
        <v>174</v>
      </c>
    </row>
    <row r="77" spans="2:4" x14ac:dyDescent="0.25">
      <c r="B77" s="317"/>
      <c r="C77" s="314"/>
      <c r="D77" s="315" t="s">
        <v>176</v>
      </c>
    </row>
    <row r="78" spans="2:4" x14ac:dyDescent="0.25">
      <c r="B78" s="317" t="s">
        <v>215</v>
      </c>
      <c r="C78" s="314" t="s">
        <v>625</v>
      </c>
      <c r="D78" s="315" t="s">
        <v>168</v>
      </c>
    </row>
    <row r="79" spans="2:4" x14ac:dyDescent="0.25">
      <c r="B79" s="317" t="s">
        <v>216</v>
      </c>
      <c r="C79" s="314" t="s">
        <v>625</v>
      </c>
      <c r="D79" s="315" t="s">
        <v>170</v>
      </c>
    </row>
    <row r="80" spans="2:4" x14ac:dyDescent="0.25">
      <c r="B80" s="317" t="s">
        <v>217</v>
      </c>
      <c r="C80" s="314" t="s">
        <v>625</v>
      </c>
      <c r="D80" s="315" t="s">
        <v>170</v>
      </c>
    </row>
    <row r="81" spans="2:4" x14ac:dyDescent="0.25">
      <c r="B81" s="317" t="s">
        <v>218</v>
      </c>
      <c r="C81" s="314" t="s">
        <v>625</v>
      </c>
      <c r="D81" s="315" t="s">
        <v>170</v>
      </c>
    </row>
    <row r="82" spans="2:4" x14ac:dyDescent="0.25">
      <c r="B82" s="317" t="s">
        <v>219</v>
      </c>
      <c r="C82" s="314" t="s">
        <v>625</v>
      </c>
      <c r="D82" s="315" t="s">
        <v>170</v>
      </c>
    </row>
    <row r="83" spans="2:4" x14ac:dyDescent="0.25">
      <c r="B83" s="317" t="s">
        <v>220</v>
      </c>
      <c r="C83" s="314" t="s">
        <v>625</v>
      </c>
      <c r="D83" s="315" t="s">
        <v>170</v>
      </c>
    </row>
    <row r="84" spans="2:4" x14ac:dyDescent="0.25">
      <c r="B84" s="317" t="s">
        <v>221</v>
      </c>
      <c r="C84" s="314" t="s">
        <v>625</v>
      </c>
      <c r="D84" s="315" t="s">
        <v>170</v>
      </c>
    </row>
    <row r="85" spans="2:4" x14ac:dyDescent="0.25">
      <c r="B85" s="317" t="s">
        <v>222</v>
      </c>
      <c r="C85" s="314" t="s">
        <v>625</v>
      </c>
      <c r="D85" s="315" t="s">
        <v>172</v>
      </c>
    </row>
    <row r="86" spans="2:4" x14ac:dyDescent="0.25">
      <c r="B86" s="317" t="s">
        <v>223</v>
      </c>
      <c r="C86" s="314" t="s">
        <v>625</v>
      </c>
      <c r="D86" s="315" t="s">
        <v>172</v>
      </c>
    </row>
    <row r="87" spans="2:4" x14ac:dyDescent="0.25">
      <c r="B87" s="317" t="s">
        <v>224</v>
      </c>
      <c r="C87" s="314" t="s">
        <v>625</v>
      </c>
      <c r="D87" s="315" t="s">
        <v>172</v>
      </c>
    </row>
    <row r="88" spans="2:4" x14ac:dyDescent="0.25">
      <c r="B88" s="317" t="s">
        <v>225</v>
      </c>
      <c r="C88" s="314" t="s">
        <v>625</v>
      </c>
      <c r="D88" s="315" t="s">
        <v>172</v>
      </c>
    </row>
    <row r="89" spans="2:4" x14ac:dyDescent="0.25">
      <c r="B89" s="317" t="s">
        <v>226</v>
      </c>
      <c r="C89" s="314" t="s">
        <v>625</v>
      </c>
      <c r="D89" s="315" t="s">
        <v>172</v>
      </c>
    </row>
    <row r="90" spans="2:4" x14ac:dyDescent="0.25">
      <c r="B90" s="317" t="s">
        <v>227</v>
      </c>
      <c r="C90" s="314" t="s">
        <v>625</v>
      </c>
      <c r="D90" s="315" t="s">
        <v>174</v>
      </c>
    </row>
    <row r="91" spans="2:4" x14ac:dyDescent="0.25">
      <c r="B91" s="317" t="s">
        <v>228</v>
      </c>
      <c r="C91" s="314" t="s">
        <v>625</v>
      </c>
      <c r="D91" s="315" t="s">
        <v>174</v>
      </c>
    </row>
    <row r="92" spans="2:4" x14ac:dyDescent="0.25">
      <c r="B92" s="317" t="s">
        <v>229</v>
      </c>
      <c r="C92" s="314" t="s">
        <v>625</v>
      </c>
      <c r="D92" s="315" t="s">
        <v>174</v>
      </c>
    </row>
    <row r="93" spans="2:4" x14ac:dyDescent="0.25">
      <c r="B93" s="317" t="s">
        <v>230</v>
      </c>
      <c r="C93" s="314" t="s">
        <v>625</v>
      </c>
      <c r="D93" s="315" t="s">
        <v>176</v>
      </c>
    </row>
    <row r="94" spans="2:4" x14ac:dyDescent="0.25">
      <c r="B94" s="317" t="s">
        <v>231</v>
      </c>
      <c r="C94" s="314" t="s">
        <v>625</v>
      </c>
      <c r="D94" s="315" t="s">
        <v>176</v>
      </c>
    </row>
    <row r="95" spans="2:4" x14ac:dyDescent="0.25">
      <c r="B95" s="317" t="s">
        <v>394</v>
      </c>
      <c r="C95" s="314" t="s">
        <v>626</v>
      </c>
      <c r="D95" s="315" t="s">
        <v>395</v>
      </c>
    </row>
    <row r="96" spans="2:4" x14ac:dyDescent="0.25">
      <c r="B96" s="317" t="s">
        <v>396</v>
      </c>
      <c r="C96" s="314" t="s">
        <v>626</v>
      </c>
      <c r="D96" s="315" t="s">
        <v>395</v>
      </c>
    </row>
    <row r="97" spans="2:4" x14ac:dyDescent="0.25">
      <c r="B97" s="317" t="s">
        <v>397</v>
      </c>
      <c r="C97" s="314" t="s">
        <v>626</v>
      </c>
      <c r="D97" s="315" t="s">
        <v>395</v>
      </c>
    </row>
    <row r="98" spans="2:4" x14ac:dyDescent="0.25">
      <c r="B98" s="317" t="s">
        <v>398</v>
      </c>
      <c r="C98" s="314" t="s">
        <v>626</v>
      </c>
      <c r="D98" s="315" t="s">
        <v>399</v>
      </c>
    </row>
    <row r="99" spans="2:4" x14ac:dyDescent="0.25">
      <c r="B99" s="317" t="s">
        <v>400</v>
      </c>
      <c r="C99" s="314" t="s">
        <v>626</v>
      </c>
      <c r="D99" s="315" t="s">
        <v>399</v>
      </c>
    </row>
    <row r="100" spans="2:4" x14ac:dyDescent="0.25">
      <c r="B100" s="317" t="s">
        <v>401</v>
      </c>
      <c r="C100" s="314" t="s">
        <v>626</v>
      </c>
      <c r="D100" s="315" t="s">
        <v>399</v>
      </c>
    </row>
    <row r="101" spans="2:4" x14ac:dyDescent="0.25">
      <c r="B101" s="317" t="s">
        <v>402</v>
      </c>
      <c r="C101" s="314" t="s">
        <v>626</v>
      </c>
      <c r="D101" s="315" t="s">
        <v>403</v>
      </c>
    </row>
    <row r="102" spans="2:4" x14ac:dyDescent="0.25">
      <c r="B102" s="317" t="s">
        <v>404</v>
      </c>
      <c r="C102" s="314" t="s">
        <v>626</v>
      </c>
      <c r="D102" s="315" t="s">
        <v>403</v>
      </c>
    </row>
    <row r="103" spans="2:4" x14ac:dyDescent="0.25">
      <c r="B103" s="317" t="s">
        <v>405</v>
      </c>
      <c r="C103" s="314" t="s">
        <v>626</v>
      </c>
      <c r="D103" s="315" t="s">
        <v>403</v>
      </c>
    </row>
    <row r="104" spans="2:4" x14ac:dyDescent="0.25">
      <c r="B104" s="317" t="s">
        <v>406</v>
      </c>
      <c r="C104" s="314" t="s">
        <v>627</v>
      </c>
      <c r="D104" s="315" t="s">
        <v>168</v>
      </c>
    </row>
    <row r="105" spans="2:4" x14ac:dyDescent="0.25">
      <c r="B105" s="317" t="s">
        <v>410</v>
      </c>
      <c r="C105" s="314" t="s">
        <v>627</v>
      </c>
      <c r="D105" s="315" t="s">
        <v>168</v>
      </c>
    </row>
    <row r="106" spans="2:4" x14ac:dyDescent="0.25">
      <c r="B106" s="317" t="s">
        <v>414</v>
      </c>
      <c r="C106" s="314" t="s">
        <v>627</v>
      </c>
      <c r="D106" s="315" t="s">
        <v>170</v>
      </c>
    </row>
    <row r="107" spans="2:4" x14ac:dyDescent="0.25">
      <c r="B107" s="317" t="s">
        <v>418</v>
      </c>
      <c r="C107" s="314" t="s">
        <v>627</v>
      </c>
      <c r="D107" s="315" t="s">
        <v>170</v>
      </c>
    </row>
    <row r="108" spans="2:4" x14ac:dyDescent="0.25">
      <c r="B108" s="317" t="s">
        <v>422</v>
      </c>
      <c r="C108" s="314" t="s">
        <v>627</v>
      </c>
      <c r="D108" s="315" t="s">
        <v>172</v>
      </c>
    </row>
    <row r="109" spans="2:4" x14ac:dyDescent="0.25">
      <c r="B109" s="317" t="s">
        <v>426</v>
      </c>
      <c r="C109" s="314" t="s">
        <v>627</v>
      </c>
      <c r="D109" s="315" t="s">
        <v>172</v>
      </c>
    </row>
    <row r="110" spans="2:4" x14ac:dyDescent="0.25">
      <c r="B110" s="317" t="s">
        <v>430</v>
      </c>
      <c r="C110" s="314" t="s">
        <v>627</v>
      </c>
      <c r="D110" s="315" t="s">
        <v>174</v>
      </c>
    </row>
    <row r="111" spans="2:4" x14ac:dyDescent="0.25">
      <c r="B111" s="317" t="s">
        <v>434</v>
      </c>
      <c r="C111" s="314" t="s">
        <v>627</v>
      </c>
      <c r="D111" s="315" t="s">
        <v>174</v>
      </c>
    </row>
    <row r="112" spans="2:4" x14ac:dyDescent="0.25">
      <c r="B112" s="317" t="s">
        <v>438</v>
      </c>
      <c r="C112" s="314" t="s">
        <v>627</v>
      </c>
      <c r="D112" s="315" t="s">
        <v>176</v>
      </c>
    </row>
    <row r="113" spans="2:4" x14ac:dyDescent="0.25">
      <c r="B113" s="317" t="s">
        <v>442</v>
      </c>
      <c r="C113" s="314" t="s">
        <v>627</v>
      </c>
      <c r="D113" s="315" t="s">
        <v>176</v>
      </c>
    </row>
    <row r="114" spans="2:4" x14ac:dyDescent="0.25">
      <c r="B114" s="317" t="s">
        <v>446</v>
      </c>
      <c r="C114" s="314" t="s">
        <v>627</v>
      </c>
      <c r="D114" s="315" t="s">
        <v>178</v>
      </c>
    </row>
    <row r="115" spans="2:4" x14ac:dyDescent="0.25">
      <c r="B115" s="317" t="s">
        <v>450</v>
      </c>
      <c r="C115" s="314" t="s">
        <v>627</v>
      </c>
      <c r="D115" s="315" t="s">
        <v>178</v>
      </c>
    </row>
    <row r="116" spans="2:4" x14ac:dyDescent="0.25">
      <c r="B116" s="317" t="s">
        <v>406</v>
      </c>
      <c r="C116" s="314" t="s">
        <v>627</v>
      </c>
      <c r="D116" s="315" t="s">
        <v>168</v>
      </c>
    </row>
    <row r="117" spans="2:4" x14ac:dyDescent="0.25">
      <c r="B117" s="317" t="s">
        <v>410</v>
      </c>
      <c r="C117" s="314" t="s">
        <v>627</v>
      </c>
      <c r="D117" s="315" t="s">
        <v>168</v>
      </c>
    </row>
    <row r="118" spans="2:4" x14ac:dyDescent="0.25">
      <c r="B118" s="317" t="s">
        <v>414</v>
      </c>
      <c r="C118" s="314" t="s">
        <v>627</v>
      </c>
      <c r="D118" s="315" t="s">
        <v>170</v>
      </c>
    </row>
    <row r="119" spans="2:4" x14ac:dyDescent="0.25">
      <c r="B119" s="317" t="s">
        <v>418</v>
      </c>
      <c r="C119" s="314" t="s">
        <v>627</v>
      </c>
      <c r="D119" s="315" t="s">
        <v>170</v>
      </c>
    </row>
    <row r="120" spans="2:4" x14ac:dyDescent="0.25">
      <c r="B120" s="317" t="s">
        <v>422</v>
      </c>
      <c r="C120" s="314" t="s">
        <v>627</v>
      </c>
      <c r="D120" s="315" t="s">
        <v>172</v>
      </c>
    </row>
    <row r="121" spans="2:4" x14ac:dyDescent="0.25">
      <c r="B121" s="317" t="s">
        <v>426</v>
      </c>
      <c r="C121" s="314" t="s">
        <v>627</v>
      </c>
      <c r="D121" s="315" t="s">
        <v>172</v>
      </c>
    </row>
    <row r="122" spans="2:4" x14ac:dyDescent="0.25">
      <c r="B122" s="317" t="s">
        <v>430</v>
      </c>
      <c r="C122" s="314" t="s">
        <v>627</v>
      </c>
      <c r="D122" s="315" t="s">
        <v>174</v>
      </c>
    </row>
    <row r="123" spans="2:4" x14ac:dyDescent="0.25">
      <c r="B123" s="317" t="s">
        <v>434</v>
      </c>
      <c r="C123" s="314" t="s">
        <v>627</v>
      </c>
      <c r="D123" s="315" t="s">
        <v>174</v>
      </c>
    </row>
    <row r="124" spans="2:4" x14ac:dyDescent="0.25">
      <c r="B124" s="317" t="s">
        <v>438</v>
      </c>
      <c r="C124" s="314" t="s">
        <v>627</v>
      </c>
      <c r="D124" s="315" t="s">
        <v>176</v>
      </c>
    </row>
    <row r="125" spans="2:4" x14ac:dyDescent="0.25">
      <c r="B125" s="317" t="s">
        <v>442</v>
      </c>
      <c r="C125" s="314" t="s">
        <v>627</v>
      </c>
      <c r="D125" s="315" t="s">
        <v>176</v>
      </c>
    </row>
    <row r="126" spans="2:4" x14ac:dyDescent="0.25">
      <c r="B126" s="317" t="s">
        <v>446</v>
      </c>
      <c r="C126" s="314" t="s">
        <v>627</v>
      </c>
      <c r="D126" s="315" t="s">
        <v>178</v>
      </c>
    </row>
    <row r="127" spans="2:4" x14ac:dyDescent="0.25">
      <c r="B127" s="317" t="s">
        <v>450</v>
      </c>
      <c r="C127" s="314" t="s">
        <v>627</v>
      </c>
      <c r="D127" s="315" t="s">
        <v>178</v>
      </c>
    </row>
    <row r="128" spans="2:4" x14ac:dyDescent="0.25">
      <c r="B128" s="317" t="s">
        <v>407</v>
      </c>
      <c r="C128" s="314" t="s">
        <v>627</v>
      </c>
      <c r="D128" s="315" t="s">
        <v>168</v>
      </c>
    </row>
    <row r="129" spans="2:4" x14ac:dyDescent="0.25">
      <c r="B129" s="317" t="s">
        <v>411</v>
      </c>
      <c r="C129" s="314" t="s">
        <v>627</v>
      </c>
      <c r="D129" s="315" t="s">
        <v>168</v>
      </c>
    </row>
    <row r="130" spans="2:4" x14ac:dyDescent="0.25">
      <c r="B130" s="317" t="s">
        <v>415</v>
      </c>
      <c r="C130" s="314" t="s">
        <v>627</v>
      </c>
      <c r="D130" s="315" t="s">
        <v>170</v>
      </c>
    </row>
    <row r="131" spans="2:4" x14ac:dyDescent="0.25">
      <c r="B131" s="317" t="s">
        <v>419</v>
      </c>
      <c r="C131" s="314" t="s">
        <v>627</v>
      </c>
      <c r="D131" s="315" t="s">
        <v>170</v>
      </c>
    </row>
    <row r="132" spans="2:4" x14ac:dyDescent="0.25">
      <c r="B132" s="317" t="s">
        <v>423</v>
      </c>
      <c r="C132" s="314" t="s">
        <v>627</v>
      </c>
      <c r="D132" s="315" t="s">
        <v>172</v>
      </c>
    </row>
    <row r="133" spans="2:4" x14ac:dyDescent="0.25">
      <c r="B133" s="317" t="s">
        <v>427</v>
      </c>
      <c r="C133" s="314" t="s">
        <v>627</v>
      </c>
      <c r="D133" s="315" t="s">
        <v>172</v>
      </c>
    </row>
    <row r="134" spans="2:4" x14ac:dyDescent="0.25">
      <c r="B134" s="317" t="s">
        <v>431</v>
      </c>
      <c r="C134" s="314" t="s">
        <v>627</v>
      </c>
      <c r="D134" s="315" t="s">
        <v>174</v>
      </c>
    </row>
    <row r="135" spans="2:4" x14ac:dyDescent="0.25">
      <c r="B135" s="317" t="s">
        <v>435</v>
      </c>
      <c r="C135" s="314" t="s">
        <v>627</v>
      </c>
      <c r="D135" s="315" t="s">
        <v>174</v>
      </c>
    </row>
    <row r="136" spans="2:4" x14ac:dyDescent="0.25">
      <c r="B136" s="317" t="s">
        <v>439</v>
      </c>
      <c r="C136" s="314" t="s">
        <v>627</v>
      </c>
      <c r="D136" s="315" t="s">
        <v>176</v>
      </c>
    </row>
    <row r="137" spans="2:4" x14ac:dyDescent="0.25">
      <c r="B137" s="317" t="s">
        <v>443</v>
      </c>
      <c r="C137" s="314" t="s">
        <v>627</v>
      </c>
      <c r="D137" s="315" t="s">
        <v>176</v>
      </c>
    </row>
    <row r="138" spans="2:4" x14ac:dyDescent="0.25">
      <c r="B138" s="317" t="s">
        <v>447</v>
      </c>
      <c r="C138" s="314" t="s">
        <v>627</v>
      </c>
      <c r="D138" s="315" t="s">
        <v>178</v>
      </c>
    </row>
    <row r="139" spans="2:4" x14ac:dyDescent="0.25">
      <c r="B139" s="317" t="s">
        <v>451</v>
      </c>
      <c r="C139" s="314" t="s">
        <v>627</v>
      </c>
      <c r="D139" s="315" t="s">
        <v>178</v>
      </c>
    </row>
    <row r="140" spans="2:4" x14ac:dyDescent="0.25">
      <c r="B140" s="317" t="s">
        <v>408</v>
      </c>
      <c r="C140" s="314" t="s">
        <v>627</v>
      </c>
      <c r="D140" s="315" t="s">
        <v>168</v>
      </c>
    </row>
    <row r="141" spans="2:4" x14ac:dyDescent="0.25">
      <c r="B141" s="317" t="s">
        <v>412</v>
      </c>
      <c r="C141" s="314" t="s">
        <v>627</v>
      </c>
      <c r="D141" s="315" t="s">
        <v>168</v>
      </c>
    </row>
    <row r="142" spans="2:4" x14ac:dyDescent="0.25">
      <c r="B142" s="317" t="s">
        <v>416</v>
      </c>
      <c r="C142" s="314" t="s">
        <v>627</v>
      </c>
      <c r="D142" s="315" t="s">
        <v>170</v>
      </c>
    </row>
    <row r="143" spans="2:4" x14ac:dyDescent="0.25">
      <c r="B143" s="317" t="s">
        <v>420</v>
      </c>
      <c r="C143" s="314" t="s">
        <v>627</v>
      </c>
      <c r="D143" s="315" t="s">
        <v>170</v>
      </c>
    </row>
    <row r="144" spans="2:4" x14ac:dyDescent="0.25">
      <c r="B144" s="317" t="s">
        <v>424</v>
      </c>
      <c r="C144" s="314" t="s">
        <v>627</v>
      </c>
      <c r="D144" s="315" t="s">
        <v>172</v>
      </c>
    </row>
    <row r="145" spans="2:4" x14ac:dyDescent="0.25">
      <c r="B145" s="317" t="s">
        <v>428</v>
      </c>
      <c r="C145" s="314" t="s">
        <v>627</v>
      </c>
      <c r="D145" s="315" t="s">
        <v>172</v>
      </c>
    </row>
    <row r="146" spans="2:4" x14ac:dyDescent="0.25">
      <c r="B146" s="317" t="s">
        <v>432</v>
      </c>
      <c r="C146" s="314" t="s">
        <v>627</v>
      </c>
      <c r="D146" s="315" t="s">
        <v>174</v>
      </c>
    </row>
    <row r="147" spans="2:4" x14ac:dyDescent="0.25">
      <c r="B147" s="317" t="s">
        <v>436</v>
      </c>
      <c r="C147" s="314" t="s">
        <v>627</v>
      </c>
      <c r="D147" s="315" t="s">
        <v>174</v>
      </c>
    </row>
    <row r="148" spans="2:4" x14ac:dyDescent="0.25">
      <c r="B148" s="317" t="s">
        <v>440</v>
      </c>
      <c r="C148" s="314" t="s">
        <v>627</v>
      </c>
      <c r="D148" s="315" t="s">
        <v>176</v>
      </c>
    </row>
    <row r="149" spans="2:4" x14ac:dyDescent="0.25">
      <c r="B149" s="317" t="s">
        <v>444</v>
      </c>
      <c r="C149" s="314" t="s">
        <v>627</v>
      </c>
      <c r="D149" s="315" t="s">
        <v>176</v>
      </c>
    </row>
    <row r="150" spans="2:4" x14ac:dyDescent="0.25">
      <c r="B150" s="317" t="s">
        <v>448</v>
      </c>
      <c r="C150" s="314" t="s">
        <v>627</v>
      </c>
      <c r="D150" s="315" t="s">
        <v>178</v>
      </c>
    </row>
    <row r="151" spans="2:4" x14ac:dyDescent="0.25">
      <c r="B151" s="317" t="s">
        <v>452</v>
      </c>
      <c r="C151" s="314" t="s">
        <v>627</v>
      </c>
      <c r="D151" s="315" t="s">
        <v>178</v>
      </c>
    </row>
    <row r="152" spans="2:4" x14ac:dyDescent="0.25">
      <c r="B152" s="317" t="s">
        <v>409</v>
      </c>
      <c r="C152" s="314" t="s">
        <v>627</v>
      </c>
      <c r="D152" s="315" t="s">
        <v>168</v>
      </c>
    </row>
    <row r="153" spans="2:4" x14ac:dyDescent="0.25">
      <c r="B153" s="317" t="s">
        <v>413</v>
      </c>
      <c r="C153" s="314" t="s">
        <v>627</v>
      </c>
      <c r="D153" s="315" t="s">
        <v>168</v>
      </c>
    </row>
    <row r="154" spans="2:4" x14ac:dyDescent="0.25">
      <c r="B154" s="317" t="s">
        <v>417</v>
      </c>
      <c r="C154" s="314" t="s">
        <v>627</v>
      </c>
      <c r="D154" s="315" t="s">
        <v>170</v>
      </c>
    </row>
    <row r="155" spans="2:4" x14ac:dyDescent="0.25">
      <c r="B155" s="317" t="s">
        <v>421</v>
      </c>
      <c r="C155" s="314" t="s">
        <v>627</v>
      </c>
      <c r="D155" s="315" t="s">
        <v>170</v>
      </c>
    </row>
    <row r="156" spans="2:4" x14ac:dyDescent="0.25">
      <c r="B156" s="317" t="s">
        <v>425</v>
      </c>
      <c r="C156" s="314" t="s">
        <v>627</v>
      </c>
      <c r="D156" s="315" t="s">
        <v>172</v>
      </c>
    </row>
    <row r="157" spans="2:4" x14ac:dyDescent="0.25">
      <c r="B157" s="317" t="s">
        <v>429</v>
      </c>
      <c r="C157" s="314" t="s">
        <v>627</v>
      </c>
      <c r="D157" s="315" t="s">
        <v>172</v>
      </c>
    </row>
    <row r="158" spans="2:4" x14ac:dyDescent="0.25">
      <c r="B158" s="317" t="s">
        <v>433</v>
      </c>
      <c r="C158" s="314" t="s">
        <v>627</v>
      </c>
      <c r="D158" s="315" t="s">
        <v>174</v>
      </c>
    </row>
    <row r="159" spans="2:4" x14ac:dyDescent="0.25">
      <c r="B159" s="317" t="s">
        <v>437</v>
      </c>
      <c r="C159" s="314" t="s">
        <v>627</v>
      </c>
      <c r="D159" s="315" t="s">
        <v>174</v>
      </c>
    </row>
    <row r="160" spans="2:4" x14ac:dyDescent="0.25">
      <c r="B160" s="317" t="s">
        <v>441</v>
      </c>
      <c r="C160" s="314" t="s">
        <v>627</v>
      </c>
      <c r="D160" s="315" t="s">
        <v>176</v>
      </c>
    </row>
    <row r="161" spans="2:4" x14ac:dyDescent="0.25">
      <c r="B161" s="317" t="s">
        <v>445</v>
      </c>
      <c r="C161" s="314" t="s">
        <v>627</v>
      </c>
      <c r="D161" s="315" t="s">
        <v>176</v>
      </c>
    </row>
    <row r="162" spans="2:4" x14ac:dyDescent="0.25">
      <c r="B162" s="317" t="s">
        <v>449</v>
      </c>
      <c r="C162" s="314" t="s">
        <v>627</v>
      </c>
      <c r="D162" s="315" t="s">
        <v>178</v>
      </c>
    </row>
    <row r="163" spans="2:4" x14ac:dyDescent="0.25">
      <c r="B163" s="317" t="s">
        <v>453</v>
      </c>
      <c r="C163" s="314" t="s">
        <v>627</v>
      </c>
      <c r="D163" s="315" t="s">
        <v>178</v>
      </c>
    </row>
    <row r="164" spans="2:4" x14ac:dyDescent="0.25">
      <c r="B164" s="316" t="s">
        <v>247</v>
      </c>
      <c r="C164" s="314" t="s">
        <v>628</v>
      </c>
      <c r="D164" s="315"/>
    </row>
    <row r="165" spans="2:4" x14ac:dyDescent="0.25">
      <c r="B165" s="316" t="s">
        <v>248</v>
      </c>
      <c r="C165" s="314" t="s">
        <v>628</v>
      </c>
      <c r="D165" s="315"/>
    </row>
    <row r="166" spans="2:4" x14ac:dyDescent="0.25">
      <c r="B166" s="316" t="s">
        <v>249</v>
      </c>
      <c r="C166" s="314" t="s">
        <v>628</v>
      </c>
      <c r="D166" s="315"/>
    </row>
    <row r="167" spans="2:4" x14ac:dyDescent="0.25">
      <c r="B167" s="316" t="s">
        <v>250</v>
      </c>
      <c r="C167" s="314" t="s">
        <v>628</v>
      </c>
      <c r="D167" s="315"/>
    </row>
    <row r="168" spans="2:4" x14ac:dyDescent="0.25">
      <c r="B168" s="316" t="s">
        <v>251</v>
      </c>
      <c r="C168" s="314" t="s">
        <v>628</v>
      </c>
      <c r="D168" s="315"/>
    </row>
    <row r="169" spans="2:4" x14ac:dyDescent="0.25">
      <c r="B169" s="316" t="s">
        <v>252</v>
      </c>
      <c r="C169" s="314" t="s">
        <v>628</v>
      </c>
      <c r="D169" s="315"/>
    </row>
    <row r="170" spans="2:4" x14ac:dyDescent="0.25">
      <c r="B170" s="316" t="s">
        <v>253</v>
      </c>
      <c r="C170" s="314" t="s">
        <v>628</v>
      </c>
      <c r="D170" s="315"/>
    </row>
    <row r="171" spans="2:4" x14ac:dyDescent="0.25">
      <c r="B171" s="316" t="s">
        <v>254</v>
      </c>
      <c r="C171" s="314" t="s">
        <v>628</v>
      </c>
      <c r="D171" s="315"/>
    </row>
    <row r="172" spans="2:4" x14ac:dyDescent="0.25">
      <c r="B172" s="316" t="s">
        <v>254</v>
      </c>
      <c r="C172" s="314" t="s">
        <v>628</v>
      </c>
      <c r="D172" s="315"/>
    </row>
    <row r="173" spans="2:4" x14ac:dyDescent="0.25">
      <c r="B173" s="316" t="s">
        <v>255</v>
      </c>
      <c r="C173" s="314" t="s">
        <v>628</v>
      </c>
      <c r="D173" s="315"/>
    </row>
    <row r="174" spans="2:4" x14ac:dyDescent="0.25">
      <c r="B174" s="316" t="s">
        <v>255</v>
      </c>
      <c r="C174" s="314" t="s">
        <v>628</v>
      </c>
      <c r="D174" s="315"/>
    </row>
    <row r="175" spans="2:4" x14ac:dyDescent="0.25">
      <c r="B175" s="316" t="s">
        <v>256</v>
      </c>
      <c r="C175" s="314" t="s">
        <v>628</v>
      </c>
      <c r="D175" s="315"/>
    </row>
    <row r="176" spans="2:4" x14ac:dyDescent="0.25">
      <c r="B176" s="316" t="s">
        <v>266</v>
      </c>
      <c r="C176" s="314" t="s">
        <v>629</v>
      </c>
      <c r="D176" s="315"/>
    </row>
    <row r="177" spans="2:4" x14ac:dyDescent="0.25">
      <c r="B177" s="316" t="s">
        <v>267</v>
      </c>
      <c r="C177" s="314" t="s">
        <v>629</v>
      </c>
      <c r="D177" s="315"/>
    </row>
    <row r="178" spans="2:4" x14ac:dyDescent="0.25">
      <c r="B178" s="316" t="s">
        <v>268</v>
      </c>
      <c r="C178" s="314" t="s">
        <v>629</v>
      </c>
      <c r="D178" s="315"/>
    </row>
    <row r="179" spans="2:4" x14ac:dyDescent="0.25">
      <c r="B179" s="316" t="s">
        <v>269</v>
      </c>
      <c r="C179" s="314" t="s">
        <v>629</v>
      </c>
      <c r="D179" s="315"/>
    </row>
    <row r="180" spans="2:4" x14ac:dyDescent="0.25">
      <c r="B180" s="316" t="s">
        <v>270</v>
      </c>
      <c r="C180" s="314" t="s">
        <v>629</v>
      </c>
      <c r="D180" s="315"/>
    </row>
    <row r="181" spans="2:4" x14ac:dyDescent="0.25">
      <c r="B181" s="316" t="s">
        <v>271</v>
      </c>
      <c r="C181" s="314" t="s">
        <v>629</v>
      </c>
      <c r="D181" s="315"/>
    </row>
    <row r="182" spans="2:4" x14ac:dyDescent="0.25">
      <c r="B182" s="316" t="s">
        <v>272</v>
      </c>
      <c r="C182" s="314" t="s">
        <v>629</v>
      </c>
      <c r="D182" s="315"/>
    </row>
    <row r="183" spans="2:4" x14ac:dyDescent="0.25">
      <c r="B183" s="316" t="s">
        <v>273</v>
      </c>
      <c r="C183" s="314" t="s">
        <v>629</v>
      </c>
      <c r="D183" s="315"/>
    </row>
    <row r="184" spans="2:4" x14ac:dyDescent="0.25">
      <c r="B184" s="316" t="s">
        <v>273</v>
      </c>
      <c r="C184" s="314" t="s">
        <v>629</v>
      </c>
      <c r="D184" s="315"/>
    </row>
    <row r="185" spans="2:4" x14ac:dyDescent="0.25">
      <c r="B185" s="316" t="s">
        <v>274</v>
      </c>
      <c r="C185" s="314" t="s">
        <v>629</v>
      </c>
      <c r="D185" s="315"/>
    </row>
    <row r="186" spans="2:4" x14ac:dyDescent="0.25">
      <c r="B186" s="316" t="s">
        <v>274</v>
      </c>
      <c r="C186" s="314" t="s">
        <v>629</v>
      </c>
      <c r="D186" s="315"/>
    </row>
    <row r="187" spans="2:4" x14ac:dyDescent="0.25">
      <c r="B187" s="316" t="s">
        <v>275</v>
      </c>
      <c r="C187" s="314" t="s">
        <v>629</v>
      </c>
      <c r="D187" s="315"/>
    </row>
    <row r="188" spans="2:4" x14ac:dyDescent="0.25">
      <c r="B188" s="316" t="s">
        <v>277</v>
      </c>
      <c r="C188" s="314" t="s">
        <v>630</v>
      </c>
      <c r="D188" s="315"/>
    </row>
    <row r="189" spans="2:4" x14ac:dyDescent="0.25">
      <c r="B189" s="316" t="s">
        <v>278</v>
      </c>
      <c r="C189" s="314" t="s">
        <v>630</v>
      </c>
      <c r="D189" s="315"/>
    </row>
    <row r="190" spans="2:4" x14ac:dyDescent="0.25">
      <c r="B190" s="316" t="s">
        <v>279</v>
      </c>
      <c r="C190" s="314" t="s">
        <v>630</v>
      </c>
      <c r="D190" s="315"/>
    </row>
    <row r="191" spans="2:4" x14ac:dyDescent="0.25">
      <c r="B191" s="316" t="s">
        <v>280</v>
      </c>
      <c r="C191" s="314" t="s">
        <v>630</v>
      </c>
      <c r="D191" s="315"/>
    </row>
    <row r="192" spans="2:4" x14ac:dyDescent="0.25">
      <c r="B192" s="316" t="s">
        <v>281</v>
      </c>
      <c r="C192" s="314" t="s">
        <v>630</v>
      </c>
      <c r="D192" s="315"/>
    </row>
    <row r="193" spans="2:4" x14ac:dyDescent="0.25">
      <c r="B193" s="316" t="s">
        <v>282</v>
      </c>
      <c r="C193" s="314" t="s">
        <v>630</v>
      </c>
      <c r="D193" s="315"/>
    </row>
    <row r="194" spans="2:4" x14ac:dyDescent="0.25">
      <c r="B194" s="316" t="s">
        <v>283</v>
      </c>
      <c r="C194" s="314" t="s">
        <v>630</v>
      </c>
      <c r="D194" s="315"/>
    </row>
    <row r="195" spans="2:4" x14ac:dyDescent="0.25">
      <c r="B195" s="316" t="s">
        <v>284</v>
      </c>
      <c r="C195" s="314" t="s">
        <v>630</v>
      </c>
      <c r="D195" s="315"/>
    </row>
    <row r="196" spans="2:4" x14ac:dyDescent="0.25">
      <c r="B196" s="316" t="s">
        <v>284</v>
      </c>
      <c r="C196" s="314" t="s">
        <v>630</v>
      </c>
      <c r="D196" s="315"/>
    </row>
    <row r="197" spans="2:4" x14ac:dyDescent="0.25">
      <c r="B197" s="316" t="s">
        <v>285</v>
      </c>
      <c r="C197" s="314" t="s">
        <v>630</v>
      </c>
      <c r="D197" s="315"/>
    </row>
    <row r="198" spans="2:4" x14ac:dyDescent="0.25">
      <c r="B198" s="316" t="s">
        <v>288</v>
      </c>
      <c r="C198" s="314" t="s">
        <v>631</v>
      </c>
      <c r="D198" s="315"/>
    </row>
    <row r="199" spans="2:4" x14ac:dyDescent="0.25">
      <c r="B199" s="316" t="s">
        <v>291</v>
      </c>
      <c r="C199" s="314" t="s">
        <v>631</v>
      </c>
      <c r="D199" s="315"/>
    </row>
    <row r="200" spans="2:4" x14ac:dyDescent="0.25">
      <c r="B200" s="316" t="s">
        <v>290</v>
      </c>
      <c r="C200" s="314" t="s">
        <v>632</v>
      </c>
      <c r="D200" s="315"/>
    </row>
    <row r="201" spans="2:4" x14ac:dyDescent="0.25">
      <c r="B201" s="316" t="s">
        <v>293</v>
      </c>
      <c r="C201" s="314" t="s">
        <v>632</v>
      </c>
      <c r="D201" s="315"/>
    </row>
    <row r="202" spans="2:4" x14ac:dyDescent="0.25">
      <c r="B202" s="316" t="s">
        <v>289</v>
      </c>
      <c r="C202" s="314" t="s">
        <v>633</v>
      </c>
      <c r="D202" s="315"/>
    </row>
    <row r="203" spans="2:4" x14ac:dyDescent="0.25">
      <c r="B203" s="316" t="s">
        <v>292</v>
      </c>
      <c r="C203" s="314" t="s">
        <v>633</v>
      </c>
      <c r="D203" s="315"/>
    </row>
    <row r="204" spans="2:4" x14ac:dyDescent="0.25">
      <c r="B204" s="313" t="s">
        <v>306</v>
      </c>
      <c r="C204" s="314" t="s">
        <v>634</v>
      </c>
      <c r="D204" s="315"/>
    </row>
    <row r="205" spans="2:4" x14ac:dyDescent="0.25">
      <c r="B205" s="316" t="s">
        <v>310</v>
      </c>
      <c r="C205" s="314" t="s">
        <v>634</v>
      </c>
      <c r="D205" s="315"/>
    </row>
    <row r="206" spans="2:4" x14ac:dyDescent="0.25">
      <c r="B206" s="313" t="s">
        <v>314</v>
      </c>
      <c r="C206" s="314" t="s">
        <v>634</v>
      </c>
      <c r="D206" s="315"/>
    </row>
    <row r="207" spans="2:4" x14ac:dyDescent="0.25">
      <c r="B207" s="316" t="s">
        <v>318</v>
      </c>
      <c r="C207" s="314" t="s">
        <v>634</v>
      </c>
      <c r="D207" s="315"/>
    </row>
    <row r="208" spans="2:4" x14ac:dyDescent="0.25">
      <c r="B208" s="313" t="s">
        <v>322</v>
      </c>
      <c r="C208" s="314" t="s">
        <v>634</v>
      </c>
      <c r="D208" s="315"/>
    </row>
    <row r="209" spans="2:4" x14ac:dyDescent="0.25">
      <c r="B209" s="316" t="s">
        <v>326</v>
      </c>
      <c r="C209" s="314" t="s">
        <v>634</v>
      </c>
      <c r="D209" s="315"/>
    </row>
    <row r="210" spans="2:4" x14ac:dyDescent="0.25">
      <c r="B210" s="313" t="s">
        <v>330</v>
      </c>
      <c r="C210" s="314" t="s">
        <v>634</v>
      </c>
      <c r="D210" s="315"/>
    </row>
    <row r="211" spans="2:4" x14ac:dyDescent="0.25">
      <c r="B211" s="313" t="s">
        <v>307</v>
      </c>
      <c r="C211" s="314" t="s">
        <v>635</v>
      </c>
      <c r="D211" s="315"/>
    </row>
    <row r="212" spans="2:4" x14ac:dyDescent="0.25">
      <c r="B212" s="316" t="s">
        <v>311</v>
      </c>
      <c r="C212" s="314" t="s">
        <v>635</v>
      </c>
      <c r="D212" s="315"/>
    </row>
    <row r="213" spans="2:4" x14ac:dyDescent="0.25">
      <c r="B213" s="313" t="s">
        <v>315</v>
      </c>
      <c r="C213" s="314" t="s">
        <v>635</v>
      </c>
      <c r="D213" s="315"/>
    </row>
    <row r="214" spans="2:4" x14ac:dyDescent="0.25">
      <c r="B214" s="316" t="s">
        <v>319</v>
      </c>
      <c r="C214" s="314" t="s">
        <v>635</v>
      </c>
      <c r="D214" s="315"/>
    </row>
    <row r="215" spans="2:4" x14ac:dyDescent="0.25">
      <c r="B215" s="313" t="s">
        <v>323</v>
      </c>
      <c r="C215" s="314" t="s">
        <v>635</v>
      </c>
      <c r="D215" s="315"/>
    </row>
    <row r="216" spans="2:4" x14ac:dyDescent="0.25">
      <c r="B216" s="316" t="s">
        <v>327</v>
      </c>
      <c r="C216" s="314" t="s">
        <v>635</v>
      </c>
      <c r="D216" s="315"/>
    </row>
    <row r="217" spans="2:4" x14ac:dyDescent="0.25">
      <c r="B217" s="313" t="s">
        <v>331</v>
      </c>
      <c r="C217" s="314" t="s">
        <v>635</v>
      </c>
      <c r="D217" s="315"/>
    </row>
    <row r="218" spans="2:4" x14ac:dyDescent="0.25">
      <c r="B218" s="313" t="s">
        <v>308</v>
      </c>
      <c r="C218" s="314" t="s">
        <v>636</v>
      </c>
      <c r="D218" s="315"/>
    </row>
    <row r="219" spans="2:4" x14ac:dyDescent="0.25">
      <c r="B219" s="316" t="s">
        <v>312</v>
      </c>
      <c r="C219" s="314" t="s">
        <v>636</v>
      </c>
      <c r="D219" s="315"/>
    </row>
    <row r="220" spans="2:4" x14ac:dyDescent="0.25">
      <c r="B220" s="313" t="s">
        <v>316</v>
      </c>
      <c r="C220" s="314" t="s">
        <v>636</v>
      </c>
      <c r="D220" s="315"/>
    </row>
    <row r="221" spans="2:4" x14ac:dyDescent="0.25">
      <c r="B221" s="316" t="s">
        <v>320</v>
      </c>
      <c r="C221" s="314" t="s">
        <v>636</v>
      </c>
      <c r="D221" s="315"/>
    </row>
    <row r="222" spans="2:4" x14ac:dyDescent="0.25">
      <c r="B222" s="313" t="s">
        <v>324</v>
      </c>
      <c r="C222" s="314" t="s">
        <v>636</v>
      </c>
      <c r="D222" s="315"/>
    </row>
    <row r="223" spans="2:4" x14ac:dyDescent="0.25">
      <c r="B223" s="316" t="s">
        <v>328</v>
      </c>
      <c r="C223" s="314" t="s">
        <v>636</v>
      </c>
      <c r="D223" s="315"/>
    </row>
    <row r="224" spans="2:4" x14ac:dyDescent="0.25">
      <c r="B224" s="313" t="s">
        <v>332</v>
      </c>
      <c r="C224" s="314" t="s">
        <v>636</v>
      </c>
      <c r="D224" s="315"/>
    </row>
    <row r="225" spans="2:4" x14ac:dyDescent="0.25">
      <c r="B225" s="313" t="s">
        <v>308</v>
      </c>
      <c r="C225" s="314" t="s">
        <v>636</v>
      </c>
      <c r="D225" s="315"/>
    </row>
    <row r="226" spans="2:4" x14ac:dyDescent="0.25">
      <c r="B226" s="316" t="s">
        <v>312</v>
      </c>
      <c r="C226" s="314" t="s">
        <v>636</v>
      </c>
      <c r="D226" s="315"/>
    </row>
    <row r="227" spans="2:4" x14ac:dyDescent="0.25">
      <c r="B227" s="313" t="s">
        <v>316</v>
      </c>
      <c r="C227" s="314" t="s">
        <v>636</v>
      </c>
      <c r="D227" s="315"/>
    </row>
    <row r="228" spans="2:4" x14ac:dyDescent="0.25">
      <c r="B228" s="316" t="s">
        <v>320</v>
      </c>
      <c r="C228" s="314" t="s">
        <v>636</v>
      </c>
      <c r="D228" s="315"/>
    </row>
    <row r="229" spans="2:4" x14ac:dyDescent="0.25">
      <c r="B229" s="313" t="s">
        <v>324</v>
      </c>
      <c r="C229" s="314" t="s">
        <v>636</v>
      </c>
      <c r="D229" s="315"/>
    </row>
    <row r="230" spans="2:4" x14ac:dyDescent="0.25">
      <c r="B230" s="316" t="s">
        <v>328</v>
      </c>
      <c r="C230" s="314" t="s">
        <v>636</v>
      </c>
      <c r="D230" s="315"/>
    </row>
    <row r="231" spans="2:4" x14ac:dyDescent="0.25">
      <c r="B231" s="313" t="s">
        <v>332</v>
      </c>
      <c r="C231" s="314" t="s">
        <v>636</v>
      </c>
      <c r="D231" s="315"/>
    </row>
    <row r="232" spans="2:4" x14ac:dyDescent="0.25">
      <c r="B232" s="316" t="s">
        <v>294</v>
      </c>
      <c r="C232" s="314" t="s">
        <v>637</v>
      </c>
      <c r="D232" s="315"/>
    </row>
    <row r="233" spans="2:4" x14ac:dyDescent="0.25">
      <c r="B233" s="316" t="s">
        <v>295</v>
      </c>
      <c r="C233" s="314" t="s">
        <v>637</v>
      </c>
      <c r="D233" s="315"/>
    </row>
    <row r="234" spans="2:4" x14ac:dyDescent="0.25">
      <c r="B234" s="316" t="s">
        <v>296</v>
      </c>
      <c r="C234" s="314" t="s">
        <v>637</v>
      </c>
      <c r="D234" s="315"/>
    </row>
    <row r="235" spans="2:4" x14ac:dyDescent="0.25">
      <c r="B235" s="316" t="s">
        <v>297</v>
      </c>
      <c r="C235" s="314" t="s">
        <v>637</v>
      </c>
      <c r="D235" s="315"/>
    </row>
    <row r="236" spans="2:4" x14ac:dyDescent="0.25">
      <c r="B236" s="316" t="s">
        <v>298</v>
      </c>
      <c r="C236" s="314" t="s">
        <v>637</v>
      </c>
      <c r="D236" s="315"/>
    </row>
    <row r="237" spans="2:4" x14ac:dyDescent="0.25">
      <c r="B237" s="316" t="s">
        <v>299</v>
      </c>
      <c r="C237" s="314" t="s">
        <v>637</v>
      </c>
      <c r="D237" s="315"/>
    </row>
    <row r="238" spans="2:4" x14ac:dyDescent="0.25">
      <c r="B238" s="316" t="s">
        <v>300</v>
      </c>
      <c r="C238" s="314" t="s">
        <v>638</v>
      </c>
      <c r="D238" s="315"/>
    </row>
    <row r="239" spans="2:4" x14ac:dyDescent="0.25">
      <c r="B239" s="316" t="s">
        <v>301</v>
      </c>
      <c r="C239" s="314" t="s">
        <v>638</v>
      </c>
      <c r="D239" s="315"/>
    </row>
    <row r="240" spans="2:4" x14ac:dyDescent="0.25">
      <c r="B240" s="316" t="s">
        <v>302</v>
      </c>
      <c r="C240" s="314" t="s">
        <v>638</v>
      </c>
      <c r="D240" s="315"/>
    </row>
    <row r="241" spans="2:4" x14ac:dyDescent="0.25">
      <c r="B241" s="316" t="s">
        <v>303</v>
      </c>
      <c r="C241" s="314"/>
      <c r="D241" s="315"/>
    </row>
    <row r="242" spans="2:4" x14ac:dyDescent="0.25">
      <c r="B242" s="316" t="s">
        <v>304</v>
      </c>
      <c r="C242" s="314" t="s">
        <v>638</v>
      </c>
      <c r="D242" s="315"/>
    </row>
    <row r="243" spans="2:4" x14ac:dyDescent="0.25">
      <c r="B243" s="316" t="s">
        <v>305</v>
      </c>
      <c r="C243" s="314" t="s">
        <v>638</v>
      </c>
      <c r="D243" s="315"/>
    </row>
    <row r="244" spans="2:4" x14ac:dyDescent="0.25">
      <c r="B244" s="316" t="s">
        <v>333</v>
      </c>
      <c r="C244" s="314" t="s">
        <v>630</v>
      </c>
      <c r="D244" s="315"/>
    </row>
    <row r="245" spans="2:4" x14ac:dyDescent="0.25">
      <c r="B245" s="316" t="s">
        <v>340</v>
      </c>
      <c r="C245" s="314" t="s">
        <v>630</v>
      </c>
      <c r="D245" s="315"/>
    </row>
    <row r="246" spans="2:4" x14ac:dyDescent="0.25">
      <c r="B246" s="316" t="s">
        <v>345</v>
      </c>
      <c r="C246" s="314" t="s">
        <v>630</v>
      </c>
      <c r="D246" s="315"/>
    </row>
    <row r="247" spans="2:4" x14ac:dyDescent="0.25">
      <c r="B247" s="316" t="s">
        <v>351</v>
      </c>
      <c r="C247" s="314" t="s">
        <v>630</v>
      </c>
      <c r="D247" s="315"/>
    </row>
    <row r="248" spans="2:4" x14ac:dyDescent="0.25">
      <c r="B248" s="316" t="s">
        <v>357</v>
      </c>
      <c r="C248" s="314" t="s">
        <v>630</v>
      </c>
      <c r="D248" s="315"/>
    </row>
    <row r="249" spans="2:4" x14ac:dyDescent="0.25">
      <c r="B249" s="316" t="s">
        <v>363</v>
      </c>
      <c r="C249" s="314" t="s">
        <v>630</v>
      </c>
      <c r="D249" s="315"/>
    </row>
    <row r="250" spans="2:4" x14ac:dyDescent="0.25">
      <c r="B250" s="316" t="s">
        <v>369</v>
      </c>
      <c r="C250" s="314"/>
      <c r="D250" s="315"/>
    </row>
    <row r="251" spans="2:4" x14ac:dyDescent="0.25">
      <c r="B251" s="316" t="s">
        <v>374</v>
      </c>
      <c r="C251" s="314"/>
      <c r="D251" s="315"/>
    </row>
    <row r="252" spans="2:4" x14ac:dyDescent="0.25">
      <c r="B252" s="316" t="s">
        <v>374</v>
      </c>
      <c r="C252" s="314"/>
      <c r="D252" s="315"/>
    </row>
    <row r="253" spans="2:4" x14ac:dyDescent="0.25">
      <c r="B253" s="316" t="s">
        <v>334</v>
      </c>
      <c r="C253" s="314"/>
      <c r="D253" s="315"/>
    </row>
    <row r="254" spans="2:4" x14ac:dyDescent="0.25">
      <c r="B254" s="316" t="s">
        <v>341</v>
      </c>
      <c r="C254" s="314"/>
      <c r="D254" s="315"/>
    </row>
    <row r="255" spans="2:4" x14ac:dyDescent="0.25">
      <c r="B255" s="316" t="s">
        <v>346</v>
      </c>
      <c r="C255" s="314"/>
      <c r="D255" s="315"/>
    </row>
    <row r="256" spans="2:4" x14ac:dyDescent="0.25">
      <c r="B256" s="316" t="s">
        <v>352</v>
      </c>
      <c r="C256" s="314"/>
      <c r="D256" s="315"/>
    </row>
    <row r="257" spans="2:19" x14ac:dyDescent="0.25">
      <c r="B257" s="316" t="s">
        <v>358</v>
      </c>
      <c r="C257" s="314"/>
      <c r="D257" s="315"/>
    </row>
    <row r="258" spans="2:19" x14ac:dyDescent="0.25">
      <c r="B258" s="316" t="s">
        <v>364</v>
      </c>
      <c r="C258" s="314"/>
      <c r="D258" s="315"/>
    </row>
    <row r="259" spans="2:19" x14ac:dyDescent="0.25">
      <c r="B259" s="316" t="s">
        <v>370</v>
      </c>
      <c r="C259" s="314"/>
      <c r="D259" s="315"/>
    </row>
    <row r="260" spans="2:19" x14ac:dyDescent="0.25">
      <c r="B260" s="316" t="s">
        <v>375</v>
      </c>
      <c r="C260" s="314"/>
      <c r="D260" s="315"/>
    </row>
    <row r="261" spans="2:19" x14ac:dyDescent="0.25">
      <c r="B261" s="316" t="s">
        <v>376</v>
      </c>
      <c r="C261" s="314"/>
      <c r="D261" s="315"/>
    </row>
    <row r="262" spans="2:19" x14ac:dyDescent="0.25">
      <c r="B262" s="316" t="s">
        <v>377</v>
      </c>
      <c r="C262" s="314"/>
      <c r="D262" s="315"/>
    </row>
    <row r="263" spans="2:19" x14ac:dyDescent="0.25">
      <c r="B263" s="316" t="s">
        <v>377</v>
      </c>
      <c r="C263" s="314"/>
      <c r="D263" s="315"/>
    </row>
    <row r="264" spans="2:19" x14ac:dyDescent="0.25">
      <c r="B264" s="316" t="s">
        <v>378</v>
      </c>
      <c r="C264" s="314"/>
      <c r="D264" s="315"/>
    </row>
    <row r="265" spans="2:19" x14ac:dyDescent="0.25">
      <c r="B265" s="311" t="s">
        <v>607</v>
      </c>
      <c r="C265" s="314"/>
      <c r="D265" s="315"/>
      <c r="N265" s="139" t="s">
        <v>2331</v>
      </c>
      <c r="O265" s="133">
        <v>12</v>
      </c>
      <c r="P265" s="134" t="s">
        <v>2314</v>
      </c>
      <c r="Q265" s="135">
        <v>72</v>
      </c>
      <c r="R265" s="133" t="s">
        <v>2313</v>
      </c>
      <c r="S265" s="324">
        <f>Q265*1.2</f>
        <v>86.399999999999991</v>
      </c>
    </row>
    <row r="266" spans="2:19" x14ac:dyDescent="0.25">
      <c r="B266" s="311" t="s">
        <v>610</v>
      </c>
      <c r="C266" s="314"/>
      <c r="D266" s="315"/>
      <c r="N266" s="139" t="s">
        <v>2331</v>
      </c>
      <c r="O266" s="133">
        <v>16</v>
      </c>
      <c r="P266" s="134" t="s">
        <v>2315</v>
      </c>
      <c r="Q266" s="135">
        <v>79.2</v>
      </c>
      <c r="R266" s="133" t="s">
        <v>2313</v>
      </c>
      <c r="S266" s="324">
        <f t="shared" ref="S266:S275" si="4">Q266*1.2</f>
        <v>95.04</v>
      </c>
    </row>
    <row r="267" spans="2:19" x14ac:dyDescent="0.25">
      <c r="B267" s="311" t="s">
        <v>611</v>
      </c>
      <c r="C267" s="314"/>
      <c r="D267" s="315"/>
      <c r="N267" s="139" t="s">
        <v>2331</v>
      </c>
      <c r="O267" s="133">
        <v>20</v>
      </c>
      <c r="P267" s="134" t="s">
        <v>2316</v>
      </c>
      <c r="Q267" s="135">
        <v>64.8</v>
      </c>
      <c r="R267" s="133" t="s">
        <v>2313</v>
      </c>
      <c r="S267" s="324">
        <f t="shared" si="4"/>
        <v>77.759999999999991</v>
      </c>
    </row>
    <row r="268" spans="2:19" x14ac:dyDescent="0.25">
      <c r="B268" s="311" t="s">
        <v>608</v>
      </c>
      <c r="C268" s="314"/>
      <c r="D268" s="315"/>
      <c r="N268" s="139" t="s">
        <v>2331</v>
      </c>
      <c r="O268" s="133">
        <v>25</v>
      </c>
      <c r="P268" s="134" t="s">
        <v>2317</v>
      </c>
      <c r="Q268" s="135">
        <v>108</v>
      </c>
      <c r="R268" s="133" t="s">
        <v>2313</v>
      </c>
      <c r="S268" s="324">
        <f t="shared" si="4"/>
        <v>129.6</v>
      </c>
    </row>
    <row r="269" spans="2:19" x14ac:dyDescent="0.25">
      <c r="B269" s="312" t="s">
        <v>609</v>
      </c>
      <c r="C269" s="319"/>
      <c r="D269" s="320"/>
      <c r="N269" s="139" t="s">
        <v>2331</v>
      </c>
      <c r="O269" s="133">
        <v>32</v>
      </c>
      <c r="P269" s="134" t="s">
        <v>2318</v>
      </c>
      <c r="Q269" s="135">
        <v>158.4</v>
      </c>
      <c r="R269" s="133" t="s">
        <v>2313</v>
      </c>
      <c r="S269" s="324">
        <f t="shared" si="4"/>
        <v>190.08</v>
      </c>
    </row>
    <row r="270" spans="2:19" x14ac:dyDescent="0.25">
      <c r="N270" s="139" t="s">
        <v>2331</v>
      </c>
      <c r="O270" s="133">
        <v>40</v>
      </c>
      <c r="P270" s="134" t="s">
        <v>2319</v>
      </c>
      <c r="Q270" s="135">
        <v>223.2</v>
      </c>
      <c r="R270" s="133" t="s">
        <v>2313</v>
      </c>
      <c r="S270" s="324">
        <f t="shared" si="4"/>
        <v>267.83999999999997</v>
      </c>
    </row>
    <row r="271" spans="2:19" x14ac:dyDescent="0.25">
      <c r="N271" s="139" t="s">
        <v>2331</v>
      </c>
      <c r="O271" s="133">
        <v>50</v>
      </c>
      <c r="P271" s="134" t="s">
        <v>2320</v>
      </c>
      <c r="Q271" s="135">
        <v>302.39999999999998</v>
      </c>
      <c r="R271" s="133" t="s">
        <v>2313</v>
      </c>
      <c r="S271" s="324">
        <f t="shared" si="4"/>
        <v>362.87999999999994</v>
      </c>
    </row>
    <row r="272" spans="2:19" x14ac:dyDescent="0.25">
      <c r="N272" s="139" t="s">
        <v>2331</v>
      </c>
      <c r="O272" s="133">
        <v>63</v>
      </c>
      <c r="P272" s="134" t="s">
        <v>2321</v>
      </c>
      <c r="Q272" s="135">
        <v>453.6</v>
      </c>
      <c r="R272" s="133" t="s">
        <v>2313</v>
      </c>
      <c r="S272" s="324">
        <f t="shared" si="4"/>
        <v>544.32000000000005</v>
      </c>
    </row>
    <row r="273" spans="14:19" x14ac:dyDescent="0.25">
      <c r="N273" s="139" t="s">
        <v>2331</v>
      </c>
      <c r="O273" s="133">
        <v>75</v>
      </c>
      <c r="P273" s="134" t="s">
        <v>2322</v>
      </c>
      <c r="Q273" s="135">
        <v>756</v>
      </c>
      <c r="R273" s="133" t="s">
        <v>2313</v>
      </c>
      <c r="S273" s="324">
        <f t="shared" si="4"/>
        <v>907.19999999999993</v>
      </c>
    </row>
    <row r="274" spans="14:19" x14ac:dyDescent="0.25">
      <c r="N274" s="139" t="s">
        <v>2331</v>
      </c>
      <c r="O274" s="133">
        <v>90</v>
      </c>
      <c r="P274" s="134" t="s">
        <v>2326</v>
      </c>
      <c r="Q274" s="135">
        <v>1080</v>
      </c>
      <c r="R274" s="133" t="s">
        <v>2313</v>
      </c>
      <c r="S274" s="324">
        <f t="shared" si="4"/>
        <v>1296</v>
      </c>
    </row>
    <row r="275" spans="14:19" x14ac:dyDescent="0.25">
      <c r="N275" s="139" t="s">
        <v>2331</v>
      </c>
      <c r="O275" s="133">
        <v>100</v>
      </c>
      <c r="P275" s="134" t="s">
        <v>2327</v>
      </c>
      <c r="Q275" s="135">
        <v>1152</v>
      </c>
      <c r="R275" s="133" t="s">
        <v>2313</v>
      </c>
      <c r="S275" s="324">
        <f t="shared" si="4"/>
        <v>1382.3999999999999</v>
      </c>
    </row>
    <row r="276" spans="14:19" x14ac:dyDescent="0.25">
      <c r="Q276" s="135">
        <v>0</v>
      </c>
      <c r="R276" s="133" t="s">
        <v>2313</v>
      </c>
    </row>
    <row r="277" spans="14:19" x14ac:dyDescent="0.25">
      <c r="Q277" s="135">
        <v>0</v>
      </c>
      <c r="R277" s="133" t="s">
        <v>2313</v>
      </c>
    </row>
    <row r="278" spans="14:19" x14ac:dyDescent="0.25">
      <c r="Q278" s="135">
        <v>0</v>
      </c>
      <c r="R278" s="133" t="s">
        <v>2313</v>
      </c>
    </row>
    <row r="279" spans="14:19" x14ac:dyDescent="0.25">
      <c r="Q279" s="135">
        <v>0</v>
      </c>
      <c r="R279" s="133" t="s">
        <v>2313</v>
      </c>
    </row>
    <row r="280" spans="14:19" x14ac:dyDescent="0.25">
      <c r="Q280" s="135">
        <v>0</v>
      </c>
      <c r="R280" s="133" t="s">
        <v>2313</v>
      </c>
    </row>
    <row r="281" spans="14:19" x14ac:dyDescent="0.25">
      <c r="Q281" s="135">
        <v>0</v>
      </c>
      <c r="R281" s="133" t="s">
        <v>2313</v>
      </c>
    </row>
    <row r="282" spans="14:19" x14ac:dyDescent="0.25">
      <c r="Q282" s="135">
        <v>0</v>
      </c>
      <c r="R282" s="133" t="s">
        <v>2313</v>
      </c>
    </row>
    <row r="283" spans="14:19" x14ac:dyDescent="0.25">
      <c r="Q283" s="135">
        <v>0</v>
      </c>
      <c r="R283" s="133" t="s">
        <v>2313</v>
      </c>
    </row>
    <row r="284" spans="14:19" x14ac:dyDescent="0.25">
      <c r="Q284" s="135">
        <v>23.83</v>
      </c>
      <c r="R284" s="133" t="s">
        <v>2313</v>
      </c>
    </row>
    <row r="285" spans="14:19" x14ac:dyDescent="0.25">
      <c r="Q285" s="135">
        <v>27.22</v>
      </c>
      <c r="R285" s="133" t="s">
        <v>2313</v>
      </c>
    </row>
    <row r="286" spans="14:19" x14ac:dyDescent="0.25">
      <c r="Q286" s="135">
        <v>27.22</v>
      </c>
      <c r="R286" s="133" t="s">
        <v>2313</v>
      </c>
    </row>
    <row r="287" spans="14:19" x14ac:dyDescent="0.25">
      <c r="Q287" s="135">
        <v>30.6</v>
      </c>
      <c r="R287" s="133" t="s">
        <v>2313</v>
      </c>
    </row>
    <row r="288" spans="14:19" x14ac:dyDescent="0.25">
      <c r="Q288" s="135">
        <v>43.2</v>
      </c>
      <c r="R288" s="133" t="s">
        <v>2313</v>
      </c>
    </row>
    <row r="289" spans="17:18" x14ac:dyDescent="0.25">
      <c r="Q289" s="135">
        <v>48.74</v>
      </c>
      <c r="R289" s="133" t="s">
        <v>2313</v>
      </c>
    </row>
    <row r="290" spans="17:18" x14ac:dyDescent="0.25">
      <c r="Q290" s="135">
        <v>55.08</v>
      </c>
      <c r="R290" s="133" t="s">
        <v>2313</v>
      </c>
    </row>
    <row r="291" spans="17:18" x14ac:dyDescent="0.25">
      <c r="Q291" s="135">
        <v>62.21</v>
      </c>
      <c r="R291" s="133" t="s">
        <v>2313</v>
      </c>
    </row>
    <row r="292" spans="17:18" x14ac:dyDescent="0.25">
      <c r="Q292" s="135">
        <v>432</v>
      </c>
      <c r="R292" s="133" t="s">
        <v>2313</v>
      </c>
    </row>
    <row r="293" spans="17:18" x14ac:dyDescent="0.25">
      <c r="Q293" s="135">
        <v>540</v>
      </c>
      <c r="R293" s="133" t="s">
        <v>2313</v>
      </c>
    </row>
    <row r="294" spans="17:18" x14ac:dyDescent="0.25">
      <c r="Q294" s="135">
        <v>612</v>
      </c>
      <c r="R294" s="133" t="s">
        <v>2313</v>
      </c>
    </row>
    <row r="295" spans="17:18" x14ac:dyDescent="0.25">
      <c r="Q295" s="135">
        <v>0</v>
      </c>
      <c r="R295" s="133" t="s">
        <v>2313</v>
      </c>
    </row>
    <row r="296" spans="17:18" x14ac:dyDescent="0.25">
      <c r="Q296" s="135">
        <v>0</v>
      </c>
      <c r="R296" s="133" t="s">
        <v>2313</v>
      </c>
    </row>
    <row r="297" spans="17:18" x14ac:dyDescent="0.25">
      <c r="Q297" s="135">
        <v>0</v>
      </c>
      <c r="R297" s="133" t="s">
        <v>2313</v>
      </c>
    </row>
    <row r="298" spans="17:18" x14ac:dyDescent="0.25">
      <c r="Q298" s="135">
        <v>0</v>
      </c>
      <c r="R298" s="133" t="s">
        <v>2313</v>
      </c>
    </row>
    <row r="299" spans="17:18" x14ac:dyDescent="0.25">
      <c r="Q299" s="135">
        <v>0</v>
      </c>
      <c r="R299" s="133" t="s">
        <v>2313</v>
      </c>
    </row>
    <row r="300" spans="17:18" x14ac:dyDescent="0.25">
      <c r="Q300" s="135">
        <v>0</v>
      </c>
      <c r="R300" s="133" t="s">
        <v>2313</v>
      </c>
    </row>
    <row r="301" spans="17:18" x14ac:dyDescent="0.25">
      <c r="Q301" s="135">
        <v>0</v>
      </c>
      <c r="R301" s="133" t="s">
        <v>2313</v>
      </c>
    </row>
    <row r="302" spans="17:18" x14ac:dyDescent="0.25">
      <c r="Q302" s="135">
        <v>0</v>
      </c>
      <c r="R302" s="133" t="s">
        <v>2313</v>
      </c>
    </row>
    <row r="303" spans="17:18" x14ac:dyDescent="0.25">
      <c r="Q303" s="135">
        <v>75.599999999999994</v>
      </c>
      <c r="R303" s="136"/>
    </row>
    <row r="304" spans="17:18" x14ac:dyDescent="0.25">
      <c r="Q304" s="135">
        <v>9.36</v>
      </c>
      <c r="R304" s="137" t="s">
        <v>2328</v>
      </c>
    </row>
    <row r="305" spans="17:18" x14ac:dyDescent="0.25">
      <c r="Q305" s="135">
        <v>46.8</v>
      </c>
      <c r="R305" s="136" t="s">
        <v>2329</v>
      </c>
    </row>
    <row r="306" spans="17:18" ht="30" x14ac:dyDescent="0.25">
      <c r="Q306" s="135">
        <v>59.76</v>
      </c>
      <c r="R306" s="137" t="s">
        <v>2330</v>
      </c>
    </row>
    <row r="307" spans="17:18" ht="30" x14ac:dyDescent="0.25">
      <c r="Q307" s="135">
        <v>6.48</v>
      </c>
      <c r="R307" s="137" t="s">
        <v>2330</v>
      </c>
    </row>
    <row r="308" spans="17:18" x14ac:dyDescent="0.25">
      <c r="Q308" s="138"/>
      <c r="R308" s="26"/>
    </row>
    <row r="309" spans="17:18" x14ac:dyDescent="0.25">
      <c r="Q309" s="135">
        <v>1152</v>
      </c>
      <c r="R309" s="26"/>
    </row>
    <row r="310" spans="17:18" x14ac:dyDescent="0.25">
      <c r="Q310" s="138">
        <v>14.4</v>
      </c>
      <c r="R310" s="26"/>
    </row>
    <row r="311" spans="17:18" x14ac:dyDescent="0.25">
      <c r="Q311" s="138">
        <v>81.12</v>
      </c>
      <c r="R311" s="26"/>
    </row>
    <row r="312" spans="17:18" x14ac:dyDescent="0.25">
      <c r="Q312" s="138">
        <v>131.04</v>
      </c>
      <c r="R312" s="26"/>
    </row>
    <row r="313" spans="17:18" x14ac:dyDescent="0.25">
      <c r="Q313" s="138">
        <v>108</v>
      </c>
      <c r="R313" s="26"/>
    </row>
    <row r="314" spans="17:18" x14ac:dyDescent="0.25">
      <c r="Q314" s="138">
        <v>147</v>
      </c>
      <c r="R314" s="26"/>
    </row>
    <row r="315" spans="17:18" x14ac:dyDescent="0.25">
      <c r="Q315" s="138">
        <v>252</v>
      </c>
      <c r="R315" s="26"/>
    </row>
    <row r="316" spans="17:18" x14ac:dyDescent="0.25">
      <c r="Q316" s="138">
        <v>432</v>
      </c>
      <c r="R316" s="26"/>
    </row>
    <row r="317" spans="17:18" x14ac:dyDescent="0.25">
      <c r="Q317" s="138">
        <v>462</v>
      </c>
      <c r="R317" s="26"/>
    </row>
    <row r="318" spans="17:18" x14ac:dyDescent="0.25">
      <c r="Q318" s="138">
        <v>792</v>
      </c>
      <c r="R318" s="26"/>
    </row>
    <row r="319" spans="17:18" x14ac:dyDescent="0.25">
      <c r="Q319" s="138">
        <v>1012</v>
      </c>
      <c r="R319" s="26"/>
    </row>
    <row r="320" spans="17:18" x14ac:dyDescent="0.25">
      <c r="Q320" s="138">
        <v>1452</v>
      </c>
      <c r="R320" s="26"/>
    </row>
    <row r="321" spans="17:18" x14ac:dyDescent="0.25">
      <c r="Q321" s="138">
        <v>2112</v>
      </c>
      <c r="R321" s="26"/>
    </row>
  </sheetData>
  <mergeCells count="1">
    <mergeCell ref="I13:P1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G2:U47"/>
  <sheetViews>
    <sheetView zoomScale="85" zoomScaleNormal="85" workbookViewId="0">
      <selection activeCell="J25" sqref="J25"/>
    </sheetView>
  </sheetViews>
  <sheetFormatPr defaultRowHeight="15" x14ac:dyDescent="0.25"/>
  <cols>
    <col min="9" max="9" width="20.28515625" customWidth="1"/>
    <col min="10" max="10" width="17.5703125" customWidth="1"/>
    <col min="11" max="11" width="9.85546875" customWidth="1"/>
    <col min="12" max="12" width="22.7109375" customWidth="1"/>
    <col min="15" max="15" width="23" customWidth="1"/>
    <col min="17" max="17" width="4.5703125" customWidth="1"/>
    <col min="18" max="18" width="29.5703125" customWidth="1"/>
    <col min="19" max="20" width="2.7109375" customWidth="1"/>
    <col min="21" max="21" width="27.7109375" customWidth="1"/>
  </cols>
  <sheetData>
    <row r="2" spans="7:21" ht="15.75" thickBot="1" x14ac:dyDescent="0.3">
      <c r="G2" s="683" t="s">
        <v>2413</v>
      </c>
      <c r="H2" s="683"/>
      <c r="I2" s="683"/>
      <c r="J2" s="683"/>
      <c r="K2" s="683"/>
      <c r="L2" s="683"/>
    </row>
    <row r="3" spans="7:21" ht="15.75" thickBot="1" x14ac:dyDescent="0.3">
      <c r="U3" s="112" t="s">
        <v>2414</v>
      </c>
    </row>
    <row r="4" spans="7:21" ht="15.75" thickBot="1" x14ac:dyDescent="0.3">
      <c r="H4" s="684" t="s">
        <v>2418</v>
      </c>
      <c r="I4" s="692"/>
      <c r="J4" s="692"/>
      <c r="K4" s="692"/>
      <c r="L4" s="685"/>
      <c r="U4" s="112" t="s">
        <v>2416</v>
      </c>
    </row>
    <row r="5" spans="7:21" ht="15.75" thickBot="1" x14ac:dyDescent="0.3">
      <c r="H5" s="684" t="s">
        <v>2406</v>
      </c>
      <c r="I5" s="685"/>
      <c r="J5" s="686" t="s">
        <v>63</v>
      </c>
      <c r="K5" s="687"/>
      <c r="L5" s="163" t="s">
        <v>2411</v>
      </c>
    </row>
    <row r="6" spans="7:21" ht="15.75" thickBot="1" x14ac:dyDescent="0.3">
      <c r="H6" s="688" t="s">
        <v>2407</v>
      </c>
      <c r="I6" s="689"/>
      <c r="J6" s="690">
        <v>165.83</v>
      </c>
      <c r="K6" s="691"/>
      <c r="L6" s="162">
        <v>44407</v>
      </c>
      <c r="U6" s="112" t="s">
        <v>2415</v>
      </c>
    </row>
    <row r="7" spans="7:21" ht="15.75" thickBot="1" x14ac:dyDescent="0.3">
      <c r="H7" s="688" t="s">
        <v>2408</v>
      </c>
      <c r="I7" s="689"/>
      <c r="J7" s="690">
        <v>15.45</v>
      </c>
      <c r="K7" s="691"/>
      <c r="L7" s="162">
        <v>44407</v>
      </c>
      <c r="U7" s="145">
        <f>720/60</f>
        <v>12</v>
      </c>
    </row>
    <row r="8" spans="7:21" ht="15.75" thickBot="1" x14ac:dyDescent="0.3">
      <c r="H8" s="688" t="s">
        <v>2409</v>
      </c>
      <c r="I8" s="689"/>
      <c r="J8" s="690">
        <v>353.08</v>
      </c>
      <c r="K8" s="691"/>
      <c r="L8" s="162">
        <v>44509</v>
      </c>
    </row>
    <row r="9" spans="7:21" ht="15.75" thickBot="1" x14ac:dyDescent="0.3">
      <c r="H9" s="688" t="s">
        <v>2410</v>
      </c>
      <c r="I9" s="689"/>
      <c r="J9" s="690">
        <v>15</v>
      </c>
      <c r="K9" s="691"/>
      <c r="L9" s="162">
        <v>44509</v>
      </c>
      <c r="N9" s="688" t="s">
        <v>2417</v>
      </c>
      <c r="O9" s="689"/>
      <c r="P9" s="112">
        <v>10</v>
      </c>
    </row>
    <row r="10" spans="7:21" ht="15.75" thickBot="1" x14ac:dyDescent="0.3">
      <c r="H10" s="688"/>
      <c r="I10" s="689"/>
      <c r="J10" s="690"/>
      <c r="K10" s="691"/>
      <c r="L10" s="162"/>
      <c r="N10" s="688" t="s">
        <v>2412</v>
      </c>
      <c r="O10" s="689"/>
      <c r="P10" s="112">
        <f>P9/60</f>
        <v>0.16666666666666666</v>
      </c>
    </row>
    <row r="11" spans="7:21" ht="15.75" thickBot="1" x14ac:dyDescent="0.3">
      <c r="H11" s="688" t="s">
        <v>2428</v>
      </c>
      <c r="I11" s="697"/>
      <c r="J11" s="697"/>
      <c r="K11" s="689"/>
      <c r="L11" s="165">
        <f>SUM(J6:K10)</f>
        <v>549.36</v>
      </c>
      <c r="N11" s="688" t="s">
        <v>2311</v>
      </c>
      <c r="O11" s="689"/>
      <c r="P11" s="112">
        <f>P10*720</f>
        <v>120</v>
      </c>
    </row>
    <row r="14" spans="7:21" ht="15.75" thickBot="1" x14ac:dyDescent="0.3"/>
    <row r="15" spans="7:21" ht="15.75" thickBot="1" x14ac:dyDescent="0.3">
      <c r="H15" s="684" t="s">
        <v>2419</v>
      </c>
      <c r="I15" s="692"/>
      <c r="J15" s="692"/>
      <c r="K15" s="692"/>
      <c r="L15" s="685"/>
    </row>
    <row r="16" spans="7:21" ht="15.75" thickBot="1" x14ac:dyDescent="0.3">
      <c r="H16" s="693" t="s">
        <v>2406</v>
      </c>
      <c r="I16" s="694"/>
      <c r="J16" s="695" t="s">
        <v>63</v>
      </c>
      <c r="K16" s="696"/>
      <c r="L16" s="163" t="s">
        <v>2411</v>
      </c>
    </row>
    <row r="17" spans="8:16" ht="15.75" thickBot="1" x14ac:dyDescent="0.3">
      <c r="H17" s="688" t="s">
        <v>2409</v>
      </c>
      <c r="I17" s="689"/>
      <c r="J17" s="690">
        <v>353.08</v>
      </c>
      <c r="K17" s="691"/>
      <c r="L17" s="162">
        <v>44509</v>
      </c>
    </row>
    <row r="18" spans="8:16" ht="15.75" thickBot="1" x14ac:dyDescent="0.3">
      <c r="H18" s="688" t="s">
        <v>2420</v>
      </c>
      <c r="I18" s="689"/>
      <c r="J18" s="690">
        <v>172</v>
      </c>
      <c r="K18" s="691"/>
      <c r="L18" s="162">
        <v>44509</v>
      </c>
    </row>
    <row r="19" spans="8:16" ht="15.75" thickBot="1" x14ac:dyDescent="0.3">
      <c r="H19" s="688" t="s">
        <v>2421</v>
      </c>
      <c r="I19" s="689"/>
      <c r="J19" s="690">
        <v>15.45</v>
      </c>
      <c r="K19" s="691"/>
      <c r="L19" s="162">
        <v>44509</v>
      </c>
    </row>
    <row r="20" spans="8:16" ht="15.75" thickBot="1" x14ac:dyDescent="0.3">
      <c r="H20" s="688" t="s">
        <v>2422</v>
      </c>
      <c r="I20" s="689"/>
      <c r="J20" s="690">
        <v>200</v>
      </c>
      <c r="K20" s="691"/>
      <c r="L20" s="162">
        <v>44509</v>
      </c>
      <c r="N20" s="688" t="s">
        <v>2417</v>
      </c>
      <c r="O20" s="689"/>
      <c r="P20" s="112">
        <v>20</v>
      </c>
    </row>
    <row r="21" spans="8:16" ht="15.75" thickBot="1" x14ac:dyDescent="0.3">
      <c r="H21" s="688" t="s">
        <v>2410</v>
      </c>
      <c r="I21" s="689"/>
      <c r="J21" s="690">
        <v>15</v>
      </c>
      <c r="K21" s="691"/>
      <c r="L21" s="162">
        <v>44509</v>
      </c>
      <c r="N21" s="688" t="s">
        <v>2412</v>
      </c>
      <c r="O21" s="689"/>
      <c r="P21" s="112">
        <f>P20/60</f>
        <v>0.33333333333333331</v>
      </c>
    </row>
    <row r="22" spans="8:16" ht="15.75" thickBot="1" x14ac:dyDescent="0.3">
      <c r="H22" s="688"/>
      <c r="I22" s="689"/>
      <c r="J22" s="690"/>
      <c r="K22" s="691"/>
      <c r="L22" s="162"/>
      <c r="N22" s="688" t="s">
        <v>2311</v>
      </c>
      <c r="O22" s="689"/>
      <c r="P22" s="112">
        <f>P21*720</f>
        <v>240</v>
      </c>
    </row>
    <row r="23" spans="8:16" ht="15.75" thickBot="1" x14ac:dyDescent="0.3">
      <c r="H23" s="688" t="s">
        <v>2428</v>
      </c>
      <c r="I23" s="697"/>
      <c r="J23" s="689"/>
      <c r="L23" s="164">
        <f>SUM(J17:K22)</f>
        <v>755.53</v>
      </c>
    </row>
    <row r="26" spans="8:16" ht="15.75" thickBot="1" x14ac:dyDescent="0.3"/>
    <row r="27" spans="8:16" ht="15.75" thickBot="1" x14ac:dyDescent="0.3">
      <c r="H27" s="684" t="s">
        <v>2423</v>
      </c>
      <c r="I27" s="692"/>
      <c r="J27" s="692"/>
      <c r="K27" s="692"/>
      <c r="L27" s="685"/>
    </row>
    <row r="28" spans="8:16" ht="15.75" thickBot="1" x14ac:dyDescent="0.3">
      <c r="H28" s="684" t="s">
        <v>2406</v>
      </c>
      <c r="I28" s="685"/>
      <c r="J28" s="686" t="s">
        <v>63</v>
      </c>
      <c r="K28" s="687"/>
      <c r="L28" s="163" t="s">
        <v>2411</v>
      </c>
    </row>
    <row r="29" spans="8:16" ht="15.75" thickBot="1" x14ac:dyDescent="0.3">
      <c r="H29" s="688" t="s">
        <v>2424</v>
      </c>
      <c r="I29" s="689"/>
      <c r="J29" s="690">
        <v>205</v>
      </c>
      <c r="K29" s="691"/>
      <c r="L29" s="162">
        <v>44509</v>
      </c>
    </row>
    <row r="30" spans="8:16" ht="15.75" thickBot="1" x14ac:dyDescent="0.3">
      <c r="H30" s="688" t="s">
        <v>2425</v>
      </c>
      <c r="I30" s="689"/>
      <c r="J30" s="690">
        <v>22</v>
      </c>
      <c r="K30" s="691"/>
      <c r="L30" s="162">
        <v>44509</v>
      </c>
    </row>
    <row r="31" spans="8:16" ht="15.75" thickBot="1" x14ac:dyDescent="0.3">
      <c r="H31" s="688" t="s">
        <v>2409</v>
      </c>
      <c r="I31" s="689"/>
      <c r="J31" s="690">
        <v>353.08</v>
      </c>
      <c r="K31" s="691"/>
      <c r="L31" s="162">
        <v>44509</v>
      </c>
    </row>
    <row r="32" spans="8:16" ht="15.75" thickBot="1" x14ac:dyDescent="0.3">
      <c r="H32" s="688" t="s">
        <v>2426</v>
      </c>
      <c r="I32" s="689"/>
      <c r="J32" s="690">
        <v>55</v>
      </c>
      <c r="K32" s="691"/>
      <c r="L32" s="162">
        <v>44509</v>
      </c>
      <c r="N32" s="688" t="s">
        <v>2417</v>
      </c>
      <c r="O32" s="689"/>
      <c r="P32" s="112">
        <v>15</v>
      </c>
    </row>
    <row r="33" spans="8:16" ht="15.75" thickBot="1" x14ac:dyDescent="0.3">
      <c r="H33" s="688" t="s">
        <v>2410</v>
      </c>
      <c r="I33" s="689"/>
      <c r="J33" s="690">
        <v>15</v>
      </c>
      <c r="K33" s="691"/>
      <c r="L33" s="162">
        <v>44509</v>
      </c>
      <c r="N33" s="688" t="s">
        <v>2412</v>
      </c>
      <c r="O33" s="689"/>
      <c r="P33" s="112">
        <f>P32/60</f>
        <v>0.25</v>
      </c>
    </row>
    <row r="34" spans="8:16" ht="15.75" thickBot="1" x14ac:dyDescent="0.3">
      <c r="H34" s="688"/>
      <c r="I34" s="689"/>
      <c r="J34" s="690"/>
      <c r="K34" s="691"/>
      <c r="L34" s="162"/>
      <c r="N34" s="688" t="s">
        <v>2311</v>
      </c>
      <c r="O34" s="689"/>
      <c r="P34" s="112">
        <f>P33*720</f>
        <v>180</v>
      </c>
    </row>
    <row r="35" spans="8:16" ht="15.75" thickBot="1" x14ac:dyDescent="0.3">
      <c r="H35" s="688" t="s">
        <v>2428</v>
      </c>
      <c r="I35" s="697"/>
      <c r="J35" s="689"/>
      <c r="L35" s="164">
        <f>SUM(J29:K34)</f>
        <v>650.07999999999993</v>
      </c>
    </row>
    <row r="38" spans="8:16" ht="15.75" thickBot="1" x14ac:dyDescent="0.3"/>
    <row r="39" spans="8:16" ht="15.75" thickBot="1" x14ac:dyDescent="0.3">
      <c r="H39" s="684" t="s">
        <v>2429</v>
      </c>
      <c r="I39" s="692"/>
      <c r="J39" s="692"/>
      <c r="K39" s="692"/>
      <c r="L39" s="685"/>
    </row>
    <row r="40" spans="8:16" ht="15.75" thickBot="1" x14ac:dyDescent="0.3">
      <c r="H40" s="693" t="s">
        <v>2406</v>
      </c>
      <c r="I40" s="694"/>
      <c r="J40" s="695" t="s">
        <v>63</v>
      </c>
      <c r="K40" s="696"/>
      <c r="L40" s="163" t="s">
        <v>2411</v>
      </c>
    </row>
    <row r="41" spans="8:16" ht="15.75" thickBot="1" x14ac:dyDescent="0.3">
      <c r="H41" s="688" t="s">
        <v>2409</v>
      </c>
      <c r="I41" s="689"/>
      <c r="J41" s="690">
        <v>353.08</v>
      </c>
      <c r="K41" s="691"/>
      <c r="L41" s="162">
        <v>44509</v>
      </c>
    </row>
    <row r="42" spans="8:16" ht="15.75" thickBot="1" x14ac:dyDescent="0.3">
      <c r="H42" s="688" t="s">
        <v>2420</v>
      </c>
      <c r="I42" s="689"/>
      <c r="J42" s="690">
        <v>172</v>
      </c>
      <c r="K42" s="691"/>
      <c r="L42" s="162">
        <v>44509</v>
      </c>
    </row>
    <row r="43" spans="8:16" ht="15.75" thickBot="1" x14ac:dyDescent="0.3">
      <c r="H43" s="688" t="s">
        <v>2430</v>
      </c>
      <c r="I43" s="689"/>
      <c r="J43" s="690">
        <v>60</v>
      </c>
      <c r="K43" s="691"/>
      <c r="L43" s="162">
        <v>44509</v>
      </c>
    </row>
    <row r="44" spans="8:16" ht="15.75" thickBot="1" x14ac:dyDescent="0.3">
      <c r="H44" s="688" t="s">
        <v>2431</v>
      </c>
      <c r="I44" s="689"/>
      <c r="J44" s="690">
        <v>500</v>
      </c>
      <c r="K44" s="691"/>
      <c r="L44" s="162">
        <v>44509</v>
      </c>
      <c r="N44" s="688" t="s">
        <v>2417</v>
      </c>
      <c r="O44" s="689"/>
      <c r="P44" s="112">
        <v>20</v>
      </c>
    </row>
    <row r="45" spans="8:16" ht="15.75" thickBot="1" x14ac:dyDescent="0.3">
      <c r="H45" s="688" t="s">
        <v>2410</v>
      </c>
      <c r="I45" s="689"/>
      <c r="J45" s="690">
        <v>15</v>
      </c>
      <c r="K45" s="691"/>
      <c r="L45" s="162">
        <v>44509</v>
      </c>
      <c r="N45" s="688" t="s">
        <v>2412</v>
      </c>
      <c r="O45" s="689"/>
      <c r="P45" s="112">
        <f>P44/60</f>
        <v>0.33333333333333331</v>
      </c>
    </row>
    <row r="46" spans="8:16" ht="15.75" thickBot="1" x14ac:dyDescent="0.3">
      <c r="H46" s="688"/>
      <c r="I46" s="689"/>
      <c r="J46" s="690"/>
      <c r="K46" s="691"/>
      <c r="L46" s="162"/>
      <c r="N46" s="688" t="s">
        <v>2311</v>
      </c>
      <c r="O46" s="689"/>
      <c r="P46" s="112">
        <f>P45*720</f>
        <v>240</v>
      </c>
    </row>
    <row r="47" spans="8:16" ht="15.75" thickBot="1" x14ac:dyDescent="0.3">
      <c r="H47" s="688" t="s">
        <v>2428</v>
      </c>
      <c r="I47" s="697"/>
      <c r="J47" s="689"/>
      <c r="L47" s="164">
        <f>SUM(J41:K46)</f>
        <v>1100.08</v>
      </c>
    </row>
  </sheetData>
  <mergeCells count="75">
    <mergeCell ref="H46:I46"/>
    <mergeCell ref="J46:K46"/>
    <mergeCell ref="N46:O46"/>
    <mergeCell ref="H47:J47"/>
    <mergeCell ref="H43:I43"/>
    <mergeCell ref="J43:K43"/>
    <mergeCell ref="H44:I44"/>
    <mergeCell ref="J44:K44"/>
    <mergeCell ref="N44:O44"/>
    <mergeCell ref="H45:I45"/>
    <mergeCell ref="J45:K45"/>
    <mergeCell ref="N45:O45"/>
    <mergeCell ref="N34:O34"/>
    <mergeCell ref="H32:I32"/>
    <mergeCell ref="J32:K32"/>
    <mergeCell ref="N32:O32"/>
    <mergeCell ref="H34:I34"/>
    <mergeCell ref="J34:K34"/>
    <mergeCell ref="N33:O33"/>
    <mergeCell ref="H19:I19"/>
    <mergeCell ref="J19:K19"/>
    <mergeCell ref="H42:I42"/>
    <mergeCell ref="J42:K42"/>
    <mergeCell ref="H35:J35"/>
    <mergeCell ref="H39:L39"/>
    <mergeCell ref="H40:I40"/>
    <mergeCell ref="J40:K40"/>
    <mergeCell ref="H41:I41"/>
    <mergeCell ref="J41:K41"/>
    <mergeCell ref="H31:I31"/>
    <mergeCell ref="J31:K31"/>
    <mergeCell ref="H33:I33"/>
    <mergeCell ref="J33:K33"/>
    <mergeCell ref="H27:L27"/>
    <mergeCell ref="H28:I28"/>
    <mergeCell ref="J28:K28"/>
    <mergeCell ref="H29:I29"/>
    <mergeCell ref="J29:K29"/>
    <mergeCell ref="H30:I30"/>
    <mergeCell ref="J30:K30"/>
    <mergeCell ref="N20:O20"/>
    <mergeCell ref="H22:I22"/>
    <mergeCell ref="J22:K22"/>
    <mergeCell ref="N21:O21"/>
    <mergeCell ref="H23:J23"/>
    <mergeCell ref="N22:O22"/>
    <mergeCell ref="H20:I20"/>
    <mergeCell ref="J20:K20"/>
    <mergeCell ref="H21:I21"/>
    <mergeCell ref="J21:K21"/>
    <mergeCell ref="N9:O9"/>
    <mergeCell ref="H15:L15"/>
    <mergeCell ref="H16:I16"/>
    <mergeCell ref="J16:K16"/>
    <mergeCell ref="H18:I18"/>
    <mergeCell ref="J18:K18"/>
    <mergeCell ref="H17:I17"/>
    <mergeCell ref="J17:K17"/>
    <mergeCell ref="N10:O10"/>
    <mergeCell ref="H10:I10"/>
    <mergeCell ref="J10:K10"/>
    <mergeCell ref="N11:O11"/>
    <mergeCell ref="H11:K11"/>
    <mergeCell ref="H7:I7"/>
    <mergeCell ref="J7:K7"/>
    <mergeCell ref="H8:I8"/>
    <mergeCell ref="J8:K8"/>
    <mergeCell ref="H9:I9"/>
    <mergeCell ref="J9:K9"/>
    <mergeCell ref="G2:L2"/>
    <mergeCell ref="H5:I5"/>
    <mergeCell ref="J5:K5"/>
    <mergeCell ref="H6:I6"/>
    <mergeCell ref="J6:K6"/>
    <mergeCell ref="H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13</vt:i4>
      </vt:variant>
    </vt:vector>
  </HeadingPairs>
  <TitlesOfParts>
    <vt:vector size="23" baseType="lpstr">
      <vt:lpstr>Рабочий стол</vt:lpstr>
      <vt:lpstr>Спецификация</vt:lpstr>
      <vt:lpstr>Цены</vt:lpstr>
      <vt:lpstr>Клеммы</vt:lpstr>
      <vt:lpstr>Вводы</vt:lpstr>
      <vt:lpstr>Типы изделий</vt:lpstr>
      <vt:lpstr>Элементы управления</vt:lpstr>
      <vt:lpstr>Таблы</vt:lpstr>
      <vt:lpstr>Справочные материалы</vt:lpstr>
      <vt:lpstr>предоставленные цены</vt:lpstr>
      <vt:lpstr>ВЗНМР</vt:lpstr>
      <vt:lpstr>ВЗНТ</vt:lpstr>
      <vt:lpstr>КП</vt:lpstr>
      <vt:lpstr>КСГ</vt:lpstr>
      <vt:lpstr>Лампа</vt:lpstr>
      <vt:lpstr>'Рабочий стол'!Область_печати</vt:lpstr>
      <vt:lpstr>Окно</vt:lpstr>
      <vt:lpstr>ПАВ</vt:lpstr>
      <vt:lpstr>Переключатель__АВ</vt:lpstr>
      <vt:lpstr>ПКП</vt:lpstr>
      <vt:lpstr>ЩДК_О</vt:lpstr>
      <vt:lpstr>ЩДН_О</vt:lpstr>
      <vt:lpstr>ЭУЕ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Зубков Георгий Сергеевич</cp:lastModifiedBy>
  <cp:lastPrinted>2022-05-31T08:13:39Z</cp:lastPrinted>
  <dcterms:created xsi:type="dcterms:W3CDTF">2021-05-21T12:53:31Z</dcterms:created>
  <dcterms:modified xsi:type="dcterms:W3CDTF">2023-06-29T12:32:55Z</dcterms:modified>
</cp:coreProperties>
</file>