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rmocoupleLogger" sheetId="1" r:id="rId1"/>
  </sheets>
  <definedNames>
    <definedName name="BoardQty">'ThermocoupleLogger'!$H$1</definedName>
    <definedName name="digikey_part_data">'ThermocoupleLogger'!$I$5:$M$39</definedName>
    <definedName name="farnell_part_data">'ThermocoupleLogger'!$N$5:$R$39</definedName>
    <definedName name="global_part_data">'ThermocoupleLogger'!$A$5:$H$39</definedName>
    <definedName name="mouser_part_data">'ThermocoupleLogger'!$S$5:$W$39</definedName>
    <definedName name="newark_part_data">'ThermocoupleLogger'!$X$5:$AB$39</definedName>
    <definedName name="rs_part_data">'ThermocoupleLogger'!$AC$5:$AG$39</definedName>
    <definedName name="TotalCost">'ThermocoupleLogger'!$H$3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£0.15      £0.15
    10   £0.14      £1.41
   100   £0.09      £8.68
   500   £0.07     £35.91
  1000   £0.06     £62.84
  5000   £0.05    £269.35
 10000   £0.05    £523.70</t>
        </r>
      </text>
    </comment>
    <comment ref="Z7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£0.25      £0.25
    10   £0.22      £2.19
    25   £0.19      £4.80
    50   £0.17      £8.55
   100   £0.17     £16.60
   250   £0.15     £38.00
   500   £0.14     £71.00
  1000   £0.12    £125.00</t>
        </r>
      </text>
    </comment>
    <comment ref="I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£0.50      £0.50
    10   £0.35      £3.52
   100   £0.23     £23.20
   500   £0.17     £85.91
  1000   £0.13    £126.99
  2000   £0.12    £239.04
  5000   £0.11    £560.25
 10000   £0.10  £1,045.80
 25000   £0.10  £2,539.75</t>
        </r>
      </text>
    </comment>
    <comment ref="U9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£0.52      £0.52
    10   £0.37      £3.70
    50   £0.37     £18.50
   100   £0.24     £24.30
  1000   £0.13    £126.00
 10000   £0.10  £1,040.00</t>
        </r>
      </text>
    </comment>
    <comment ref="Z9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£0.66      £0.66
    10   £0.47      £4.68
    25   £0.41     £10.35
    50   £0.36     £18.00
   100   £0.31     £30.60
   250   £0.27     £67.00
   500   £0.23    £114.00
  1000   £0.12    £116.00
  2000   £0.11    £226.00
  4000   £0.11    £440.00
  5000   £0.11    £550.00
  6000   £0.11    £648.00
 10000   £0.10    £960.00
 20000   £0.08  £1,700.00
 30000   £0.08  £2,370.00
 50000   £0.07  £3,600.00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Z15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£0.08      £0.08
     5   £0.08      £0.40
    10   £0.08      £0.81
   100   £0.08      £8.10
   500   £0.08     £40.50
  1000   £0.08     £81.00
  2500   £0.08    £202.50
 10000   £0.08    £810.00
 25000   £0.08  £2,025.00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£0.18      £0.18
    10   £0.16      £1.62
   100   £0.09      £8.84
   500   £0.05     £27.19
  1000   £0.04     £37.08
  3000   £0.03     £91.80
  6000   £0.03    £165.60
 15000   £0.02    £360.00
 30000   £0.02    £648.00
 75000   £0.02  £1,440.00
150000   £0.02  £2,520.00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6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£0.17      £0.17
    10   £0.16      £1.63
    50   £0.16      £8.15
   100   £0.06      £5.80
  1000   £0.04     £38.00
 10000   £0.03    £260.00</t>
        </r>
      </text>
    </comment>
    <comment ref="Z16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£0.42      £0.42
    10   £0.17      £1.66
    25   £0.13      £3.28
    50   £0.10      £4.80
   100   £0.06      £6.20
   250   £0.06     £14.00
   500   £0.05     £24.50
  1000   £0.04     £43.00
  3000   £0.02     £48.00
  6000   £0.02     £96.00
 12000   £0.02    £180.00
 18000   £0.01    £252.00
 30000   £0.01    £420.00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£2.07      £2.07
    25   £1.90     £47.38
   100   £1.72    £172.01</t>
        </r>
      </text>
    </comment>
    <comment ref="U17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£2.07      £2.07
    10   £2.04     £20.40
    50   £1.89     £94.50
   100   £1.72    £172.00
  1000   £1.72  £1,720.00
 10000   £1.72 £17,200.00</t>
        </r>
      </text>
    </comment>
    <comment ref="Z17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£2.07      £2.07
    25   £1.89     £47.25
   100   £1.72    £172.00
   250   £1.72    £430.00</t>
        </r>
      </text>
    </comment>
    <comment ref="Z18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£1.50      £1.50
    50   £0.70     £34.80
   100   £0.64     £63.70
   250   £0.58    £144.00
   500   £0.54    £267.50
  1000   £0.50    £498.00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£0.19      £0.19
    10   £0.18      £1.81
   100   £0.11     £11.15
   500   £0.09     £46.14
  1000   £0.08     £80.75
  5000   £0.07    £346.05
 10000   £0.07    £672.90</t>
        </r>
      </text>
    </comment>
    <comment ref="Z19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£0.35      £0.35
    10   £0.30      £3.00
    25   £0.26      £6.58
    50   £0.23     £11.70
   100   £0.23     £22.80
   250   £0.21     £52.00
   500   £0.19     £97.00
  1000   £0.17    £172.00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£0.25      £0.25
    10   £0.24      £2.37
   100   £0.16     £16.44
   500   £0.14     £69.57
  1000   £0.11    £113.83
  5000   £0.10    £505.95
 10000   £0.09    £917.00</t>
        </r>
      </text>
    </comment>
    <comment ref="Z20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£0.24      £0.24
    10   £0.23      £2.32
   100   £0.20     £19.70
   500   £0.18     £87.50
  1000   £0.17    £171.00
  5000   £0.14    £695.00
 10000   £0.13  £1,330.00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1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£0.12      £0.12
    10   £0.10      £1.01
    50   £0.10      £5.05
   100   £0.05      £4.60
  1000   £0.03     £33.00
 10000   £0.02    £240.00</t>
        </r>
      </text>
    </comment>
    <comment ref="X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£0.74      £0.74
    10   £0.70      £6.97
   100   £0.53     £53.45
   500   £0.46    £232.40
  1000   £0.38    £383.46
  5000   £0.34  £1,684.90
 10000   £0.31  £3,137.40</t>
        </r>
      </text>
    </comment>
    <comment ref="U23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£0.75      £0.75
    10   £0.56      £5.58
    50   £0.56     £27.90
   100   £0.54     £53.50
  1000   £0.38    £384.00
 10000   £0.31  £3,140.00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£0.15      £0.15
    10   £0.13      £1.34
   100   £0.07      £7.29
   500   £0.04     £22.43
  1000   £0.03     £30.59
  3000   £0.03     £75.75
  6000   £0.02    £136.62
 15000   £0.02    £297.00
 30000   £0.02    £534.60
 75000   £0.02  £1,188.00
150000   £0.01  £1,975.50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4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£0.13      £0.13
    10   £0.12      £1.16
    50   £0.12      £5.80
   100   £0.04      £4.10
  1000   £0.03     £28.00
 10000   £0.02    £180.00</t>
        </r>
      </text>
    </comment>
    <comment ref="Z24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£0.08      £0.08
     5   £0.11      £0.57
    25   £0.07      £1.72
    50   £0.05      £2.70
   100   £0.05      £5.00
   250   £0.05     £11.50
   500   £0.04     £21.50
  1000   £0.04     £40.00
  3000   £0.04    £117.00
  6000   £0.04    £216.00
 12000   £0.04    £420.00
 18000   £0.03    £612.00
 30000   £0.03    £990.00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£0.15      £0.15
    10   £0.14      £1.41
   100   £0.09      £8.68
   500   £0.07     £35.91
  1000   £0.06     £62.84
  5000   £0.05    £269.35
 10000   £0.05    £523.70</t>
        </r>
      </text>
    </comment>
    <comment ref="Z30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£0.25      £0.25
    10   £0.22      £2.19
    25   £0.19      £4.80
    50   £0.17      £8.55
   100   £0.17     £16.60
   250   £0.15     £38.00
   500   £0.14     £71.00
  1000   £0.12    £125.00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£0.22      £0.22
    10   £0.22      £2.20
    50   £0.18      £9.00
   100   £0.16     £16.00
  1000   £0.14    £145.00
 10000   £0.14  £1,450.00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£0.77      £0.77
    10   £0.68      £6.80
   100   £0.52     £52.17
   500   £0.41    £206.21
  1000   £0.33    £329.94
  2500   £0.29    £725.72
  5000   £0.27  £1,351.35
 12500   £0.26  £3,253.25
 25000   £0.25  £6,256.25</t>
        </r>
      </text>
    </comment>
    <comment ref="N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32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£0.83      £0.83
    10   £0.70      £6.96
    50   £0.70     £34.80
   100   £0.45     £44.90
  1000   £0.36    £360.00
 10000   £0.29  £2,920.00</t>
        </r>
      </text>
    </comment>
    <comment ref="X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£8.12      £8.12
    10   £7.33     £73.32
    46   £6.99    £321.56
   138   £6.07    £837.63
   276   £5.80  £1,599.97
   506   £5.29  £2,674.46
  1012   £4.60  £4,658.74</t>
        </r>
      </text>
    </comment>
    <comment ref="U34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£8.12      £8.12
    10   £7.33     £73.30
    50   £6.61    £330.50
   100   £6.07    £607.00
  1000   £4.42  £4,420.00
 10000   £4.42 £44,200.00</t>
        </r>
      </text>
    </comment>
    <comment ref="Z34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£7.17      £7.17
    10   £6.81     £68.10
    25   £6.28    £157.00
    50   £5.95    £297.50
   100   £5.41    £541.00
   250   £4.87  £1,217.50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£7.93      £7.93
    10   £7.16     £71.60
    25   £6.83    £170.66
   100   £5.93    £592.74
   300   £5.66  £1,698.30
   500   £5.16  £2,580.75
  1000   £4.50  £4,495.50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£4.95      £4.95
    10   £4.95     £49.50
    50   £4.25    £212.50
   100   £4.05    £405.00
  1000   £4.05  £4,050.00
 10000   £4.05 £40,500.00</t>
        </r>
      </text>
    </comment>
    <comment ref="Z35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£5.00      £5.00
    10   £4.88     £48.80
    25   £4.76    £119.00
    50   £4.29    £214.50
   100   £4.09    £409.00</t>
        </r>
      </text>
    </comment>
    <comment ref="I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36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£0.20      £0.20
  3000   £0.20    £602.37</t>
        </r>
      </text>
    </comment>
    <comment ref="Z36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£0.03      £0.03
    10   £0.03      £0.30
    25   £0.03      £0.75
   100   £0.03      £3.00
   250   £0.03      £7.50
   500   £0.03     £15.00
  1000   £0.03     £30.00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£0.15      £0.15
    10   £0.14      £1.41
   100   £0.09      £8.68
   500   £0.07     £35.91
  1000   £0.06     £62.84
  5000   £0.05    £269.35
 10000   £0.05    £523.70</t>
        </r>
      </text>
    </comment>
    <comment ref="Z37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£0.25      £0.25
    10   £0.22      £2.19
    25   £0.19      £4.80
    50   £0.17      £8.55
   100   £0.17     £16.60
   250   £0.15     £38.00
   500   £0.14     £71.00
  1000   £0.12    £125.00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£15.33     £15.33
    39  £13.51    £526.86
   117  £11.90  £1,392.62</t>
        </r>
      </text>
    </comment>
    <comment ref="N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£15.18     £15.18
    10  £13.78    £137.80
    50  £12.47    £623.50
   100  £11.21  £1,121.00
  1000   £9.74  £9,740.00
 10000   £9.74 £97,400.00</t>
        </r>
      </text>
    </comment>
    <comment ref="X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Z38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£15.18     £15.18
    10  £13.78    £137.80
    25  £12.95    £323.75
    50  £12.47    £623.50
   100  £11.21  £1,121.00
   250  £10.36  £2,590.00
   500   £9.74  £4,870.00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£0.63      £0.63
    10   £0.52      £5.23
    50   £0.47     £23.51
   100   £0.42     £41.80
   500   £0.40    £198.55
  1000   £0.30    £304.00
  3000   £0.28    £855.00
  5000   £0.28  £1,377.50
 10000   £0.27  £2,660.00</t>
        </r>
      </text>
    </comment>
    <comment ref="U39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£0.51      £0.51
    10   £0.43      £4.26
    50   £0.38     £19.15
   100   £0.34     £34.10
  1000   £0.32    £324.00
 10000   £0.32  £3,240.00</t>
        </r>
      </text>
    </comment>
    <comment ref="X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Z39" authorId="0">
      <text>
        <r>
          <rPr>
            <sz val="8"/>
            <color indexed="81"/>
            <rFont val="Tahoma"/>
            <family val="2"/>
          </rPr>
          <t>Qty/Price Breaks:
  Qty  -  Unit£  -  Ext£
================
     1   £0.67      £0.67
    10   £0.63      £6.33
    25   £0.59     £14.75
    50   £0.55     £27.45
   100   £0.51     £51.10
   250   £0.47    £118.00
   500   £0.44    £220.00</t>
        </r>
      </text>
    </comment>
    <comment ref="G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<sst xmlns="http://schemas.openxmlformats.org/spreadsheetml/2006/main" count="388" uniqueCount="211">
  <si>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</si>
  <si>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</si>
  <si>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</si>
  <si>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</si>
  <si>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</si>
  <si>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</si>
  <si>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</si>
  <si>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</si>
  <si>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</si>
  <si>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BT1</t>
  </si>
  <si>
    <t>Battery</t>
  </si>
  <si>
    <t>-</t>
  </si>
  <si>
    <t>Connector_JST:JST_XH_B02B-XH-A_1x02_P2.50mm_Vertical</t>
  </si>
  <si>
    <t>B2B-XH-A(LF)(SN)</t>
  </si>
  <si>
    <t>BT2</t>
  </si>
  <si>
    <t>3V [CR2032]</t>
  </si>
  <si>
    <t>Battery_Holders:Keystone_106_1x20mm-CoinCell</t>
  </si>
  <si>
    <t>KEYSTONE 103</t>
  </si>
  <si>
    <t>C1,C2</t>
  </si>
  <si>
    <t>100uF</t>
  </si>
  <si>
    <t>Capacitors_SMD:CP_Elec_5x5.3</t>
  </si>
  <si>
    <t>EEEFT1C101AR</t>
  </si>
  <si>
    <t>C3,C16-C18,C20-C22</t>
  </si>
  <si>
    <t>100nF</t>
  </si>
  <si>
    <t>Capacitors_SMD:C_0805</t>
  </si>
  <si>
    <t>C4</t>
  </si>
  <si>
    <t>10uF</t>
  </si>
  <si>
    <t>C5</t>
  </si>
  <si>
    <t>1uF</t>
  </si>
  <si>
    <t>C6-C15,C19</t>
  </si>
  <si>
    <t>10nF</t>
  </si>
  <si>
    <t>CON1</t>
  </si>
  <si>
    <t>SD_Card</t>
  </si>
  <si>
    <t>JP_Connectors:Conn_uSDcard</t>
  </si>
  <si>
    <t>SD_Card[uSD]</t>
  </si>
  <si>
    <t>D1</t>
  </si>
  <si>
    <t>LED_Dual_ACA</t>
  </si>
  <si>
    <t>LEDs:LED_D3.0mm-3</t>
  </si>
  <si>
    <t>L-93WEGW</t>
  </si>
  <si>
    <t>D2,D3</t>
  </si>
  <si>
    <t>1N4448W-7-F</t>
  </si>
  <si>
    <t>Diodes_SMD:D_SOD-123</t>
  </si>
  <si>
    <t>IC1</t>
  </si>
  <si>
    <t>ATMEGA328-P</t>
  </si>
  <si>
    <t>Housings_QFP:TQFP-32_7x7mm_Pitch0.8mm</t>
  </si>
  <si>
    <t>ATMEGA328P-AU</t>
  </si>
  <si>
    <t>J1</t>
  </si>
  <si>
    <t>FC68127</t>
  </si>
  <si>
    <t>Socket%3B Jack 3%2C 5mm%3B female%3B with two switches%3B ways%3A 4%3B THT%3B H%3A 5mm</t>
  </si>
  <si>
    <t>CLIFF_FC68127</t>
  </si>
  <si>
    <t>J2</t>
  </si>
  <si>
    <t>CONN_01X03</t>
  </si>
  <si>
    <t>Pin_Headers:Pin_Header_Straight_1x03_Pitch2.54mm</t>
  </si>
  <si>
    <t>B3B-XH-A(LF)(SN)</t>
  </si>
  <si>
    <t>J3</t>
  </si>
  <si>
    <t>CONN_01X05</t>
  </si>
  <si>
    <t>Connector_PinHeader_2.54mm:PinHeader_1x05_P2.54mm_Vertical</t>
  </si>
  <si>
    <t>B5B-XH-A(LF)(SN)</t>
  </si>
  <si>
    <t>L1-L16</t>
  </si>
  <si>
    <t>100 Ohms 10MHz</t>
  </si>
  <si>
    <t>Inductors_SMD:L_0805</t>
  </si>
  <si>
    <t>MPZ2012S101A</t>
  </si>
  <si>
    <t>MK1-MK4</t>
  </si>
  <si>
    <t>Mounting_Hole</t>
  </si>
  <si>
    <t>MountingHole:MountingHole_2.7mm_M2.5_Pad_Via</t>
  </si>
  <si>
    <t>P1</t>
  </si>
  <si>
    <t>Conn_02x03_Top_Bottom</t>
  </si>
  <si>
    <t>Connector_PinHeader_2.54mm:PinHeader_2x03_P2.54mm_Vertical</t>
  </si>
  <si>
    <t>75869-131LF</t>
  </si>
  <si>
    <t>Q1</t>
  </si>
  <si>
    <t>MMBT3904LT1G</t>
  </si>
  <si>
    <t>Package_TO_SOT_SMD:SOT-23</t>
  </si>
  <si>
    <t>R1,R2</t>
  </si>
  <si>
    <t>750R</t>
  </si>
  <si>
    <t>Resistors_SMD:R_0805</t>
  </si>
  <si>
    <t>R11</t>
  </si>
  <si>
    <t>330R</t>
  </si>
  <si>
    <t>R3,R4,R10</t>
  </si>
  <si>
    <t>10k</t>
  </si>
  <si>
    <t>R8,R9</t>
  </si>
  <si>
    <t>4.7k</t>
  </si>
  <si>
    <t>R5-R7</t>
  </si>
  <si>
    <t>22k</t>
  </si>
  <si>
    <t>SW1</t>
  </si>
  <si>
    <t>SW_SPST</t>
  </si>
  <si>
    <t>SW2,SW3</t>
  </si>
  <si>
    <t>SW_PUSH</t>
  </si>
  <si>
    <t>Button_Switch_THT:SW_PUSH_6mm_H4.3mm</t>
  </si>
  <si>
    <t>SKHHAJA010</t>
  </si>
  <si>
    <t>U1</t>
  </si>
  <si>
    <t>LF50_TO252</t>
  </si>
  <si>
    <t>Package_TO_SOT_SMD:TO-252-3_TabPin4</t>
  </si>
  <si>
    <t>LF50ABDT-TR</t>
  </si>
  <si>
    <t>U12</t>
  </si>
  <si>
    <t>I2C_20x4_DISPLAY</t>
  </si>
  <si>
    <t>LED Character display 20x4 I2C Bus</t>
  </si>
  <si>
    <t>U13</t>
  </si>
  <si>
    <t>DS3231</t>
  </si>
  <si>
    <t>Housings_SOIC:SOIC-16W_7.5x10.3mm_Pitch1.27mm</t>
  </si>
  <si>
    <t>DS3231M+</t>
  </si>
  <si>
    <t>U14</t>
  </si>
  <si>
    <t>MAX31855KASA</t>
  </si>
  <si>
    <t>Real Time Clock with integrated oscillator</t>
  </si>
  <si>
    <t>Package_SO:SOIC-8_3.9x4.9mm_P1.27mm</t>
  </si>
  <si>
    <t>U2</t>
  </si>
  <si>
    <t>RT9166-33GVL</t>
  </si>
  <si>
    <t>TO_SOT_Packages_SMD:SOT-23</t>
  </si>
  <si>
    <t>U3,U5-U11</t>
  </si>
  <si>
    <t>TC_Connector</t>
  </si>
  <si>
    <t>U4</t>
  </si>
  <si>
    <t>ADG407BPZ</t>
  </si>
  <si>
    <t>Housings_LCC:PLCC-28</t>
  </si>
  <si>
    <t>Y1</t>
  </si>
  <si>
    <t>Crystal_8MHz</t>
  </si>
  <si>
    <t>Abracon 8MHz Crystal</t>
  </si>
  <si>
    <t>Crystals:Crystal_SMD_Abracon_ABM3B-4pin_5.0x3.2mm</t>
  </si>
  <si>
    <t>ABM3B-8.000MHZ-B2-T</t>
  </si>
  <si>
    <t>Total Purchase:</t>
  </si>
  <si>
    <t>Prj:</t>
  </si>
  <si>
    <t>8-Channel Thermocouple Datalogger [3V3]</t>
  </si>
  <si>
    <t>Co.:</t>
  </si>
  <si>
    <t>JP Enterprises</t>
  </si>
  <si>
    <t>Prj date:</t>
  </si>
  <si>
    <t>Saturday, 01 December 2018 at 09:49:37</t>
  </si>
  <si>
    <t>Board Qty:</t>
  </si>
  <si>
    <t>Total Cost:</t>
  </si>
  <si>
    <t>Unit Cost:</t>
  </si>
  <si>
    <t>$ date:</t>
  </si>
  <si>
    <t>2019-06-05 16:52:04</t>
  </si>
  <si>
    <t>Digi-Key</t>
  </si>
  <si>
    <t>Avail</t>
  </si>
  <si>
    <t>Purch</t>
  </si>
  <si>
    <t>Cat#</t>
  </si>
  <si>
    <t>455-2247-ND</t>
  </si>
  <si>
    <t>P15086TR-ND</t>
  </si>
  <si>
    <t>NonStk</t>
  </si>
  <si>
    <t>1N4448W-FDITR-ND</t>
  </si>
  <si>
    <t>ATMEGA328P-AU-ND</t>
  </si>
  <si>
    <t>455-2248-ND</t>
  </si>
  <si>
    <t>455-2270-ND</t>
  </si>
  <si>
    <t>609-2845-ND</t>
  </si>
  <si>
    <t>MMBT3904LT1GOSDKR-ND</t>
  </si>
  <si>
    <t>497-8344-1-ND</t>
  </si>
  <si>
    <t>DS3231M+-ND</t>
  </si>
  <si>
    <t>MAX31855KASA+-ND</t>
  </si>
  <si>
    <t>RT9166-33GVL-ND</t>
  </si>
  <si>
    <t>ADG407BPZ-ND</t>
  </si>
  <si>
    <t>535-9720-6-ND</t>
  </si>
  <si>
    <t>Farnell</t>
  </si>
  <si>
    <t>1516276</t>
  </si>
  <si>
    <t>2065969</t>
  </si>
  <si>
    <t>637210</t>
  </si>
  <si>
    <t>1843738RL</t>
  </si>
  <si>
    <t>2695348</t>
  </si>
  <si>
    <t>2309470</t>
  </si>
  <si>
    <t>1516277</t>
  </si>
  <si>
    <t>1516281</t>
  </si>
  <si>
    <t>1669751RL</t>
  </si>
  <si>
    <t>1459100RL</t>
  </si>
  <si>
    <t>2473999</t>
  </si>
  <si>
    <t>2515405</t>
  </si>
  <si>
    <t>2515562</t>
  </si>
  <si>
    <t>2363085</t>
  </si>
  <si>
    <t>2460590</t>
  </si>
  <si>
    <t>2467818</t>
  </si>
  <si>
    <t>Mouser</t>
  </si>
  <si>
    <t>667EEEFT1C101AR</t>
  </si>
  <si>
    <t>6211N4448WF</t>
  </si>
  <si>
    <t>556ATMEGA328PAU</t>
  </si>
  <si>
    <t>810MPZ2012S101A</t>
  </si>
  <si>
    <t>64975869131LF</t>
  </si>
  <si>
    <t>863MMBT3904LT1G</t>
  </si>
  <si>
    <t>688SKHHAJ</t>
  </si>
  <si>
    <t>511LF50ABDTTR</t>
  </si>
  <si>
    <t>700DS3231M+</t>
  </si>
  <si>
    <t>700MAX31855KASA+</t>
  </si>
  <si>
    <t>584ADG407BPZ</t>
  </si>
  <si>
    <t>815ABM3B8.0B2T</t>
  </si>
  <si>
    <t>Newark</t>
  </si>
  <si>
    <t>73M9415</t>
  </si>
  <si>
    <t>73T9156</t>
  </si>
  <si>
    <t>17M9085</t>
  </si>
  <si>
    <t>12T2306</t>
  </si>
  <si>
    <t>68T2935</t>
  </si>
  <si>
    <t>69W8909</t>
  </si>
  <si>
    <t>73M9431</t>
  </si>
  <si>
    <t>73M9437</t>
  </si>
  <si>
    <t>33P7647</t>
  </si>
  <si>
    <t>26AC2242</t>
  </si>
  <si>
    <t>56P7944</t>
  </si>
  <si>
    <t>73Y1622</t>
  </si>
  <si>
    <t>73Y3352</t>
  </si>
  <si>
    <t>02AC3858</t>
  </si>
  <si>
    <t>39Y2632</t>
  </si>
  <si>
    <t>40Y2011</t>
  </si>
  <si>
    <t>Rs Components</t>
  </si>
  <si>
    <t>1667312</t>
  </si>
  <si>
    <t>7472499P</t>
  </si>
  <si>
    <t>2285685</t>
  </si>
  <si>
    <t>7384730</t>
  </si>
  <si>
    <t>1310271P</t>
  </si>
  <si>
    <t>8201557</t>
  </si>
  <si>
    <t>1724934</t>
  </si>
  <si>
    <t>1708783</t>
  </si>
  <si>
    <t>5450343</t>
  </si>
  <si>
    <t>7581922</t>
  </si>
  <si>
    <t>6868938</t>
  </si>
  <si>
    <t>1659491</t>
  </si>
  <si>
    <t>9128788</t>
  </si>
  <si>
    <t>1710644</t>
  </si>
  <si>
    <t>KiCost® v.1.1</t>
  </si>
</sst>
</file>

<file path=xl/styles.xml><?xml version="1.0" encoding="utf-8"?>
<styleSheet xmlns="http://schemas.openxmlformats.org/spreadsheetml/2006/main">
  <numFmts count="1">
    <numFmt numFmtId="164" formatCode="£#,##0.00"/>
    <numFmt numFmtId="164" formatCode="£#,##0.00"/>
    <numFmt numFmtId="164" formatCode="£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sheet.octopart.com/B2B-XH-A%28LF%29%28SN%29-JST-datasheet-63094.pdf" TargetMode="External"/><Relationship Id="rId2" Type="http://schemas.openxmlformats.org/officeDocument/2006/relationships/hyperlink" Target="https://octopart.com/click/track?ak=&amp;sig=027bc86&amp;sid=459&amp;ppid=7424860&amp;vpid=131671947&amp;ct=offers" TargetMode="External"/><Relationship Id="rId3" Type="http://schemas.openxmlformats.org/officeDocument/2006/relationships/hyperlink" Target="https://octopart.com/click/track?ak=&amp;sig=0a2914a&amp;sid=819&amp;ppid=7753615&amp;vpid=138964144&amp;ct=offers" TargetMode="External"/><Relationship Id="rId4" Type="http://schemas.openxmlformats.org/officeDocument/2006/relationships/hyperlink" Target="https://octopart.com/click/track?ak=&amp;sig=08a754e&amp;sid=2402&amp;ppid=7753615&amp;vpid=11763346&amp;ct=offers" TargetMode="External"/><Relationship Id="rId5" Type="http://schemas.openxmlformats.org/officeDocument/2006/relationships/hyperlink" Target="https://octopart.com/click/track?ak=&amp;sig=05299bf&amp;sid=10022&amp;ppid=7424860&amp;vpid=501096087&amp;ct=offers" TargetMode="External"/><Relationship Id="rId6" Type="http://schemas.openxmlformats.org/officeDocument/2006/relationships/hyperlink" Target="http://datasheet.octopart.com/EEEFT1C101AR-Panasonic-datasheet-10550162.pdf" TargetMode="External"/><Relationship Id="rId7" Type="http://schemas.openxmlformats.org/officeDocument/2006/relationships/hyperlink" Target="https://octopart.com/click/track?c=1&amp;ak=&amp;sig=0e7c1ab&amp;sid=459&amp;ppid=21274271&amp;vpid=44783099&amp;ct=offers" TargetMode="External"/><Relationship Id="rId8" Type="http://schemas.openxmlformats.org/officeDocument/2006/relationships/hyperlink" Target="https://octopart.com/click/track?ak=&amp;sig=0940e29&amp;sid=11744&amp;ppid=21274271&amp;vpid=132561126&amp;ct=offers" TargetMode="External"/><Relationship Id="rId9" Type="http://schemas.openxmlformats.org/officeDocument/2006/relationships/hyperlink" Target="https://octopart.com/click/track?ak=&amp;sig=0cce168&amp;sid=2401&amp;ppid=21274271&amp;vpid=46107577&amp;ct=offers" TargetMode="External"/><Relationship Id="rId10" Type="http://schemas.openxmlformats.org/officeDocument/2006/relationships/hyperlink" Target="https://octopart.com/click/track?ak=&amp;sig=0ad8308&amp;sid=2402&amp;ppid=21274271&amp;vpid=64490256&amp;ct=offers" TargetMode="External"/><Relationship Id="rId11" Type="http://schemas.openxmlformats.org/officeDocument/2006/relationships/hyperlink" Target="https://octopart.com/click/track?ak=&amp;sig=0ad9d4a&amp;sid=10022&amp;ppid=21274271&amp;vpid=437552747&amp;ct=offers" TargetMode="External"/><Relationship Id="rId12" Type="http://schemas.openxmlformats.org/officeDocument/2006/relationships/hyperlink" Target="http://datasheet.octopart.com/L-93WEGW-Kingbright-datasheet-32036393.pdf" TargetMode="External"/><Relationship Id="rId13" Type="http://schemas.openxmlformats.org/officeDocument/2006/relationships/hyperlink" Target="https://octopart.com/click/track?c=1&amp;ak=&amp;sig=03ee0bb&amp;sid=11744&amp;ppid=871829&amp;vpid=237135429&amp;ct=offers" TargetMode="External"/><Relationship Id="rId14" Type="http://schemas.openxmlformats.org/officeDocument/2006/relationships/hyperlink" Target="https://octopart.com/click/track?ak=&amp;sig=01dae4e&amp;sid=2402&amp;ppid=871829&amp;vpid=6684056&amp;ct=offers" TargetMode="External"/><Relationship Id="rId15" Type="http://schemas.openxmlformats.org/officeDocument/2006/relationships/hyperlink" Target="https://octopart.com/click/track?ak=&amp;sig=00cc2f5&amp;sid=10022&amp;ppid=871829&amp;vpid=199042187&amp;ct=offers" TargetMode="External"/><Relationship Id="rId16" Type="http://schemas.openxmlformats.org/officeDocument/2006/relationships/hyperlink" Target="http://datasheet.octopart.com/1N4448W-7-F-Diodes-Inc.-datasheet-8326324.pdf" TargetMode="External"/><Relationship Id="rId17" Type="http://schemas.openxmlformats.org/officeDocument/2006/relationships/hyperlink" Target="https://octopart.com/click/track?ak=&amp;sig=03507c0&amp;sid=459&amp;ppid=322269&amp;vpid=1627828&amp;ct=offers" TargetMode="External"/><Relationship Id="rId18" Type="http://schemas.openxmlformats.org/officeDocument/2006/relationships/hyperlink" Target="https://octopart.com/click/track?c=1&amp;ak=&amp;sig=0653bb4&amp;sid=11744&amp;ppid=322269&amp;vpid=132236626&amp;ct=offers" TargetMode="External"/><Relationship Id="rId19" Type="http://schemas.openxmlformats.org/officeDocument/2006/relationships/hyperlink" Target="https://octopart.com/click/track?ak=&amp;sig=0d75d04&amp;sid=2401&amp;ppid=322269&amp;vpid=37598398&amp;ct=offers" TargetMode="External"/><Relationship Id="rId20" Type="http://schemas.openxmlformats.org/officeDocument/2006/relationships/hyperlink" Target="https://octopart.com/click/track?ak=&amp;sig=019c4f1&amp;sid=2402&amp;ppid=322269&amp;vpid=33281002&amp;ct=offers" TargetMode="External"/><Relationship Id="rId21" Type="http://schemas.openxmlformats.org/officeDocument/2006/relationships/hyperlink" Target="https://octopart.com/click/track?ak=&amp;sig=06c8b89&amp;sid=10022&amp;ppid=322269&amp;vpid=199007027&amp;ct=offers" TargetMode="External"/><Relationship Id="rId22" Type="http://schemas.openxmlformats.org/officeDocument/2006/relationships/hyperlink" Target="http://datasheet.octopart.com/ATMEGA328P-AU-Microchip-datasheet-130027646.pdf" TargetMode="External"/><Relationship Id="rId23" Type="http://schemas.openxmlformats.org/officeDocument/2006/relationships/hyperlink" Target="https://octopart.com/click/track?ak=&amp;sig=0d5999e&amp;sid=459&amp;ppid=77760215&amp;vpid=408716878&amp;ct=offers" TargetMode="External"/><Relationship Id="rId24" Type="http://schemas.openxmlformats.org/officeDocument/2006/relationships/hyperlink" Target="https://octopart.com/click/track?ak=&amp;sig=0d1157a&amp;sid=819&amp;ppid=77760215&amp;vpid=420539179&amp;ct=offers" TargetMode="External"/><Relationship Id="rId25" Type="http://schemas.openxmlformats.org/officeDocument/2006/relationships/hyperlink" Target="https://octopart.com/click/track?ak=&amp;sig=04d8b91&amp;sid=2401&amp;ppid=77760215&amp;vpid=408978600&amp;ct=offers" TargetMode="External"/><Relationship Id="rId26" Type="http://schemas.openxmlformats.org/officeDocument/2006/relationships/hyperlink" Target="https://octopart.com/click/track?ak=&amp;sig=0f1c480&amp;sid=2402&amp;ppid=77760215&amp;vpid=410223178&amp;ct=offers" TargetMode="External"/><Relationship Id="rId27" Type="http://schemas.openxmlformats.org/officeDocument/2006/relationships/hyperlink" Target="https://octopart.com/click/track?ak=&amp;sig=01cbe3a&amp;sid=10022&amp;ppid=77760215&amp;vpid=439550566&amp;ct=offers" TargetMode="External"/><Relationship Id="rId28" Type="http://schemas.openxmlformats.org/officeDocument/2006/relationships/hyperlink" Target="https://octopart.com/click/track?ak=&amp;sig=0996595&amp;sid=819&amp;ppid=28333216&amp;vpid=138761329&amp;ct=offers" TargetMode="External"/><Relationship Id="rId29" Type="http://schemas.openxmlformats.org/officeDocument/2006/relationships/hyperlink" Target="https://octopart.com/click/track?ak=&amp;sig=0125f80&amp;sid=2402&amp;ppid=28333216&amp;vpid=81896271&amp;ct=offers" TargetMode="External"/><Relationship Id="rId30" Type="http://schemas.openxmlformats.org/officeDocument/2006/relationships/hyperlink" Target="http://datasheet.octopart.com/B3B-XH-A%28LF%29%28SN%29-JST-datasheet-63094.pdf" TargetMode="External"/><Relationship Id="rId31" Type="http://schemas.openxmlformats.org/officeDocument/2006/relationships/hyperlink" Target="https://octopart.com/click/track?ak=&amp;sig=0dde6d6&amp;sid=459&amp;ppid=3990185&amp;vpid=131671954&amp;ct=offers" TargetMode="External"/><Relationship Id="rId32" Type="http://schemas.openxmlformats.org/officeDocument/2006/relationships/hyperlink" Target="https://octopart.com/click/track?ak=&amp;sig=006d8ce&amp;sid=819&amp;ppid=7501628&amp;vpid=138964196&amp;ct=offers" TargetMode="External"/><Relationship Id="rId33" Type="http://schemas.openxmlformats.org/officeDocument/2006/relationships/hyperlink" Target="https://octopart.com/click/track?ak=&amp;sig=08aaf5d&amp;sid=2402&amp;ppid=7501628&amp;vpid=11373027&amp;ct=offers" TargetMode="External"/><Relationship Id="rId34" Type="http://schemas.openxmlformats.org/officeDocument/2006/relationships/hyperlink" Target="https://octopart.com/click/track?ak=&amp;sig=07cf9e5&amp;sid=10022&amp;ppid=3990185&amp;vpid=202901226&amp;ct=offers" TargetMode="External"/><Relationship Id="rId35" Type="http://schemas.openxmlformats.org/officeDocument/2006/relationships/hyperlink" Target="http://datasheet.octopart.com/B5B-XH-A%28LF%29%28SN%29-JST-datasheet-63094.pdf" TargetMode="External"/><Relationship Id="rId36" Type="http://schemas.openxmlformats.org/officeDocument/2006/relationships/hyperlink" Target="https://octopart.com/click/track?ak=&amp;sig=0d59d13&amp;sid=459&amp;ppid=3990208&amp;vpid=34221442&amp;ct=offers" TargetMode="External"/><Relationship Id="rId37" Type="http://schemas.openxmlformats.org/officeDocument/2006/relationships/hyperlink" Target="https://octopart.com/click/track?ak=&amp;sig=0b154b9&amp;sid=819&amp;ppid=7501618&amp;vpid=138964304&amp;ct=offers" TargetMode="External"/><Relationship Id="rId38" Type="http://schemas.openxmlformats.org/officeDocument/2006/relationships/hyperlink" Target="https://octopart.com/click/track?ak=&amp;sig=04b00ab&amp;sid=2402&amp;ppid=7501618&amp;vpid=11373014&amp;ct=offers" TargetMode="External"/><Relationship Id="rId39" Type="http://schemas.openxmlformats.org/officeDocument/2006/relationships/hyperlink" Target="https://octopart.com/click/track?c=1&amp;ak=&amp;sig=0fc73db&amp;sid=10022&amp;ppid=3990208&amp;vpid=501096154&amp;ct=offers" TargetMode="External"/><Relationship Id="rId40" Type="http://schemas.openxmlformats.org/officeDocument/2006/relationships/hyperlink" Target="http://datasheet.octopart.com/MPZ2012S101A-TDK-datasheet-8365394.pdf" TargetMode="External"/><Relationship Id="rId41" Type="http://schemas.openxmlformats.org/officeDocument/2006/relationships/hyperlink" Target="https://octopart.com/click/track?c=1&amp;ak=&amp;sig=09df51f&amp;sid=819&amp;ppid=368225&amp;vpid=139699747&amp;ct=offers" TargetMode="External"/><Relationship Id="rId42" Type="http://schemas.openxmlformats.org/officeDocument/2006/relationships/hyperlink" Target="https://octopart.com/click/track?ak=&amp;sig=0ee8fe8&amp;sid=2401&amp;ppid=368225&amp;vpid=37992457&amp;ct=offers" TargetMode="External"/><Relationship Id="rId43" Type="http://schemas.openxmlformats.org/officeDocument/2006/relationships/hyperlink" Target="https://octopart.com/click/track?c=1&amp;ak=&amp;sig=085bc7a&amp;sid=2402&amp;ppid=368225&amp;vpid=20241531&amp;ct=offers" TargetMode="External"/><Relationship Id="rId44" Type="http://schemas.openxmlformats.org/officeDocument/2006/relationships/hyperlink" Target="http://datasheet.octopart.com/75869-131LF-FCI-datasheet-13726216.pdf" TargetMode="External"/><Relationship Id="rId45" Type="http://schemas.openxmlformats.org/officeDocument/2006/relationships/hyperlink" Target="https://octopart.com/click/track?ak=&amp;sig=0b6c62c&amp;sid=459&amp;ppid=39616169&amp;vpid=531264160&amp;ct=offers" TargetMode="External"/><Relationship Id="rId46" Type="http://schemas.openxmlformats.org/officeDocument/2006/relationships/hyperlink" Target="https://octopart.com/click/track?ak=&amp;sig=0e64419&amp;sid=2401&amp;ppid=39616169&amp;vpid=115156826&amp;ct=offers" TargetMode="External"/><Relationship Id="rId47" Type="http://schemas.openxmlformats.org/officeDocument/2006/relationships/hyperlink" Target="https://octopart.com/click/track?c=1&amp;ak=&amp;sig=012fbe8&amp;sid=10022&amp;ppid=39616169&amp;vpid=501054664&amp;ct=offers" TargetMode="External"/><Relationship Id="rId48" Type="http://schemas.openxmlformats.org/officeDocument/2006/relationships/hyperlink" Target="http://datasheet.octopart.com/MMBT3904LT1G-ON-Semiconductor-datasheet-618661.pdf" TargetMode="External"/><Relationship Id="rId49" Type="http://schemas.openxmlformats.org/officeDocument/2006/relationships/hyperlink" Target="https://octopart.com/click/track?ak=&amp;sig=02b059f&amp;sid=459&amp;ppid=3280&amp;vpid=1935351&amp;ct=offers" TargetMode="External"/><Relationship Id="rId50" Type="http://schemas.openxmlformats.org/officeDocument/2006/relationships/hyperlink" Target="https://octopart.com/click/track?c=1&amp;ak=&amp;sig=0ff0a7b&amp;sid=819&amp;ppid=3280&amp;vpid=139246164&amp;ct=offers" TargetMode="External"/><Relationship Id="rId51" Type="http://schemas.openxmlformats.org/officeDocument/2006/relationships/hyperlink" Target="https://octopart.com/click/track?ak=&amp;sig=099db7c&amp;sid=2401&amp;ppid=3280&amp;vpid=44862346&amp;ct=offers" TargetMode="External"/><Relationship Id="rId52" Type="http://schemas.openxmlformats.org/officeDocument/2006/relationships/hyperlink" Target="https://octopart.com/click/track?ak=&amp;sig=045fc1b&amp;sid=2402&amp;ppid=3280&amp;vpid=480435186&amp;ct=offers" TargetMode="External"/><Relationship Id="rId53" Type="http://schemas.openxmlformats.org/officeDocument/2006/relationships/hyperlink" Target="https://octopart.com/click/track?ak=&amp;sig=01b86d0&amp;sid=10022&amp;ppid=3280&amp;vpid=199086378&amp;ct=offers" TargetMode="External"/><Relationship Id="rId54" Type="http://schemas.openxmlformats.org/officeDocument/2006/relationships/hyperlink" Target="http://datasheet.octopart.com/B2B-XH-A%28LF%29%28SN%29-JST-datasheet-63094.pdf" TargetMode="External"/><Relationship Id="rId55" Type="http://schemas.openxmlformats.org/officeDocument/2006/relationships/hyperlink" Target="https://octopart.com/click/track?ak=&amp;sig=027bc86&amp;sid=459&amp;ppid=7424860&amp;vpid=131671947&amp;ct=offers" TargetMode="External"/><Relationship Id="rId56" Type="http://schemas.openxmlformats.org/officeDocument/2006/relationships/hyperlink" Target="https://octopart.com/click/track?ak=&amp;sig=0a2914a&amp;sid=819&amp;ppid=7753615&amp;vpid=138964144&amp;ct=offers" TargetMode="External"/><Relationship Id="rId57" Type="http://schemas.openxmlformats.org/officeDocument/2006/relationships/hyperlink" Target="https://octopart.com/click/track?ak=&amp;sig=08a754e&amp;sid=2402&amp;ppid=7753615&amp;vpid=11763346&amp;ct=offers" TargetMode="External"/><Relationship Id="rId58" Type="http://schemas.openxmlformats.org/officeDocument/2006/relationships/hyperlink" Target="https://octopart.com/click/track?ak=&amp;sig=05299bf&amp;sid=10022&amp;ppid=7424860&amp;vpid=501096087&amp;ct=offers" TargetMode="External"/><Relationship Id="rId59" Type="http://schemas.openxmlformats.org/officeDocument/2006/relationships/hyperlink" Target="http://datasheet.octopart.com/SKHHAJA010-ALPS-datasheet-13454299.pdf" TargetMode="External"/><Relationship Id="rId60" Type="http://schemas.openxmlformats.org/officeDocument/2006/relationships/hyperlink" Target="https://octopart.com/click/track?ak=&amp;sig=0c923d1&amp;sid=2401&amp;ppid=1057589&amp;vpid=37640328&amp;ct=offers" TargetMode="External"/><Relationship Id="rId61" Type="http://schemas.openxmlformats.org/officeDocument/2006/relationships/hyperlink" Target="https://octopart.com/click/track?ak=&amp;sig=01ccc31&amp;sid=10022&amp;ppid=1057589&amp;vpid=198976655&amp;ct=offers" TargetMode="External"/><Relationship Id="rId62" Type="http://schemas.openxmlformats.org/officeDocument/2006/relationships/hyperlink" Target="http://datasheet.octopart.com/LF50ABDT-TR-STMicroelectronics-datasheet-10887915.pdf" TargetMode="External"/><Relationship Id="rId63" Type="http://schemas.openxmlformats.org/officeDocument/2006/relationships/hyperlink" Target="https://octopart.com/click/track?ak=&amp;sig=06af260&amp;sid=459&amp;ppid=40016029&amp;vpid=115223316&amp;ct=offers" TargetMode="External"/><Relationship Id="rId64" Type="http://schemas.openxmlformats.org/officeDocument/2006/relationships/hyperlink" Target="https://octopart.com/click/track?c=1&amp;ak=&amp;sig=04ea915&amp;sid=11744&amp;ppid=40016029&amp;vpid=195292995&amp;ct=offers" TargetMode="External"/><Relationship Id="rId65" Type="http://schemas.openxmlformats.org/officeDocument/2006/relationships/hyperlink" Target="https://octopart.com/click/track?ak=&amp;sig=085afab&amp;sid=2401&amp;ppid=40016029&amp;vpid=115535258&amp;ct=offers" TargetMode="External"/><Relationship Id="rId66" Type="http://schemas.openxmlformats.org/officeDocument/2006/relationships/hyperlink" Target="https://octopart.com/click/track?c=1&amp;ak=&amp;sig=0916ef1&amp;sid=2402&amp;ppid=40016029&amp;vpid=259904740&amp;ct=offers" TargetMode="External"/><Relationship Id="rId67" Type="http://schemas.openxmlformats.org/officeDocument/2006/relationships/hyperlink" Target="https://octopart.com/click/track?ak=&amp;sig=0e1745e&amp;sid=10022&amp;ppid=40016029&amp;vpid=199117654&amp;ct=offers" TargetMode="External"/><Relationship Id="rId68" Type="http://schemas.openxmlformats.org/officeDocument/2006/relationships/hyperlink" Target="http://www.mantech.co.za/datasheets/products/lcd2004-i2c.pdf" TargetMode="External"/><Relationship Id="rId69" Type="http://schemas.openxmlformats.org/officeDocument/2006/relationships/hyperlink" Target="http://datasheet.octopart.com/DS3231M%2B-Maxim-Integrated-datasheet-62054857.pdf" TargetMode="External"/><Relationship Id="rId70" Type="http://schemas.openxmlformats.org/officeDocument/2006/relationships/hyperlink" Target="https://octopart.com/click/track?ak=&amp;sig=0951b76&amp;sid=459&amp;ppid=44322453&amp;vpid=118199059&amp;ct=offers" TargetMode="External"/><Relationship Id="rId71" Type="http://schemas.openxmlformats.org/officeDocument/2006/relationships/hyperlink" Target="https://octopart.com/click/track?ak=&amp;sig=063e6cf&amp;sid=819&amp;ppid=44322453&amp;vpid=464828402&amp;ct=offers" TargetMode="External"/><Relationship Id="rId72" Type="http://schemas.openxmlformats.org/officeDocument/2006/relationships/hyperlink" Target="https://octopart.com/click/track?ak=&amp;sig=0e94655&amp;sid=2401&amp;ppid=44322453&amp;vpid=116121165&amp;ct=offers" TargetMode="External"/><Relationship Id="rId73" Type="http://schemas.openxmlformats.org/officeDocument/2006/relationships/hyperlink" Target="https://octopart.com/click/track?ak=&amp;sig=08d23ec&amp;sid=2402&amp;ppid=44322453&amp;vpid=423905310&amp;ct=offers" TargetMode="External"/><Relationship Id="rId74" Type="http://schemas.openxmlformats.org/officeDocument/2006/relationships/hyperlink" Target="http://datasheet.octopart.com/MAX31855KASA%2B-Maxim-Integrated-datasheet-62055030.pdf" TargetMode="External"/><Relationship Id="rId75" Type="http://schemas.openxmlformats.org/officeDocument/2006/relationships/hyperlink" Target="https://octopart.com/click/track?ak=&amp;sig=040b8c1&amp;sid=459&amp;ppid=44378229&amp;vpid=115951621&amp;ct=offers" TargetMode="External"/><Relationship Id="rId76" Type="http://schemas.openxmlformats.org/officeDocument/2006/relationships/hyperlink" Target="https://octopart.com/click/track?ak=&amp;sig=0e5d88c&amp;sid=819&amp;ppid=44378229&amp;vpid=247810293&amp;ct=offers" TargetMode="External"/><Relationship Id="rId77" Type="http://schemas.openxmlformats.org/officeDocument/2006/relationships/hyperlink" Target="https://octopart.com/click/track?ak=&amp;sig=0a58e33&amp;sid=2401&amp;ppid=44378229&amp;vpid=115533412&amp;ct=offers" TargetMode="External"/><Relationship Id="rId78" Type="http://schemas.openxmlformats.org/officeDocument/2006/relationships/hyperlink" Target="https://octopart.com/click/track?ak=&amp;sig=0255365&amp;sid=2402&amp;ppid=44378229&amp;vpid=252533315&amp;ct=offers" TargetMode="External"/><Relationship Id="rId79" Type="http://schemas.openxmlformats.org/officeDocument/2006/relationships/hyperlink" Target="https://octopart.com/click/track?c=1&amp;ak=&amp;sig=00d5840&amp;sid=10022&amp;ppid=44378229&amp;vpid=501135741&amp;ct=offers" TargetMode="External"/><Relationship Id="rId80" Type="http://schemas.openxmlformats.org/officeDocument/2006/relationships/hyperlink" Target="http://datasheet.octopart.com/RT9166-33GVL-Richtek-datasheet-21405076.pdf" TargetMode="External"/><Relationship Id="rId81" Type="http://schemas.openxmlformats.org/officeDocument/2006/relationships/hyperlink" Target="https://octopart.com/click/track?c=1&amp;ak=&amp;sig=01aca09&amp;sid=459&amp;ppid=19674177&amp;vpid=36257747&amp;ct=offers" TargetMode="External"/><Relationship Id="rId82" Type="http://schemas.openxmlformats.org/officeDocument/2006/relationships/hyperlink" Target="https://octopart.com/click/track?ak=&amp;sig=0ae7b15&amp;sid=819&amp;ppid=19674177&amp;vpid=139418247&amp;ct=offers" TargetMode="External"/><Relationship Id="rId83" Type="http://schemas.openxmlformats.org/officeDocument/2006/relationships/hyperlink" Target="https://octopart.com/click/track?ak=&amp;sig=0c8fc44&amp;sid=2402&amp;ppid=19674177&amp;vpid=314850526&amp;ct=offers" TargetMode="External"/><Relationship Id="rId84" Type="http://schemas.openxmlformats.org/officeDocument/2006/relationships/hyperlink" Target="http://datasheet.octopart.com/B2B-XH-A%28LF%29%28SN%29-JST-datasheet-63094.pdf" TargetMode="External"/><Relationship Id="rId85" Type="http://schemas.openxmlformats.org/officeDocument/2006/relationships/hyperlink" Target="https://octopart.com/click/track?ak=&amp;sig=027bc86&amp;sid=459&amp;ppid=7424860&amp;vpid=131671947&amp;ct=offers" TargetMode="External"/><Relationship Id="rId86" Type="http://schemas.openxmlformats.org/officeDocument/2006/relationships/hyperlink" Target="https://octopart.com/click/track?ak=&amp;sig=0a2914a&amp;sid=819&amp;ppid=7753615&amp;vpid=138964144&amp;ct=offers" TargetMode="External"/><Relationship Id="rId87" Type="http://schemas.openxmlformats.org/officeDocument/2006/relationships/hyperlink" Target="https://octopart.com/click/track?ak=&amp;sig=08a754e&amp;sid=2402&amp;ppid=7753615&amp;vpid=11763346&amp;ct=offers" TargetMode="External"/><Relationship Id="rId88" Type="http://schemas.openxmlformats.org/officeDocument/2006/relationships/hyperlink" Target="https://octopart.com/click/track?ak=&amp;sig=05299bf&amp;sid=10022&amp;ppid=7424860&amp;vpid=501096087&amp;ct=offers" TargetMode="External"/><Relationship Id="rId89" Type="http://schemas.openxmlformats.org/officeDocument/2006/relationships/hyperlink" Target="http://www.analog.com/media/en/technical-documentation/data-sheets/ADG406_407_426.pdf" TargetMode="External"/><Relationship Id="rId90" Type="http://schemas.openxmlformats.org/officeDocument/2006/relationships/hyperlink" Target="https://octopart.com/click/track?ak=&amp;sig=06a968c&amp;sid=459&amp;ppid=80741&amp;vpid=1633322&amp;ct=offers" TargetMode="External"/><Relationship Id="rId91" Type="http://schemas.openxmlformats.org/officeDocument/2006/relationships/hyperlink" Target="https://octopart.com/click/track?c=1&amp;ak=&amp;sig=048ebf1&amp;sid=819&amp;ppid=80741&amp;vpid=202967413&amp;ct=offers" TargetMode="External"/><Relationship Id="rId92" Type="http://schemas.openxmlformats.org/officeDocument/2006/relationships/hyperlink" Target="https://octopart.com/click/track?ak=&amp;sig=01f57f4&amp;sid=2401&amp;ppid=80741&amp;vpid=77864500&amp;ct=offers" TargetMode="External"/><Relationship Id="rId93" Type="http://schemas.openxmlformats.org/officeDocument/2006/relationships/hyperlink" Target="https://octopart.com/click/track?c=1&amp;ak=&amp;sig=0463ab1&amp;sid=2402&amp;ppid=80741&amp;vpid=182269899&amp;ct=offers" TargetMode="External"/><Relationship Id="rId94" Type="http://schemas.openxmlformats.org/officeDocument/2006/relationships/hyperlink" Target="https://octopart.com/click/track?c=1&amp;ak=&amp;sig=01dd9a0&amp;sid=10022&amp;ppid=80741&amp;vpid=265577701&amp;ct=offers" TargetMode="External"/><Relationship Id="rId95" Type="http://schemas.openxmlformats.org/officeDocument/2006/relationships/hyperlink" Target="http://datasheet.octopart.com/ABM3B-8.000MHZ-B2-T-Abracon-datasheet-12510201.pdf" TargetMode="External"/><Relationship Id="rId96" Type="http://schemas.openxmlformats.org/officeDocument/2006/relationships/hyperlink" Target="https://octopart.com/click/track?ak=&amp;sig=018f07c&amp;sid=459&amp;ppid=12808281&amp;vpid=34208371&amp;ct=offers" TargetMode="External"/><Relationship Id="rId97" Type="http://schemas.openxmlformats.org/officeDocument/2006/relationships/hyperlink" Target="https://octopart.com/click/track?ak=&amp;sig=0ba9978&amp;sid=11744&amp;ppid=12808281&amp;vpid=183071785&amp;ct=offers" TargetMode="External"/><Relationship Id="rId98" Type="http://schemas.openxmlformats.org/officeDocument/2006/relationships/hyperlink" Target="https://octopart.com/click/track?ak=&amp;sig=06e95d0&amp;sid=2401&amp;ppid=12808281&amp;vpid=37714686&amp;ct=offers" TargetMode="External"/><Relationship Id="rId99" Type="http://schemas.openxmlformats.org/officeDocument/2006/relationships/hyperlink" Target="https://octopart.com/click/track?c=1&amp;ak=&amp;sig=0975381&amp;sid=2402&amp;ppid=12808281&amp;vpid=294492347&amp;ct=offers" TargetMode="External"/><Relationship Id="rId100" Type="http://schemas.openxmlformats.org/officeDocument/2006/relationships/hyperlink" Target="https://octopart.com/click/track?ak=&amp;sig=0c362db&amp;sid=10022&amp;ppid=12808281&amp;vpid=500992985&amp;ct=offers" TargetMode="External"/><Relationship Id="rId101" Type="http://schemas.openxmlformats.org/officeDocument/2006/relationships/vmlDrawing" Target="../drawings/vmlDrawing1.vml"/><Relationship Id="rId10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  <col min="14" max="14" width="9.140625" outlineLevel="1"/>
    <col min="15" max="15" width="9.140625" outlineLevel="2"/>
    <col min="16" max="16" width="9.140625" outlineLevel="2"/>
    <col min="17" max="17" width="15.7109375" customWidth="1"/>
    <col min="18" max="18" width="15.7109375" customWidth="1" outlineLevel="2"/>
    <col min="19" max="19" width="9.140625" outlineLevel="1"/>
    <col min="20" max="20" width="9.140625" outlineLevel="2"/>
    <col min="21" max="21" width="9.140625" outlineLevel="2"/>
    <col min="22" max="22" width="15.7109375" customWidth="1"/>
    <col min="23" max="23" width="15.7109375" customWidth="1" outlineLevel="2"/>
    <col min="24" max="24" width="9.140625" outlineLevel="1"/>
    <col min="25" max="25" width="9.140625" outlineLevel="2"/>
    <col min="26" max="26" width="9.140625" outlineLevel="2"/>
    <col min="27" max="27" width="15.7109375" customWidth="1"/>
    <col min="28" max="28" width="15.7109375" customWidth="1" outlineLevel="2"/>
    <col min="29" max="29" width="9.140625" outlineLevel="1"/>
    <col min="30" max="30" width="9.140625" outlineLevel="2"/>
    <col min="31" max="31" width="9.140625" outlineLevel="2"/>
    <col min="32" max="32" width="15.7109375" customWidth="1"/>
    <col min="33" max="33" width="15.7109375" customWidth="1" outlineLevel="2"/>
  </cols>
  <sheetData>
    <row r="1" spans="1:33">
      <c r="A1" s="2" t="s">
        <v>118</v>
      </c>
      <c r="B1" s="3" t="s">
        <v>119</v>
      </c>
      <c r="G1" s="4" t="s">
        <v>124</v>
      </c>
      <c r="H1" s="4">
        <v>100</v>
      </c>
    </row>
    <row r="2" spans="1:33">
      <c r="A2" s="2" t="s">
        <v>120</v>
      </c>
      <c r="B2" s="3" t="s">
        <v>121</v>
      </c>
      <c r="G2" s="2" t="s">
        <v>126</v>
      </c>
      <c r="H2" s="5">
        <f>TotalCost/BoardQty</f>
        <v>0</v>
      </c>
    </row>
    <row r="3" spans="1:33">
      <c r="A3" s="2" t="s">
        <v>122</v>
      </c>
      <c r="B3" s="3" t="s">
        <v>123</v>
      </c>
      <c r="G3" s="2" t="s">
        <v>125</v>
      </c>
      <c r="H3" s="6">
        <f>SUM(H7:H39)</f>
        <v>0</v>
      </c>
      <c r="L3" s="6">
        <f>SUM(L7:L39)</f>
        <v>0</v>
      </c>
      <c r="M3" s="7">
        <f>(COUNTA(L7:L39)&amp;" of "&amp;ROWS(L7:L39)&amp;" parts found"</f>
        <v>0</v>
      </c>
      <c r="Q3" s="6">
        <f>SUM(Q7:Q39)</f>
        <v>0</v>
      </c>
      <c r="R3" s="7">
        <f>(COUNTA(Q7:Q39)&amp;" of "&amp;ROWS(Q7:Q39)&amp;" parts found"</f>
        <v>0</v>
      </c>
      <c r="V3" s="6">
        <f>SUM(V7:V39)</f>
        <v>0</v>
      </c>
      <c r="W3" s="7">
        <f>(COUNTA(V7:V39)&amp;" of "&amp;ROWS(V7:V39)&amp;" parts found"</f>
        <v>0</v>
      </c>
      <c r="AA3" s="6">
        <f>SUM(AA7:AA39)</f>
        <v>0</v>
      </c>
      <c r="AB3" s="7">
        <f>(COUNTA(AA7:AA39)&amp;" of "&amp;ROWS(AA7:AA39)&amp;" parts found"</f>
        <v>0</v>
      </c>
      <c r="AF3" s="6">
        <f>SUM(AF7:AF39)</f>
        <v>0</v>
      </c>
      <c r="AG3" s="7">
        <f>(COUNTA(AF7:AF39)&amp;" of "&amp;ROWS(AF7:AF39)&amp;" parts found"</f>
        <v>0</v>
      </c>
    </row>
    <row r="4" spans="1:33">
      <c r="A4" s="2" t="s">
        <v>127</v>
      </c>
      <c r="B4" s="3" t="s">
        <v>128</v>
      </c>
    </row>
    <row r="5" spans="1:33">
      <c r="A5" s="8" t="s">
        <v>0</v>
      </c>
      <c r="B5" s="8"/>
      <c r="C5" s="8"/>
      <c r="D5" s="8"/>
      <c r="E5" s="8"/>
      <c r="F5" s="8"/>
      <c r="G5" s="8"/>
      <c r="H5" s="8"/>
      <c r="I5" s="9" t="s">
        <v>129</v>
      </c>
      <c r="J5" s="9"/>
      <c r="K5" s="9"/>
      <c r="L5" s="9"/>
      <c r="M5" s="9"/>
      <c r="N5" s="10" t="s">
        <v>148</v>
      </c>
      <c r="O5" s="10"/>
      <c r="P5" s="10"/>
      <c r="Q5" s="10"/>
      <c r="R5" s="10"/>
      <c r="S5" s="11" t="s">
        <v>165</v>
      </c>
      <c r="T5" s="11"/>
      <c r="U5" s="11"/>
      <c r="V5" s="11"/>
      <c r="W5" s="11"/>
      <c r="X5" s="12" t="s">
        <v>178</v>
      </c>
      <c r="Y5" s="12"/>
      <c r="Z5" s="12"/>
      <c r="AA5" s="12"/>
      <c r="AB5" s="12"/>
      <c r="AC5" s="13" t="s">
        <v>195</v>
      </c>
      <c r="AD5" s="13"/>
      <c r="AE5" s="13"/>
      <c r="AF5" s="13"/>
      <c r="AG5" s="13"/>
    </row>
    <row r="6" spans="1:33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130</v>
      </c>
      <c r="J6" s="14" t="s">
        <v>131</v>
      </c>
      <c r="K6" s="14" t="s">
        <v>7</v>
      </c>
      <c r="L6" s="14" t="s">
        <v>8</v>
      </c>
      <c r="M6" s="14" t="s">
        <v>132</v>
      </c>
      <c r="N6" s="14" t="s">
        <v>130</v>
      </c>
      <c r="O6" s="14" t="s">
        <v>131</v>
      </c>
      <c r="P6" s="14" t="s">
        <v>7</v>
      </c>
      <c r="Q6" s="14" t="s">
        <v>8</v>
      </c>
      <c r="R6" s="14" t="s">
        <v>132</v>
      </c>
      <c r="S6" s="14" t="s">
        <v>130</v>
      </c>
      <c r="T6" s="14" t="s">
        <v>131</v>
      </c>
      <c r="U6" s="14" t="s">
        <v>7</v>
      </c>
      <c r="V6" s="14" t="s">
        <v>8</v>
      </c>
      <c r="W6" s="14" t="s">
        <v>132</v>
      </c>
      <c r="X6" s="14" t="s">
        <v>130</v>
      </c>
      <c r="Y6" s="14" t="s">
        <v>131</v>
      </c>
      <c r="Z6" s="14" t="s">
        <v>7</v>
      </c>
      <c r="AA6" s="14" t="s">
        <v>8</v>
      </c>
      <c r="AB6" s="14" t="s">
        <v>132</v>
      </c>
      <c r="AC6" s="14" t="s">
        <v>130</v>
      </c>
      <c r="AD6" s="14" t="s">
        <v>131</v>
      </c>
      <c r="AE6" s="14" t="s">
        <v>7</v>
      </c>
      <c r="AF6" s="14" t="s">
        <v>8</v>
      </c>
      <c r="AG6" s="14" t="s">
        <v>132</v>
      </c>
    </row>
    <row r="7" spans="1:33">
      <c r="A7" s="15" t="s">
        <v>9</v>
      </c>
      <c r="B7" s="15" t="s">
        <v>10</v>
      </c>
      <c r="C7" s="15" t="s">
        <v>11</v>
      </c>
      <c r="D7" s="15" t="s">
        <v>12</v>
      </c>
      <c r="E7" s="15" t="s">
        <v>13</v>
      </c>
      <c r="F7" s="15">
        <f>BoardQty*1</f>
        <v>0</v>
      </c>
      <c r="G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7" s="16">
        <f>iferror(F7*G7,"")</f>
        <v>0</v>
      </c>
      <c r="I7" s="15">
        <v>185307</v>
      </c>
      <c r="K7" s="16">
        <f>iferror(lookup(if(J7="",F7,J7),{0,1,10,100,500,1000,5000,10000},{0.0,0.15000000000000002,0.141,0.0868,0.07182,0.06284,0.05387,0.05237}),"")</f>
        <v>0</v>
      </c>
      <c r="L7" s="16">
        <f>iferror(if(J7="",F7,J7)*K7,"")</f>
        <v>0</v>
      </c>
      <c r="M7" s="17" t="s">
        <v>133</v>
      </c>
      <c r="N7" s="15">
        <v>283222</v>
      </c>
      <c r="R7" s="17" t="s">
        <v>149</v>
      </c>
      <c r="X7" s="15">
        <v>2317</v>
      </c>
      <c r="Z7" s="16">
        <f>iferror(lookup(if(Y7="",F7,Y7),{0,1,10,25,50,100,250,500,1000},{0.0,0.254,0.219,0.192,0.171,0.166,0.152,0.142,0.125}),"")</f>
        <v>0</v>
      </c>
      <c r="AA7" s="16">
        <f>iferror(if(Y7="",F7,Y7)*Z7,"")</f>
        <v>0</v>
      </c>
      <c r="AB7" s="17" t="s">
        <v>179</v>
      </c>
      <c r="AC7" s="15">
        <v>8</v>
      </c>
      <c r="AG7" s="17" t="s">
        <v>196</v>
      </c>
    </row>
    <row r="8" spans="1:33">
      <c r="A8" s="15" t="s">
        <v>14</v>
      </c>
      <c r="B8" s="15" t="s">
        <v>15</v>
      </c>
      <c r="C8" s="15" t="s">
        <v>11</v>
      </c>
      <c r="D8" s="15" t="s">
        <v>16</v>
      </c>
      <c r="E8" s="15" t="s">
        <v>17</v>
      </c>
      <c r="F8" s="15">
        <f>BoardQty*1</f>
        <v>0</v>
      </c>
      <c r="G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8" s="16">
        <f>iferror(F8*G8,"")</f>
        <v>0</v>
      </c>
    </row>
    <row r="9" spans="1:33">
      <c r="A9" s="15" t="s">
        <v>18</v>
      </c>
      <c r="B9" s="15" t="s">
        <v>19</v>
      </c>
      <c r="C9" s="15" t="s">
        <v>11</v>
      </c>
      <c r="D9" s="15" t="s">
        <v>20</v>
      </c>
      <c r="E9" s="15" t="s">
        <v>21</v>
      </c>
      <c r="F9" s="15">
        <f>BoardQty*2</f>
        <v>0</v>
      </c>
      <c r="G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9" s="16">
        <f>iferror(F9*G9,"")</f>
        <v>0</v>
      </c>
      <c r="I9" s="18" t="s">
        <v>135</v>
      </c>
      <c r="K9" s="16">
        <f>iferror(lookup(if(J9="",F9,J9),{0,1,10,100,500,1000,2000,5000,10000,25000},{0.0,0.5,0.352,0.232,0.17182,0.12699,0.11952,0.11204999999999998,0.10458,0.10158999999999999}),"")</f>
        <v>0</v>
      </c>
      <c r="L9" s="16">
        <f>iferror(if(J9="",F9,J9)*K9,"")</f>
        <v>0</v>
      </c>
      <c r="M9" s="17" t="s">
        <v>134</v>
      </c>
      <c r="N9" s="15">
        <v>15300</v>
      </c>
      <c r="R9" s="17" t="s">
        <v>150</v>
      </c>
      <c r="S9" s="15">
        <v>12308</v>
      </c>
      <c r="U9" s="16">
        <f>iferror(lookup(if(T9="",F9,T9),{0,1,10,50,100,1000,10000},{0.0,0.52,0.37,0.37,0.243,0.126,0.10400000000000001}),"")</f>
        <v>0</v>
      </c>
      <c r="V9" s="16">
        <f>iferror(if(T9="",F9,T9)*U9,"")</f>
        <v>0</v>
      </c>
      <c r="W9" s="17" t="s">
        <v>166</v>
      </c>
      <c r="X9" s="15">
        <v>592</v>
      </c>
      <c r="Z9" s="16">
        <f>iferror(lookup(if(Y9="",F9,Y9),{0,1,10,25,50,100,250,500,1000,2000,4000,5000,6000,10000,20000,30000,50000},{0.0,0.656,0.468,0.414,0.35999999999999993,0.306,0.268,0.228,0.116,0.113,0.11,0.11,0.108,0.096,0.085,0.079,0.072}),"")</f>
        <v>0</v>
      </c>
      <c r="AA9" s="16">
        <f>iferror(if(Y9="",F9,Y9)*Z9,"")</f>
        <v>0</v>
      </c>
      <c r="AB9" s="17" t="s">
        <v>180</v>
      </c>
      <c r="AC9" s="15">
        <v>29970</v>
      </c>
      <c r="AG9" s="17" t="s">
        <v>197</v>
      </c>
    </row>
    <row r="10" spans="1:33">
      <c r="A10" s="15" t="s">
        <v>22</v>
      </c>
      <c r="B10" s="15" t="s">
        <v>23</v>
      </c>
      <c r="C10" s="15" t="s">
        <v>11</v>
      </c>
      <c r="D10" s="15" t="s">
        <v>24</v>
      </c>
      <c r="E10" s="15" t="s">
        <v>11</v>
      </c>
      <c r="F10" s="15">
        <f>BoardQty*7</f>
        <v>0</v>
      </c>
      <c r="G1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0" s="16">
        <f>iferror(F10*G10,"")</f>
        <v>0</v>
      </c>
    </row>
    <row r="11" spans="1:33">
      <c r="A11" s="15" t="s">
        <v>25</v>
      </c>
      <c r="B11" s="15" t="s">
        <v>26</v>
      </c>
      <c r="C11" s="15" t="s">
        <v>11</v>
      </c>
      <c r="D11" s="15" t="s">
        <v>24</v>
      </c>
      <c r="E11" s="15" t="s">
        <v>11</v>
      </c>
      <c r="F11" s="15">
        <f>BoardQty*1</f>
        <v>0</v>
      </c>
      <c r="G1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1" s="16">
        <f>iferror(F11*G11,"")</f>
        <v>0</v>
      </c>
    </row>
    <row r="12" spans="1:33">
      <c r="A12" s="15" t="s">
        <v>27</v>
      </c>
      <c r="B12" s="15" t="s">
        <v>28</v>
      </c>
      <c r="C12" s="15" t="s">
        <v>11</v>
      </c>
      <c r="D12" s="15" t="s">
        <v>24</v>
      </c>
      <c r="E12" s="15" t="s">
        <v>11</v>
      </c>
      <c r="F12" s="15">
        <f>BoardQty*1</f>
        <v>0</v>
      </c>
      <c r="G1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2" s="16">
        <f>iferror(F12*G12,"")</f>
        <v>0</v>
      </c>
    </row>
    <row r="13" spans="1:33">
      <c r="A13" s="15" t="s">
        <v>29</v>
      </c>
      <c r="B13" s="15" t="s">
        <v>30</v>
      </c>
      <c r="C13" s="15" t="s">
        <v>11</v>
      </c>
      <c r="D13" s="15" t="s">
        <v>24</v>
      </c>
      <c r="E13" s="15" t="s">
        <v>11</v>
      </c>
      <c r="F13" s="15">
        <f>BoardQty*11</f>
        <v>0</v>
      </c>
      <c r="G1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3" s="16">
        <f>iferror(F13*G13,"")</f>
        <v>0</v>
      </c>
    </row>
    <row r="14" spans="1:33">
      <c r="A14" s="15" t="s">
        <v>31</v>
      </c>
      <c r="B14" s="15" t="s">
        <v>32</v>
      </c>
      <c r="C14" s="15" t="s">
        <v>11</v>
      </c>
      <c r="D14" s="15" t="s">
        <v>33</v>
      </c>
      <c r="E14" s="15" t="s">
        <v>34</v>
      </c>
      <c r="F14" s="15">
        <f>BoardQty*1</f>
        <v>0</v>
      </c>
      <c r="G1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4" s="16">
        <f>iferror(F14*G14,"")</f>
        <v>0</v>
      </c>
    </row>
    <row r="15" spans="1:33">
      <c r="A15" s="15" t="s">
        <v>35</v>
      </c>
      <c r="B15" s="15" t="s">
        <v>36</v>
      </c>
      <c r="C15" s="15" t="s">
        <v>11</v>
      </c>
      <c r="D15" s="15" t="s">
        <v>37</v>
      </c>
      <c r="E15" s="15" t="s">
        <v>38</v>
      </c>
      <c r="F15" s="15">
        <f>BoardQty*1</f>
        <v>0</v>
      </c>
      <c r="G1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5" s="16">
        <f>iferror(F15*G15,"")</f>
        <v>0</v>
      </c>
      <c r="N15" s="18" t="s">
        <v>135</v>
      </c>
      <c r="R15" s="17" t="s">
        <v>151</v>
      </c>
      <c r="X15" s="15">
        <v>32</v>
      </c>
      <c r="Z15" s="16">
        <f>iferror(lookup(if(Y15="",F15,Y15),{0,1,5,10,100,500,1000,2500,10000,25000},{0.0,0.081,0.081,0.081,0.081,0.081,0.081,0.081,0.081,0.081}),"")</f>
        <v>0</v>
      </c>
      <c r="AA15" s="16">
        <f>iferror(if(Y15="",F15,Y15)*Z15,"")</f>
        <v>0</v>
      </c>
      <c r="AB15" s="17" t="s">
        <v>181</v>
      </c>
      <c r="AC15" s="15">
        <v>7577</v>
      </c>
      <c r="AG15" s="17" t="s">
        <v>198</v>
      </c>
    </row>
    <row r="16" spans="1:33">
      <c r="A16" s="15" t="s">
        <v>39</v>
      </c>
      <c r="B16" s="15" t="s">
        <v>40</v>
      </c>
      <c r="C16" s="15" t="s">
        <v>11</v>
      </c>
      <c r="D16" s="15" t="s">
        <v>41</v>
      </c>
      <c r="E16" s="15" t="s">
        <v>40</v>
      </c>
      <c r="F16" s="15">
        <f>BoardQty*2</f>
        <v>0</v>
      </c>
      <c r="G1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6" s="16">
        <f>iferror(F16*G16,"")</f>
        <v>0</v>
      </c>
      <c r="I16" s="15">
        <v>177000</v>
      </c>
      <c r="K16" s="16">
        <f>iferror(lookup(if(J16="",F16,J16),{0,1,10,100,500,1000,3000,6000,15000,30000,75000,150000},{0.0,0.17999999999999997,0.162,0.08839999999999999,0.05438,0.03708,0.030600000000000002,0.0276,0.024,0.0216,0.0192,0.0168}),"")</f>
        <v>0</v>
      </c>
      <c r="L16" s="16">
        <f>iferror(if(J16="",F16,J16)*K16,"")</f>
        <v>0</v>
      </c>
      <c r="M16" s="17" t="s">
        <v>136</v>
      </c>
      <c r="N16" s="18" t="s">
        <v>135</v>
      </c>
      <c r="R16" s="17" t="s">
        <v>152</v>
      </c>
      <c r="S16" s="15">
        <v>184322</v>
      </c>
      <c r="U16" s="16">
        <f>iferror(lookup(if(T16="",F16,T16),{0,1,10,50,100,1000,10000},{0.0,0.17,0.163,0.163,0.058,0.038,0.026000000000000002}),"")</f>
        <v>0</v>
      </c>
      <c r="V16" s="16">
        <f>iferror(if(T16="",F16,T16)*U16,"")</f>
        <v>0</v>
      </c>
      <c r="W16" s="17" t="s">
        <v>167</v>
      </c>
      <c r="X16" s="15">
        <v>3821</v>
      </c>
      <c r="Z16" s="16">
        <f>iferror(lookup(if(Y16="",F16,Y16),{0,1,10,25,50,100,250,500,1000,3000,6000,12000,18000,30000},{0.0,0.422,0.166,0.131,0.096,0.062,0.056,0.049,0.043,0.016,0.016,0.015,0.014,0.014}),"")</f>
        <v>0</v>
      </c>
      <c r="AA16" s="16">
        <f>iferror(if(Y16="",F16,Y16)*Z16,"")</f>
        <v>0</v>
      </c>
      <c r="AB16" s="17" t="s">
        <v>182</v>
      </c>
      <c r="AC16" s="15">
        <v>2400</v>
      </c>
      <c r="AG16" s="17" t="s">
        <v>199</v>
      </c>
    </row>
    <row r="17" spans="1:33">
      <c r="A17" s="15" t="s">
        <v>42</v>
      </c>
      <c r="B17" s="15" t="s">
        <v>43</v>
      </c>
      <c r="C17" s="15" t="s">
        <v>11</v>
      </c>
      <c r="D17" s="15" t="s">
        <v>44</v>
      </c>
      <c r="E17" s="15" t="s">
        <v>45</v>
      </c>
      <c r="F17" s="15">
        <f>BoardQty*1</f>
        <v>0</v>
      </c>
      <c r="G1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7" s="16">
        <f>iferror(F17*G17,"")</f>
        <v>0</v>
      </c>
      <c r="I17" s="15">
        <v>3949</v>
      </c>
      <c r="K17" s="16">
        <f>iferror(lookup(if(J17="",F17,J17),{0,1,25,100},{0.0,2.07,1.8952,1.7201}),"")</f>
        <v>0</v>
      </c>
      <c r="L17" s="16">
        <f>iferror(if(J17="",F17,J17)*K17,"")</f>
        <v>0</v>
      </c>
      <c r="M17" s="17" t="s">
        <v>137</v>
      </c>
      <c r="N17" s="15">
        <v>815</v>
      </c>
      <c r="R17" s="17" t="s">
        <v>153</v>
      </c>
      <c r="S17" s="15">
        <v>28701</v>
      </c>
      <c r="U17" s="16">
        <f>iferror(lookup(if(T17="",F17,T17),{0,1,10,50,100,1000,10000},{0.0,2.07,2.04,1.89,1.72,1.72,1.72}),"")</f>
        <v>0</v>
      </c>
      <c r="V17" s="16">
        <f>iferror(if(T17="",F17,T17)*U17,"")</f>
        <v>0</v>
      </c>
      <c r="W17" s="17" t="s">
        <v>168</v>
      </c>
      <c r="X17" s="15">
        <v>815</v>
      </c>
      <c r="Z17" s="16">
        <f>iferror(lookup(if(Y17="",F17,Y17),{0,1,25,100,250},{0.0,2.07,1.89,1.72,1.72}),"")</f>
        <v>0</v>
      </c>
      <c r="AA17" s="16">
        <f>iferror(if(Y17="",F17,Y17)*Z17,"")</f>
        <v>0</v>
      </c>
      <c r="AB17" s="17" t="s">
        <v>183</v>
      </c>
      <c r="AC17" s="15">
        <v>962</v>
      </c>
      <c r="AG17" s="17" t="s">
        <v>200</v>
      </c>
    </row>
    <row r="18" spans="1:33">
      <c r="A18" s="15" t="s">
        <v>46</v>
      </c>
      <c r="B18" s="15" t="s">
        <v>47</v>
      </c>
      <c r="C18" s="15" t="s">
        <v>48</v>
      </c>
      <c r="D18" s="15" t="s">
        <v>49</v>
      </c>
      <c r="E18" s="15" t="s">
        <v>47</v>
      </c>
      <c r="F18" s="15">
        <f>BoardQty*1</f>
        <v>0</v>
      </c>
      <c r="G1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8" s="16">
        <f>iferror(F18*G18,"")</f>
        <v>0</v>
      </c>
      <c r="N18" s="15">
        <v>630</v>
      </c>
      <c r="R18" s="17" t="s">
        <v>154</v>
      </c>
      <c r="X18" s="15">
        <v>370</v>
      </c>
      <c r="Z18" s="16">
        <f>iferror(lookup(if(Y18="",F18,Y18),{0,1,50,100,250,500,1000},{0.0,1.5,0.696,0.637,0.576,0.535,0.498}),"")</f>
        <v>0</v>
      </c>
      <c r="AA18" s="16">
        <f>iferror(if(Y18="",F18,Y18)*Z18,"")</f>
        <v>0</v>
      </c>
      <c r="AB18" s="17" t="s">
        <v>184</v>
      </c>
    </row>
    <row r="19" spans="1:33">
      <c r="A19" s="15" t="s">
        <v>50</v>
      </c>
      <c r="B19" s="15" t="s">
        <v>51</v>
      </c>
      <c r="C19" s="15" t="s">
        <v>11</v>
      </c>
      <c r="D19" s="15" t="s">
        <v>52</v>
      </c>
      <c r="E19" s="15" t="s">
        <v>53</v>
      </c>
      <c r="F19" s="15">
        <f>BoardQty*1</f>
        <v>0</v>
      </c>
      <c r="G1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19" s="16">
        <f>iferror(F19*G19,"")</f>
        <v>0</v>
      </c>
      <c r="I19" s="15">
        <v>247436</v>
      </c>
      <c r="K19" s="16">
        <f>iferror(lookup(if(J19="",F19,J19),{0,1,10,100,500,1000,5000,10000},{0.0,0.19,0.181,0.1115,0.09228,0.08075,0.06921,0.06729}),"")</f>
        <v>0</v>
      </c>
      <c r="L19" s="16">
        <f>iferror(if(J19="",F19,J19)*K19,"")</f>
        <v>0</v>
      </c>
      <c r="M19" s="17" t="s">
        <v>138</v>
      </c>
      <c r="N19" s="15">
        <v>131490</v>
      </c>
      <c r="R19" s="17" t="s">
        <v>155</v>
      </c>
      <c r="X19" s="15">
        <v>2679</v>
      </c>
      <c r="Z19" s="16">
        <f>iferror(lookup(if(Y19="",F19,Y19),{0,1,10,25,50,100,250,500,1000},{0.0,0.348,0.30000000000000004,0.263,0.234,0.228,0.20800000000000002,0.194,0.172}),"")</f>
        <v>0</v>
      </c>
      <c r="AA19" s="16">
        <f>iferror(if(Y19="",F19,Y19)*Z19,"")</f>
        <v>0</v>
      </c>
      <c r="AB19" s="17" t="s">
        <v>185</v>
      </c>
      <c r="AC19" s="15">
        <v>7645</v>
      </c>
      <c r="AG19" s="17" t="s">
        <v>201</v>
      </c>
    </row>
    <row r="20" spans="1:33">
      <c r="A20" s="15" t="s">
        <v>54</v>
      </c>
      <c r="B20" s="15" t="s">
        <v>55</v>
      </c>
      <c r="C20" s="15" t="s">
        <v>11</v>
      </c>
      <c r="D20" s="15" t="s">
        <v>56</v>
      </c>
      <c r="E20" s="15" t="s">
        <v>57</v>
      </c>
      <c r="F20" s="15">
        <f>BoardQty*1</f>
        <v>0</v>
      </c>
      <c r="G2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0" s="16">
        <f>iferror(F20*G20,"")</f>
        <v>0</v>
      </c>
      <c r="I20" s="15">
        <v>147305</v>
      </c>
      <c r="K20" s="16">
        <f>iferror(lookup(if(J20="",F20,J20),{0,1,10,100,500,1000,5000,10000},{0.0,0.25,0.237,0.16439999999999996,0.13914,0.11383,0.10119,0.0917}),"")</f>
        <v>0</v>
      </c>
      <c r="L20" s="16">
        <f>iferror(if(J20="",F20,J20)*K20,"")</f>
        <v>0</v>
      </c>
      <c r="M20" s="17" t="s">
        <v>139</v>
      </c>
      <c r="N20" s="15">
        <v>65264</v>
      </c>
      <c r="R20" s="17" t="s">
        <v>156</v>
      </c>
      <c r="X20" s="15">
        <v>430</v>
      </c>
      <c r="Z20" s="16">
        <f>iferror(lookup(if(Y20="",F20,Y20),{0,1,10,100,500,1000,5000,10000},{0.0,0.245,0.232,0.197,0.175,0.171,0.139,0.133}),"")</f>
        <v>0</v>
      </c>
      <c r="AA20" s="16">
        <f>iferror(if(Y20="",F20,Y20)*Z20,"")</f>
        <v>0</v>
      </c>
      <c r="AB20" s="17" t="s">
        <v>186</v>
      </c>
      <c r="AC20" s="15">
        <v>3000</v>
      </c>
      <c r="AG20" s="17" t="s">
        <v>202</v>
      </c>
    </row>
    <row r="21" spans="1:33">
      <c r="A21" s="15" t="s">
        <v>58</v>
      </c>
      <c r="B21" s="15" t="s">
        <v>59</v>
      </c>
      <c r="C21" s="15" t="s">
        <v>11</v>
      </c>
      <c r="D21" s="15" t="s">
        <v>60</v>
      </c>
      <c r="E21" s="15" t="s">
        <v>61</v>
      </c>
      <c r="F21" s="15">
        <f>BoardQty*16</f>
        <v>0</v>
      </c>
      <c r="G2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1" s="16">
        <f>iferror(F21*G21,"")</f>
        <v>0</v>
      </c>
      <c r="N21" s="18" t="s">
        <v>135</v>
      </c>
      <c r="R21" s="17" t="s">
        <v>157</v>
      </c>
      <c r="S21" s="15">
        <v>140000</v>
      </c>
      <c r="U21" s="16">
        <f>iferror(lookup(if(T21="",F21,T21),{0,1,10,50,100,1000,10000},{0.0,0.12,0.101,0.101,0.046,0.033,0.024}),"")</f>
        <v>0</v>
      </c>
      <c r="V21" s="16">
        <f>iferror(if(T21="",F21,T21)*U21,"")</f>
        <v>0</v>
      </c>
      <c r="W21" s="17" t="s">
        <v>169</v>
      </c>
      <c r="X21" s="18" t="s">
        <v>135</v>
      </c>
      <c r="AB21" s="17" t="s">
        <v>187</v>
      </c>
    </row>
    <row r="22" spans="1:33">
      <c r="A22" s="15" t="s">
        <v>62</v>
      </c>
      <c r="B22" s="15" t="s">
        <v>63</v>
      </c>
      <c r="C22" s="15" t="s">
        <v>11</v>
      </c>
      <c r="D22" s="15" t="s">
        <v>64</v>
      </c>
      <c r="E22" s="15" t="s">
        <v>11</v>
      </c>
      <c r="F22" s="15">
        <f>BoardQty*4</f>
        <v>0</v>
      </c>
      <c r="G2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2" s="16">
        <f>iferror(F22*G22,"")</f>
        <v>0</v>
      </c>
    </row>
    <row r="23" spans="1:33">
      <c r="A23" s="15" t="s">
        <v>65</v>
      </c>
      <c r="B23" s="15" t="s">
        <v>66</v>
      </c>
      <c r="C23" s="15" t="s">
        <v>11</v>
      </c>
      <c r="D23" s="15" t="s">
        <v>67</v>
      </c>
      <c r="E23" s="15" t="s">
        <v>68</v>
      </c>
      <c r="F23" s="15">
        <f>BoardQty*1</f>
        <v>0</v>
      </c>
      <c r="G2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3" s="16">
        <f>iferror(F23*G23,"")</f>
        <v>0</v>
      </c>
      <c r="I23" s="15">
        <v>30790</v>
      </c>
      <c r="K23" s="16">
        <f>iferror(lookup(if(J23="",F23,J23),{0,1,10,100,500,1000,5000,10000},{0.0,0.74,0.6970000000000001,0.5345,0.4648,0.38346,0.33698,0.31374}),"")</f>
        <v>0</v>
      </c>
      <c r="L23" s="16">
        <f>iferror(if(J23="",F23,J23)*K23,"")</f>
        <v>0</v>
      </c>
      <c r="M23" s="17" t="s">
        <v>140</v>
      </c>
      <c r="S23" s="15">
        <v>11393</v>
      </c>
      <c r="U23" s="16">
        <f>iferror(lookup(if(T23="",F23,T23),{0,1,10,50,100,1000,10000},{0.0,0.75,0.558,0.558,0.535,0.384,0.314}),"")</f>
        <v>0</v>
      </c>
      <c r="V23" s="16">
        <f>iferror(if(T23="",F23,T23)*U23,"")</f>
        <v>0</v>
      </c>
      <c r="W23" s="17" t="s">
        <v>170</v>
      </c>
      <c r="AC23" s="15">
        <v>500</v>
      </c>
      <c r="AG23" s="17" t="s">
        <v>203</v>
      </c>
    </row>
    <row r="24" spans="1:33">
      <c r="A24" s="15" t="s">
        <v>69</v>
      </c>
      <c r="B24" s="15" t="s">
        <v>70</v>
      </c>
      <c r="C24" s="15" t="s">
        <v>11</v>
      </c>
      <c r="D24" s="15" t="s">
        <v>71</v>
      </c>
      <c r="E24" s="15" t="s">
        <v>70</v>
      </c>
      <c r="F24" s="15">
        <f>BoardQty*1</f>
        <v>0</v>
      </c>
      <c r="G2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4" s="16">
        <f>iferror(F24*G24,"")</f>
        <v>0</v>
      </c>
      <c r="I24" s="15">
        <v>4765088</v>
      </c>
      <c r="K24" s="16">
        <f>iferror(lookup(if(J24="",F24,J24),{0,1,10,100,500,1000,3000,6000,15000,30000,75000,150000},{0.0,0.15000000000000002,0.134,0.0729,0.04486,0.03059,0.02525,0.02277,0.0198,0.01782,0.01584,0.01317}),"")</f>
        <v>0</v>
      </c>
      <c r="L24" s="16">
        <f>iferror(if(J24="",F24,J24)*K24,"")</f>
        <v>0</v>
      </c>
      <c r="M24" s="17" t="s">
        <v>141</v>
      </c>
      <c r="N24" s="18" t="s">
        <v>135</v>
      </c>
      <c r="R24" s="17" t="s">
        <v>158</v>
      </c>
      <c r="S24" s="15">
        <v>552960</v>
      </c>
      <c r="U24" s="16">
        <f>iferror(lookup(if(T24="",F24,T24),{0,1,10,50,100,1000,10000},{0.0,0.13,0.116,0.116,0.041,0.028,0.018}),"")</f>
        <v>0</v>
      </c>
      <c r="V24" s="16">
        <f>iferror(if(T24="",F24,T24)*U24,"")</f>
        <v>0</v>
      </c>
      <c r="W24" s="17" t="s">
        <v>171</v>
      </c>
      <c r="X24" s="15">
        <v>3133300</v>
      </c>
      <c r="Z24" s="16">
        <f>iferror(lookup(if(Y24="",F24,Y24),{0,1,5,25,50,100,250,500,1000,3000,6000,12000,18000,30000},{0.0,0.077,0.114,0.069,0.054,0.05,0.046,0.043,0.039999999999999994,0.039,0.036,0.035,0.034,0.033}),"")</f>
        <v>0</v>
      </c>
      <c r="AA24" s="16">
        <f>iferror(if(Y24="",F24,Y24)*Z24,"")</f>
        <v>0</v>
      </c>
      <c r="AB24" s="17" t="s">
        <v>188</v>
      </c>
      <c r="AC24" s="15">
        <v>6450</v>
      </c>
      <c r="AG24" s="17" t="s">
        <v>204</v>
      </c>
    </row>
    <row r="25" spans="1:33">
      <c r="A25" s="15" t="s">
        <v>72</v>
      </c>
      <c r="B25" s="15" t="s">
        <v>73</v>
      </c>
      <c r="C25" s="15" t="s">
        <v>11</v>
      </c>
      <c r="D25" s="15" t="s">
        <v>74</v>
      </c>
      <c r="E25" s="15" t="s">
        <v>11</v>
      </c>
      <c r="F25" s="15">
        <f>BoardQty*2</f>
        <v>0</v>
      </c>
      <c r="G2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5" s="16">
        <f>iferror(F25*G25,"")</f>
        <v>0</v>
      </c>
    </row>
    <row r="26" spans="1:33">
      <c r="A26" s="15" t="s">
        <v>75</v>
      </c>
      <c r="B26" s="15" t="s">
        <v>76</v>
      </c>
      <c r="C26" s="15" t="s">
        <v>11</v>
      </c>
      <c r="D26" s="15" t="s">
        <v>74</v>
      </c>
      <c r="E26" s="15" t="s">
        <v>11</v>
      </c>
      <c r="F26" s="15">
        <f>BoardQty*1</f>
        <v>0</v>
      </c>
      <c r="G2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6" s="16">
        <f>iferror(F26*G26,"")</f>
        <v>0</v>
      </c>
    </row>
    <row r="27" spans="1:33">
      <c r="A27" s="15" t="s">
        <v>77</v>
      </c>
      <c r="B27" s="15" t="s">
        <v>78</v>
      </c>
      <c r="C27" s="15" t="s">
        <v>11</v>
      </c>
      <c r="D27" s="15" t="s">
        <v>74</v>
      </c>
      <c r="E27" s="15" t="s">
        <v>11</v>
      </c>
      <c r="F27" s="15">
        <f>BoardQty*3</f>
        <v>0</v>
      </c>
      <c r="G2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7" s="16">
        <f>iferror(F27*G27,"")</f>
        <v>0</v>
      </c>
    </row>
    <row r="28" spans="1:33">
      <c r="A28" s="15" t="s">
        <v>79</v>
      </c>
      <c r="B28" s="15" t="s">
        <v>80</v>
      </c>
      <c r="C28" s="15" t="s">
        <v>11</v>
      </c>
      <c r="D28" s="15" t="s">
        <v>74</v>
      </c>
      <c r="E28" s="15" t="s">
        <v>11</v>
      </c>
      <c r="F28" s="15">
        <f>BoardQty*2</f>
        <v>0</v>
      </c>
      <c r="G2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8" s="16">
        <f>iferror(F28*G28,"")</f>
        <v>0</v>
      </c>
    </row>
    <row r="29" spans="1:33">
      <c r="A29" s="15" t="s">
        <v>81</v>
      </c>
      <c r="B29" s="15" t="s">
        <v>82</v>
      </c>
      <c r="C29" s="15" t="s">
        <v>11</v>
      </c>
      <c r="D29" s="15" t="s">
        <v>74</v>
      </c>
      <c r="E29" s="15" t="s">
        <v>11</v>
      </c>
      <c r="F29" s="15">
        <f>BoardQty*3</f>
        <v>0</v>
      </c>
      <c r="G2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29" s="16">
        <f>iferror(F29*G29,"")</f>
        <v>0</v>
      </c>
    </row>
    <row r="30" spans="1:33">
      <c r="A30" s="15" t="s">
        <v>83</v>
      </c>
      <c r="B30" s="15" t="s">
        <v>84</v>
      </c>
      <c r="C30" s="15" t="s">
        <v>11</v>
      </c>
      <c r="D30" s="15" t="s">
        <v>12</v>
      </c>
      <c r="E30" s="15" t="s">
        <v>13</v>
      </c>
      <c r="F30" s="15">
        <f>BoardQty*1</f>
        <v>0</v>
      </c>
      <c r="G3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0" s="16">
        <f>iferror(F30*G30,"")</f>
        <v>0</v>
      </c>
      <c r="I30" s="15">
        <v>185307</v>
      </c>
      <c r="K30" s="16">
        <f>iferror(lookup(if(J30="",F30,J30),{0,1,10,100,500,1000,5000,10000},{0.0,0.15000000000000002,0.141,0.0868,0.07182,0.06284,0.05387,0.05237}),"")</f>
        <v>0</v>
      </c>
      <c r="L30" s="16">
        <f>iferror(if(J30="",F30,J30)*K30,"")</f>
        <v>0</v>
      </c>
      <c r="M30" s="17" t="s">
        <v>133</v>
      </c>
      <c r="N30" s="15">
        <v>283222</v>
      </c>
      <c r="R30" s="17" t="s">
        <v>149</v>
      </c>
      <c r="X30" s="15">
        <v>2317</v>
      </c>
      <c r="Z30" s="16">
        <f>iferror(lookup(if(Y30="",F30,Y30),{0,1,10,25,50,100,250,500,1000},{0.0,0.254,0.219,0.192,0.171,0.166,0.152,0.142,0.125}),"")</f>
        <v>0</v>
      </c>
      <c r="AA30" s="16">
        <f>iferror(if(Y30="",F30,Y30)*Z30,"")</f>
        <v>0</v>
      </c>
      <c r="AB30" s="17" t="s">
        <v>179</v>
      </c>
      <c r="AC30" s="15">
        <v>8</v>
      </c>
      <c r="AG30" s="17" t="s">
        <v>196</v>
      </c>
    </row>
    <row r="31" spans="1:33">
      <c r="A31" s="15" t="s">
        <v>85</v>
      </c>
      <c r="B31" s="15" t="s">
        <v>86</v>
      </c>
      <c r="C31" s="15" t="s">
        <v>11</v>
      </c>
      <c r="D31" s="15" t="s">
        <v>87</v>
      </c>
      <c r="E31" s="15" t="s">
        <v>88</v>
      </c>
      <c r="F31" s="15">
        <f>BoardQty*2</f>
        <v>0</v>
      </c>
      <c r="G3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1" s="16">
        <f>iferror(F31*G31,"")</f>
        <v>0</v>
      </c>
      <c r="S31" s="15">
        <v>34428</v>
      </c>
      <c r="U31" s="16">
        <f>iferror(lookup(if(T31="",F31,T31),{0,1,10,50,100,1000,10000},{0.0,0.22,0.22,0.17999999999999997,0.15999999999999998,0.145,0.145}),"")</f>
        <v>0</v>
      </c>
      <c r="V31" s="16">
        <f>iferror(if(T31="",F31,T31)*U31,"")</f>
        <v>0</v>
      </c>
      <c r="W31" s="17" t="s">
        <v>172</v>
      </c>
      <c r="AC31" s="15">
        <v>4780</v>
      </c>
      <c r="AG31" s="17" t="s">
        <v>205</v>
      </c>
    </row>
    <row r="32" spans="1:33">
      <c r="A32" s="15" t="s">
        <v>89</v>
      </c>
      <c r="B32" s="15" t="s">
        <v>90</v>
      </c>
      <c r="C32" s="15" t="s">
        <v>11</v>
      </c>
      <c r="D32" s="15" t="s">
        <v>91</v>
      </c>
      <c r="E32" s="15" t="s">
        <v>92</v>
      </c>
      <c r="F32" s="15">
        <f>BoardQty*1</f>
        <v>0</v>
      </c>
      <c r="G3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2" s="16">
        <f>iferror(F32*G32,"")</f>
        <v>0</v>
      </c>
      <c r="I32" s="15">
        <v>14444</v>
      </c>
      <c r="K32" s="16">
        <f>iferror(lookup(if(J32="",F32,J32),{0,1,10,100,500,1000,2500,5000,12500,25000},{0.0,0.77,0.68,0.5217,0.41242,0.32994,0.29029,0.27027,0.26026,0.25025}),"")</f>
        <v>0</v>
      </c>
      <c r="L32" s="16">
        <f>iferror(if(J32="",F32,J32)*K32,"")</f>
        <v>0</v>
      </c>
      <c r="M32" s="17" t="s">
        <v>142</v>
      </c>
      <c r="N32" s="18" t="s">
        <v>135</v>
      </c>
      <c r="R32" s="17" t="s">
        <v>159</v>
      </c>
      <c r="S32" s="15">
        <v>24330</v>
      </c>
      <c r="U32" s="16">
        <f>iferror(lookup(if(T32="",F32,T32),{0,1,10,50,100,1000,10000},{0.0,0.83,0.696,0.696,0.449,0.35999999999999993,0.292}),"")</f>
        <v>0</v>
      </c>
      <c r="V32" s="16">
        <f>iferror(if(T32="",F32,T32)*U32,"")</f>
        <v>0</v>
      </c>
      <c r="W32" s="17" t="s">
        <v>173</v>
      </c>
      <c r="X32" s="18" t="s">
        <v>135</v>
      </c>
      <c r="AB32" s="17" t="s">
        <v>189</v>
      </c>
      <c r="AC32" s="15">
        <v>955</v>
      </c>
      <c r="AG32" s="17" t="s">
        <v>206</v>
      </c>
    </row>
    <row r="33" spans="1:33">
      <c r="A33" s="15" t="s">
        <v>93</v>
      </c>
      <c r="B33" s="15" t="s">
        <v>94</v>
      </c>
      <c r="C33" s="15" t="s">
        <v>95</v>
      </c>
      <c r="E33" s="15" t="s">
        <v>11</v>
      </c>
      <c r="F33" s="15">
        <f>BoardQty*1</f>
        <v>0</v>
      </c>
      <c r="G3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3" s="16">
        <f>iferror(F33*G33,"")</f>
        <v>0</v>
      </c>
    </row>
    <row r="34" spans="1:33">
      <c r="A34" s="15" t="s">
        <v>96</v>
      </c>
      <c r="B34" s="15" t="s">
        <v>97</v>
      </c>
      <c r="C34" s="15" t="s">
        <v>11</v>
      </c>
      <c r="D34" s="15" t="s">
        <v>98</v>
      </c>
      <c r="E34" s="15" t="s">
        <v>99</v>
      </c>
      <c r="F34" s="15">
        <f>BoardQty*1</f>
        <v>0</v>
      </c>
      <c r="G3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4" s="16">
        <f>iferror(F34*G34,"")</f>
        <v>0</v>
      </c>
      <c r="I34" s="15">
        <v>42</v>
      </c>
      <c r="K34" s="16">
        <f>iferror(lookup(if(J34="",F34,J34),{0,1,10,46,138,276,506,1012},{0.0,8.12,7.332,6.990429999999999,6.06978,5.79699,5.28549,4.6035}),"")</f>
        <v>0</v>
      </c>
      <c r="L34" s="16">
        <f>iferror(if(J34="",F34,J34)*K34,"")</f>
        <v>0</v>
      </c>
      <c r="M34" s="17" t="s">
        <v>143</v>
      </c>
      <c r="N34" s="15">
        <v>335</v>
      </c>
      <c r="R34" s="17" t="s">
        <v>160</v>
      </c>
      <c r="S34" s="15">
        <v>760</v>
      </c>
      <c r="U34" s="16">
        <f>iferror(lookup(if(T34="",F34,T34),{0,1,10,50,100,1000,10000},{0.0,8.12,7.33,6.61,6.07,4.42,4.42}),"")</f>
        <v>0</v>
      </c>
      <c r="V34" s="16">
        <f>iferror(if(T34="",F34,T34)*U34,"")</f>
        <v>0</v>
      </c>
      <c r="W34" s="17" t="s">
        <v>174</v>
      </c>
      <c r="X34" s="15">
        <v>25</v>
      </c>
      <c r="Z34" s="16">
        <f>iferror(lookup(if(Y34="",F34,Y34),{0,1,10,25,50,100,250},{0.0,7.169999999999999,6.81,6.28,5.95,5.41,4.87}),"")</f>
        <v>0</v>
      </c>
      <c r="AA34" s="16">
        <f>iferror(if(Y34="",F34,Y34)*Z34,"")</f>
        <v>0</v>
      </c>
      <c r="AB34" s="17" t="s">
        <v>190</v>
      </c>
    </row>
    <row r="35" spans="1:33">
      <c r="A35" s="15" t="s">
        <v>100</v>
      </c>
      <c r="B35" s="15" t="s">
        <v>101</v>
      </c>
      <c r="C35" s="15" t="s">
        <v>102</v>
      </c>
      <c r="D35" s="15" t="s">
        <v>103</v>
      </c>
      <c r="E35" s="15" t="s">
        <v>101</v>
      </c>
      <c r="F35" s="15">
        <f>BoardQty*1</f>
        <v>0</v>
      </c>
      <c r="G3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5" s="16">
        <f>iferror(F35*G35,"")</f>
        <v>0</v>
      </c>
      <c r="I35" s="15">
        <v>4865</v>
      </c>
      <c r="K35" s="16">
        <f>iferror(lookup(if(J35="",F35,J35),{0,1,10,25,100,300,500,1000},{0.0,7.93,7.16,6.826399999999999,5.927399999999999,5.661,5.1615,4.4955}),"")</f>
        <v>0</v>
      </c>
      <c r="L35" s="16">
        <f>iferror(if(J35="",F35,J35)*K35,"")</f>
        <v>0</v>
      </c>
      <c r="M35" s="17" t="s">
        <v>144</v>
      </c>
      <c r="N35" s="15">
        <v>1390</v>
      </c>
      <c r="R35" s="17" t="s">
        <v>161</v>
      </c>
      <c r="S35" s="15">
        <v>7418</v>
      </c>
      <c r="U35" s="16">
        <f>iferror(lookup(if(T35="",F35,T35),{0,1,10,50,100,1000,10000},{0.0,4.95,4.95,4.25,4.05,4.05,4.05}),"")</f>
        <v>0</v>
      </c>
      <c r="V35" s="16">
        <f>iferror(if(T35="",F35,T35)*U35,"")</f>
        <v>0</v>
      </c>
      <c r="W35" s="17" t="s">
        <v>175</v>
      </c>
      <c r="X35" s="15">
        <v>49</v>
      </c>
      <c r="Z35" s="16">
        <f>iferror(lookup(if(Y35="",F35,Y35),{0,1,10,25,50,100},{0.0,5.0,4.88,4.76,4.29,4.09}),"")</f>
        <v>0</v>
      </c>
      <c r="AA35" s="16">
        <f>iferror(if(Y35="",F35,Y35)*Z35,"")</f>
        <v>0</v>
      </c>
      <c r="AB35" s="17" t="s">
        <v>191</v>
      </c>
      <c r="AC35" s="15">
        <v>200</v>
      </c>
      <c r="AG35" s="17" t="s">
        <v>207</v>
      </c>
    </row>
    <row r="36" spans="1:33">
      <c r="A36" s="15" t="s">
        <v>104</v>
      </c>
      <c r="B36" s="15" t="s">
        <v>105</v>
      </c>
      <c r="C36" s="15" t="s">
        <v>11</v>
      </c>
      <c r="D36" s="15" t="s">
        <v>106</v>
      </c>
      <c r="E36" s="15" t="s">
        <v>105</v>
      </c>
      <c r="F36" s="15">
        <f>BoardQty*1</f>
        <v>0</v>
      </c>
      <c r="G3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6" s="16">
        <f>iferror(F36*G36,"")</f>
        <v>0</v>
      </c>
      <c r="I36" s="18" t="s">
        <v>135</v>
      </c>
      <c r="K36" s="16">
        <f>iferror(lookup(if(J36="",F36,J36),{0,1,3000},{0.0,0.20079,0.20079}),"")</f>
        <v>0</v>
      </c>
      <c r="L36" s="16">
        <f>iferror(if(J36="",F36,J36)*K36,"")</f>
        <v>0</v>
      </c>
      <c r="M36" s="17" t="s">
        <v>145</v>
      </c>
      <c r="N36" s="15">
        <v>272</v>
      </c>
      <c r="R36" s="17" t="s">
        <v>162</v>
      </c>
      <c r="X36" s="15">
        <v>420</v>
      </c>
      <c r="Z36" s="16">
        <f>iferror(lookup(if(Y36="",F36,Y36),{0,1,10,25,100,250,500,1000},{0.0,0.03,0.03,0.03,0.03,0.03,0.03,0.03}),"")</f>
        <v>0</v>
      </c>
      <c r="AA36" s="16">
        <f>iferror(if(Y36="",F36,Y36)*Z36,"")</f>
        <v>0</v>
      </c>
      <c r="AB36" s="17" t="s">
        <v>192</v>
      </c>
    </row>
    <row r="37" spans="1:33">
      <c r="A37" s="15" t="s">
        <v>107</v>
      </c>
      <c r="B37" s="15" t="s">
        <v>108</v>
      </c>
      <c r="C37" s="15" t="s">
        <v>11</v>
      </c>
      <c r="D37" s="15" t="s">
        <v>12</v>
      </c>
      <c r="E37" s="15" t="s">
        <v>13</v>
      </c>
      <c r="F37" s="15">
        <f>BoardQty*8</f>
        <v>0</v>
      </c>
      <c r="G3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7" s="16">
        <f>iferror(F37*G37,"")</f>
        <v>0</v>
      </c>
      <c r="I37" s="15">
        <v>185307</v>
      </c>
      <c r="K37" s="16">
        <f>iferror(lookup(if(J37="",F37,J37),{0,1,10,100,500,1000,5000,10000},{0.0,0.15000000000000002,0.141,0.0868,0.07182,0.06284,0.05387,0.05237}),"")</f>
        <v>0</v>
      </c>
      <c r="L37" s="16">
        <f>iferror(if(J37="",F37,J37)*K37,"")</f>
        <v>0</v>
      </c>
      <c r="M37" s="17" t="s">
        <v>133</v>
      </c>
      <c r="N37" s="15">
        <v>283222</v>
      </c>
      <c r="R37" s="17" t="s">
        <v>149</v>
      </c>
      <c r="X37" s="15">
        <v>2317</v>
      </c>
      <c r="Z37" s="16">
        <f>iferror(lookup(if(Y37="",F37,Y37),{0,1,10,25,50,100,250,500,1000},{0.0,0.254,0.219,0.192,0.171,0.166,0.152,0.142,0.125}),"")</f>
        <v>0</v>
      </c>
      <c r="AA37" s="16">
        <f>iferror(if(Y37="",F37,Y37)*Z37,"")</f>
        <v>0</v>
      </c>
      <c r="AB37" s="17" t="s">
        <v>179</v>
      </c>
      <c r="AC37" s="15">
        <v>8</v>
      </c>
      <c r="AG37" s="17" t="s">
        <v>196</v>
      </c>
    </row>
    <row r="38" spans="1:33">
      <c r="A38" s="15" t="s">
        <v>109</v>
      </c>
      <c r="B38" s="15" t="s">
        <v>110</v>
      </c>
      <c r="C38" s="15" t="s">
        <v>11</v>
      </c>
      <c r="D38" s="15" t="s">
        <v>111</v>
      </c>
      <c r="E38" s="15" t="s">
        <v>110</v>
      </c>
      <c r="F38" s="15">
        <f>BoardQty*1</f>
        <v>0</v>
      </c>
      <c r="G3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8" s="16">
        <f>iferror(F38*G38,"")</f>
        <v>0</v>
      </c>
      <c r="I38" s="15">
        <v>614</v>
      </c>
      <c r="K38" s="16">
        <f>iferror(lookup(if(J38="",F38,J38),{0,1,39,117},{0.0,15.330000000000002,13.50923,11.902740000000001}),"")</f>
        <v>0</v>
      </c>
      <c r="L38" s="16">
        <f>iferror(if(J38="",F38,J38)*K38,"")</f>
        <v>0</v>
      </c>
      <c r="M38" s="17" t="s">
        <v>146</v>
      </c>
      <c r="N38" s="18" t="s">
        <v>135</v>
      </c>
      <c r="R38" s="17" t="s">
        <v>163</v>
      </c>
      <c r="S38" s="15">
        <v>583</v>
      </c>
      <c r="U38" s="16">
        <f>iferror(lookup(if(T38="",F38,T38),{0,1,10,50,100,1000,10000},{0.0,15.18,13.78,12.47,11.21,9.74,9.74}),"")</f>
        <v>0</v>
      </c>
      <c r="V38" s="16">
        <f>iferror(if(T38="",F38,T38)*U38,"")</f>
        <v>0</v>
      </c>
      <c r="W38" s="17" t="s">
        <v>176</v>
      </c>
      <c r="X38" s="18" t="s">
        <v>135</v>
      </c>
      <c r="Z38" s="16">
        <f>iferror(lookup(if(Y38="",F38,Y38),{0,1,10,25,50,100,250,500},{0.0,15.18,13.78,12.95,12.47,11.21,10.36,9.74}),"")</f>
        <v>0</v>
      </c>
      <c r="AA38" s="16">
        <f>iferror(if(Y38="",F38,Y38)*Z38,"")</f>
        <v>0</v>
      </c>
      <c r="AB38" s="17" t="s">
        <v>193</v>
      </c>
      <c r="AC38" s="15">
        <v>117</v>
      </c>
      <c r="AG38" s="17" t="s">
        <v>208</v>
      </c>
    </row>
    <row r="39" spans="1:33">
      <c r="A39" s="15" t="s">
        <v>112</v>
      </c>
      <c r="B39" s="15" t="s">
        <v>113</v>
      </c>
      <c r="C39" s="15" t="s">
        <v>114</v>
      </c>
      <c r="D39" s="15" t="s">
        <v>115</v>
      </c>
      <c r="E39" s="15" t="s">
        <v>116</v>
      </c>
      <c r="F39" s="15">
        <f>BoardQty*1</f>
        <v>0</v>
      </c>
      <c r="G3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H39" s="16">
        <f>iferror(F39*G39,"")</f>
        <v>0</v>
      </c>
      <c r="I39" s="15">
        <v>174310</v>
      </c>
      <c r="K39" s="16">
        <f>iferror(lookup(if(J39="",F39,J39),{0,1,10,50,100,500,1000,3000,5000,10000},{0.0,0.63,0.523,0.4702,0.4179999999999999,0.3971,0.304,0.285,0.2755,0.266}),"")</f>
        <v>0</v>
      </c>
      <c r="L39" s="16">
        <f>iferror(if(J39="",F39,J39)*K39,"")</f>
        <v>0</v>
      </c>
      <c r="M39" s="17" t="s">
        <v>147</v>
      </c>
      <c r="N39" s="15">
        <v>486</v>
      </c>
      <c r="R39" s="17" t="s">
        <v>164</v>
      </c>
      <c r="S39" s="15">
        <v>63090</v>
      </c>
      <c r="U39" s="16">
        <f>iferror(lookup(if(T39="",F39,T39),{0,1,10,50,100,1000,10000},{0.0,0.51,0.426,0.383,0.341,0.324,0.324}),"")</f>
        <v>0</v>
      </c>
      <c r="V39" s="16">
        <f>iferror(if(T39="",F39,T39)*U39,"")</f>
        <v>0</v>
      </c>
      <c r="W39" s="17" t="s">
        <v>177</v>
      </c>
      <c r="X39" s="18" t="s">
        <v>135</v>
      </c>
      <c r="Z39" s="16">
        <f>iferror(lookup(if(Y39="",F39,Y39),{0,1,10,25,50,100,250,500},{0.0,0.67,0.633,0.59,0.549,0.511,0.472,0.44}),"")</f>
        <v>0</v>
      </c>
      <c r="AA39" s="16">
        <f>iferror(if(Y39="",F39,Y39)*Z39,"")</f>
        <v>0</v>
      </c>
      <c r="AB39" s="17" t="s">
        <v>194</v>
      </c>
      <c r="AC39" s="15">
        <v>130</v>
      </c>
      <c r="AG39" s="17" t="s">
        <v>209</v>
      </c>
    </row>
    <row r="41" spans="1:33">
      <c r="A41" s="3" t="s">
        <v>210</v>
      </c>
      <c r="G41" s="2" t="s">
        <v>117</v>
      </c>
      <c r="H41" s="6">
        <f>SUM(INDIRECT(ADDRESS(ROW(),COLUMN(digikey_part_data)+3)),INDIRECT(ADDRESS(ROW(),COLUMN(farnell_part_data)+3)),INDIRECT(ADDRESS(ROW(),COLUMN(mouser_part_data)+3)),INDIRECT(ADDRESS(ROW(),COLUMN(newark_part_data)+3)),INDIRECT(ADDRESS(ROW(),COLUMN(rs_part_data)+3)))</f>
        <v>0</v>
      </c>
      <c r="J41" s="7">
        <f>IFERROR(IF(OR(J7:J39),COUNTIFS(J7:J39,"&gt;0",L7:L39,"&lt;&gt;")&amp;" of "&amp;(ROWS(L7:L39)-COUNTBLANK(L7:L39))&amp;" parts purchased",""),"")</f>
        <v>0</v>
      </c>
      <c r="L41" s="6">
        <f>SUMIF(J7:J39,"&gt;0",L7:L39)</f>
        <v>0</v>
      </c>
      <c r="O41" s="7">
        <f>IFERROR(IF(OR(O7:O39),COUNTIFS(O7:O39,"&gt;0",Q7:Q39,"&lt;&gt;")&amp;" of "&amp;(ROWS(Q7:Q39)-COUNTBLANK(Q7:Q39))&amp;" parts purchased",""),"")</f>
        <v>0</v>
      </c>
      <c r="Q41" s="6">
        <f>SUMIF(O7:O39,"&gt;0",Q7:Q39)</f>
        <v>0</v>
      </c>
      <c r="T41" s="7">
        <f>IFERROR(IF(OR(T7:T39),COUNTIFS(T7:T39,"&gt;0",V7:V39,"&lt;&gt;")&amp;" of "&amp;(ROWS(V7:V39)-COUNTBLANK(V7:V39))&amp;" parts purchased",""),"")</f>
        <v>0</v>
      </c>
      <c r="V41" s="6">
        <f>SUMIF(T7:T39,"&gt;0",V7:V39)</f>
        <v>0</v>
      </c>
      <c r="Y41" s="7">
        <f>IFERROR(IF(OR(Y7:Y39),COUNTIFS(Y7:Y39,"&gt;0",AA7:AA39,"&lt;&gt;")&amp;" of "&amp;(ROWS(AA7:AA39)-COUNTBLANK(AA7:AA39))&amp;" parts purchased",""),"")</f>
        <v>0</v>
      </c>
      <c r="AA41" s="6">
        <f>SUMIF(Y7:Y39,"&gt;0",AA7:AA39)</f>
        <v>0</v>
      </c>
      <c r="AD41" s="7">
        <f>IFERROR(IF(OR(AD7:AD39),COUNTIFS(AD7:AD39,"&gt;0",AF7:AF39,"&lt;&gt;")&amp;" of "&amp;(ROWS(AF7:AF39)-COUNTBLANK(AF7:AF39))&amp;" parts purchased",""),"")</f>
        <v>0</v>
      </c>
      <c r="AF41" s="6">
        <f>SUMIF(AD7:AD39,"&gt;0",AF7:AF39)</f>
        <v>0</v>
      </c>
    </row>
    <row r="42" spans="1:33">
      <c r="J42">
        <f t="array" ref="J42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42">
        <f t="array" ref="O42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42">
        <f t="array" ref="T42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42">
        <f t="array" ref="Y42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42">
        <f t="array" ref="AD42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43" spans="1:33">
      <c r="J43">
        <f t="array" ref="J43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43">
        <f t="array" ref="O43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43">
        <f t="array" ref="T43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43">
        <f t="array" ref="Y43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43">
        <f t="array" ref="AD43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44" spans="1:33">
      <c r="J44">
        <f t="array" ref="J44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44">
        <f t="array" ref="O44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44">
        <f t="array" ref="T44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44">
        <f t="array" ref="Y44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44">
        <f t="array" ref="AD44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45" spans="1:33">
      <c r="J45">
        <f t="array" ref="J45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45">
        <f t="array" ref="O45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45">
        <f t="array" ref="T45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45">
        <f t="array" ref="Y45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45">
        <f t="array" ref="AD45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46" spans="1:33">
      <c r="J46">
        <f t="array" ref="J46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46">
        <f t="array" ref="O46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46">
        <f t="array" ref="T46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46">
        <f t="array" ref="Y46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46">
        <f t="array" ref="AD46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47" spans="1:33">
      <c r="J47">
        <f t="array" ref="J47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47">
        <f t="array" ref="O47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47">
        <f t="array" ref="T47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47">
        <f t="array" ref="Y47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47">
        <f t="array" ref="AD47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48" spans="1:33">
      <c r="J48">
        <f t="array" ref="J48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48">
        <f t="array" ref="O48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48">
        <f t="array" ref="T48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48">
        <f t="array" ref="Y48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48">
        <f t="array" ref="AD48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49" spans="10:30">
      <c r="J49">
        <f t="array" ref="J49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49">
        <f t="array" ref="O49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49">
        <f t="array" ref="T49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49">
        <f t="array" ref="Y49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49">
        <f t="array" ref="AD49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0" spans="10:30">
      <c r="J50">
        <f t="array" ref="J50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0">
        <f t="array" ref="O50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0">
        <f t="array" ref="T50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0">
        <f t="array" ref="Y50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0">
        <f t="array" ref="AD50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1" spans="10:30">
      <c r="J51">
        <f t="array" ref="J51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1">
        <f t="array" ref="O51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1">
        <f t="array" ref="T51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1">
        <f t="array" ref="Y51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1">
        <f t="array" ref="AD51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2" spans="10:30">
      <c r="J52">
        <f t="array" ref="J52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2">
        <f t="array" ref="O52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2">
        <f t="array" ref="T52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2">
        <f t="array" ref="Y52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2">
        <f t="array" ref="AD52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3" spans="10:30">
      <c r="J53">
        <f t="array" ref="J53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3">
        <f t="array" ref="O53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3">
        <f t="array" ref="T53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3">
        <f t="array" ref="Y53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3">
        <f t="array" ref="AD53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4" spans="10:30">
      <c r="J54">
        <f t="array" ref="J54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4">
        <f t="array" ref="O54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4">
        <f t="array" ref="T54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4">
        <f t="array" ref="Y54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4">
        <f t="array" ref="AD54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5" spans="10:30">
      <c r="J55">
        <f t="array" ref="J55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5">
        <f t="array" ref="O55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5">
        <f t="array" ref="T55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5">
        <f t="array" ref="Y55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5">
        <f t="array" ref="AD55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6" spans="10:30">
      <c r="J56">
        <f t="array" ref="J56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6">
        <f t="array" ref="O56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6">
        <f t="array" ref="T56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6">
        <f t="array" ref="Y56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6">
        <f t="array" ref="AD56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7" spans="10:30">
      <c r="J57">
        <f t="array" ref="J57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7">
        <f t="array" ref="O57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7">
        <f t="array" ref="T57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7">
        <f t="array" ref="Y57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7">
        <f t="array" ref="AD57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8" spans="10:30">
      <c r="J58">
        <f t="array" ref="J58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8">
        <f t="array" ref="O58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8">
        <f t="array" ref="T58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8">
        <f t="array" ref="Y58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8">
        <f t="array" ref="AD58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59" spans="10:30">
      <c r="J59">
        <f t="array" ref="J59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59">
        <f t="array" ref="O59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59">
        <f t="array" ref="T59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59">
        <f t="array" ref="Y59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59">
        <f t="array" ref="AD59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0" spans="10:30">
      <c r="J60">
        <f t="array" ref="J60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0">
        <f t="array" ref="O60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0">
        <f t="array" ref="T60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0">
        <f t="array" ref="Y60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0">
        <f t="array" ref="AD60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1" spans="10:30">
      <c r="J61">
        <f t="array" ref="J61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1">
        <f t="array" ref="O61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1">
        <f t="array" ref="T61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1">
        <f t="array" ref="Y61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1">
        <f t="array" ref="AD61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2" spans="10:30">
      <c r="J62">
        <f t="array" ref="J62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2">
        <f t="array" ref="O62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2">
        <f t="array" ref="T62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2">
        <f t="array" ref="Y62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2">
        <f t="array" ref="AD62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3" spans="10:30">
      <c r="J63">
        <f t="array" ref="J63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3">
        <f t="array" ref="O63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3">
        <f t="array" ref="T63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3">
        <f t="array" ref="Y63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3">
        <f t="array" ref="AD63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4" spans="10:30">
      <c r="J64">
        <f t="array" ref="J64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4">
        <f t="array" ref="O64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4">
        <f t="array" ref="T64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4">
        <f t="array" ref="Y64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4">
        <f t="array" ref="AD64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5" spans="10:30">
      <c r="J65">
        <f t="array" ref="J65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5">
        <f t="array" ref="O65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5">
        <f t="array" ref="T65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5">
        <f t="array" ref="Y65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5">
        <f t="array" ref="AD65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6" spans="10:30">
      <c r="J66">
        <f t="array" ref="J66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6">
        <f t="array" ref="O66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6">
        <f t="array" ref="T66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6">
        <f t="array" ref="Y66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6">
        <f t="array" ref="AD66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7" spans="10:30">
      <c r="J67">
        <f t="array" ref="J67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7">
        <f t="array" ref="O67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7">
        <f t="array" ref="T67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7">
        <f t="array" ref="Y67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7">
        <f t="array" ref="AD67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8" spans="10:30">
      <c r="J68">
        <f t="array" ref="J68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8">
        <f t="array" ref="O68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8">
        <f t="array" ref="T68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8">
        <f t="array" ref="Y68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8">
        <f t="array" ref="AD68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69" spans="10:30">
      <c r="J69">
        <f t="array" ref="J69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69">
        <f t="array" ref="O69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69">
        <f t="array" ref="T69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69">
        <f t="array" ref="Y69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69">
        <f t="array" ref="AD69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70" spans="10:30">
      <c r="J70">
        <f t="array" ref="J70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70">
        <f t="array" ref="O70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70">
        <f t="array" ref="T70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70">
        <f t="array" ref="Y70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70">
        <f t="array" ref="AD70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71" spans="10:30">
      <c r="J71">
        <f t="array" ref="J71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71">
        <f t="array" ref="O71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71">
        <f t="array" ref="T71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71">
        <f t="array" ref="Y71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71">
        <f t="array" ref="AD71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72" spans="10:30">
      <c r="J72">
        <f t="array" ref="J72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72">
        <f t="array" ref="O72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72">
        <f t="array" ref="T72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72">
        <f t="array" ref="Y72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72">
        <f t="array" ref="AD72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73" spans="10:30">
      <c r="J73">
        <f t="array" ref="J73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73">
        <f t="array" ref="O73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73">
        <f t="array" ref="T73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73">
        <f t="array" ref="Y73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73">
        <f t="array" ref="AD73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  <row r="74" spans="10:30">
      <c r="J74">
        <f t="array" ref="J74">IFERROR(CONCATENATE(TEXT(INDEX(J7:J39,SMALL(IF(ISNUMBER(J7:J39),IF(J7:J39&gt;0,IF(M7:M39&lt;&gt;"",ROW(J7:J39)-MIN(ROW(J7:J39))+1))),ROW()-ROW(A$42)+1)),"##0"),",",INDEX(M7:M39,SMALL(IF(ISNUMBER(J7:J39),IF(J7:J39&gt;0,IF(M7:M39&lt;&gt;"",ROW(J7:J39)-MIN(ROW(J7:J39))+1))),ROW()-ROW(A$42)+1)),",",SUBSTITUTE(INDEX(A7:A39,SMALL(IF(ISNUMBER(J7:J39),IF(J7:J39&gt;0,IF(M7:M39&lt;&gt;"",ROW(J7:J39)-MIN(ROW(J7:J39))+1))),ROW()-ROW(A$42)+1)),",",";")),"")</f>
        <v>0</v>
      </c>
      <c r="O74">
        <f t="array" ref="O74">IFERROR(CONCATENATE(INDEX(R7:R39,SMALL(IF(ISNUMBER(O7:O39),IF(O7:O39&gt;0,IF(R7:R39&lt;&gt;"",ROW(O7:O39)-MIN(ROW(O7:O39))+1))),ROW()-ROW(A$42)+1))," ",TEXT(INDEX(O7:O39,SMALL(IF(ISNUMBER(O7:O39),IF(O7:O39&gt;0,IF(R7:R39&lt;&gt;"",ROW(O7:O39)-MIN(ROW(O7:O39))+1))),ROW()-ROW(A$42)+1)),"##0")," ",SUBSTITUTE(INDEX(A7:A39,SMALL(IF(ISNUMBER(O7:O39),IF(O7:O39&gt;0,IF(R7:R39&lt;&gt;"",ROW(O7:O39)-MIN(ROW(O7:O39))+1))),ROW()-ROW(A$42)+1))," ",";")),"")</f>
        <v>0</v>
      </c>
      <c r="T74">
        <f t="array" ref="T74">IFERROR(CONCATENATE(INDEX(W7:W39,SMALL(IF(ISNUMBER(T7:T39),IF(T7:T39&gt;0,IF(W7:W39&lt;&gt;"",ROW(T7:T39)-MIN(ROW(T7:T39))+1))),ROW()-ROW(A$42)+1)),"|",TEXT(INDEX(T7:T39,SMALL(IF(ISNUMBER(T7:T39),IF(T7:T39&gt;0,IF(W7:W39&lt;&gt;"",ROW(T7:T39)-MIN(ROW(T7:T39))+1))),ROW()-ROW(A$42)+1)),"##0"),"|",SUBSTITUTE(SUBSTITUTE(INDEX(A7:A39,SMALL(IF(ISNUMBER(T7:T39),IF(T7:T39&gt;0,IF(W7:W39&lt;&gt;"",ROW(T7:T39)-MIN(ROW(T7:T39))+1))),ROW()-ROW(A$42)+1)),"|",";")," ","_")),"")</f>
        <v>0</v>
      </c>
      <c r="Y74">
        <f t="array" ref="Y74">IFERROR(CONCATENATE(INDEX(AB7:AB39,SMALL(IF(ISNUMBER(Y7:Y39),IF(Y7:Y39&gt;0,IF(AB7:AB39&lt;&gt;"",ROW(Y7:Y39)-MIN(ROW(Y7:Y39))+1))),ROW()-ROW(A$42)+1)),",",TEXT(INDEX(Y7:Y39,SMALL(IF(ISNUMBER(Y7:Y39),IF(Y7:Y39&gt;0,IF(AB7:AB39&lt;&gt;"",ROW(Y7:Y39)-MIN(ROW(Y7:Y39))+1))),ROW()-ROW(A$42)+1)),"##0"),",",SUBSTITUTE(INDEX(A7:A39,SMALL(IF(ISNUMBER(Y7:Y39),IF(Y7:Y39&gt;0,IF(AB7:AB39&lt;&gt;"",ROW(Y7:Y39)-MIN(ROW(Y7:Y39))+1))),ROW()-ROW(A$42)+1)),",",";")),"")</f>
        <v>0</v>
      </c>
      <c r="AD74">
        <f t="array" ref="AD74">IFERROR(CONCATENATE(INDEX(AG7:AG39,SMALL(IF(ISNUMBER(AD7:AD39),IF(AD7:AD39&gt;0,IF(AG7:AG39&lt;&gt;"",ROW(AD7:AD39)-MIN(ROW(AD7:AD39))+1))),ROW()-ROW(A$42)+1))," ",TEXT(INDEX(AD7:AD39,SMALL(IF(ISNUMBER(AD7:AD39),IF(AD7:AD39&gt;0,IF(AG7:AG39&lt;&gt;"",ROW(AD7:AD39)-MIN(ROW(AD7:AD39))+1))),ROW()-ROW(A$42)+1)),"##0")," ",SUBSTITUTE(INDEX(A7:A39,SMALL(IF(ISNUMBER(AD7:AD39),IF(AD7:AD39&gt;0,IF(AG7:AG39&lt;&gt;"",ROW(AD7:AD39)-MIN(ROW(AD7:AD39))+1))),ROW()-ROW(A$42)+1))," ",";")),"")</f>
        <v>0</v>
      </c>
    </row>
  </sheetData>
  <mergeCells count="6">
    <mergeCell ref="A5:H5"/>
    <mergeCell ref="I5:M5"/>
    <mergeCell ref="N5:R5"/>
    <mergeCell ref="S5:W5"/>
    <mergeCell ref="X5:AB5"/>
    <mergeCell ref="AC5:AG5"/>
  </mergeCells>
  <conditionalFormatting sqref="AA15">
    <cfRule type="cellIs" dxfId="4" priority="286" operator="lessThanOrEqual">
      <formula>H15</formula>
    </cfRule>
  </conditionalFormatting>
  <conditionalFormatting sqref="AA16">
    <cfRule type="cellIs" dxfId="4" priority="291" operator="lessThanOrEqual">
      <formula>H16</formula>
    </cfRule>
  </conditionalFormatting>
  <conditionalFormatting sqref="AA17">
    <cfRule type="cellIs" dxfId="4" priority="296" operator="lessThanOrEqual">
      <formula>H17</formula>
    </cfRule>
  </conditionalFormatting>
  <conditionalFormatting sqref="AA18">
    <cfRule type="cellIs" dxfId="4" priority="301" operator="lessThanOrEqual">
      <formula>H18</formula>
    </cfRule>
  </conditionalFormatting>
  <conditionalFormatting sqref="AA19">
    <cfRule type="cellIs" dxfId="4" priority="306" operator="lessThanOrEqual">
      <formula>H19</formula>
    </cfRule>
  </conditionalFormatting>
  <conditionalFormatting sqref="AA20">
    <cfRule type="cellIs" dxfId="4" priority="311" operator="lessThanOrEqual">
      <formula>H20</formula>
    </cfRule>
  </conditionalFormatting>
  <conditionalFormatting sqref="AA24">
    <cfRule type="cellIs" dxfId="4" priority="316" operator="lessThanOrEqual">
      <formula>H24</formula>
    </cfRule>
  </conditionalFormatting>
  <conditionalFormatting sqref="AA30">
    <cfRule type="cellIs" dxfId="4" priority="321" operator="lessThanOrEqual">
      <formula>H30</formula>
    </cfRule>
  </conditionalFormatting>
  <conditionalFormatting sqref="AA34">
    <cfRule type="cellIs" dxfId="4" priority="326" operator="lessThanOrEqual">
      <formula>H34</formula>
    </cfRule>
  </conditionalFormatting>
  <conditionalFormatting sqref="AA35">
    <cfRule type="cellIs" dxfId="4" priority="331" operator="lessThanOrEqual">
      <formula>H35</formula>
    </cfRule>
  </conditionalFormatting>
  <conditionalFormatting sqref="AA36">
    <cfRule type="cellIs" dxfId="4" priority="336" operator="lessThanOrEqual">
      <formula>H36</formula>
    </cfRule>
  </conditionalFormatting>
  <conditionalFormatting sqref="AA37">
    <cfRule type="cellIs" dxfId="4" priority="341" operator="lessThanOrEqual">
      <formula>H37</formula>
    </cfRule>
  </conditionalFormatting>
  <conditionalFormatting sqref="AA38">
    <cfRule type="cellIs" dxfId="4" priority="346" operator="lessThanOrEqual">
      <formula>H38</formula>
    </cfRule>
  </conditionalFormatting>
  <conditionalFormatting sqref="AA39">
    <cfRule type="cellIs" dxfId="4" priority="351" operator="lessThanOrEqual">
      <formula>H39</formula>
    </cfRule>
  </conditionalFormatting>
  <conditionalFormatting sqref="AA7">
    <cfRule type="cellIs" dxfId="4" priority="276" operator="lessThanOrEqual">
      <formula>H7</formula>
    </cfRule>
  </conditionalFormatting>
  <conditionalFormatting sqref="AA9">
    <cfRule type="cellIs" dxfId="4" priority="281" operator="lessThanOrEqual">
      <formula>H9</formula>
    </cfRule>
  </conditionalFormatting>
  <conditionalFormatting sqref="F10">
    <cfRule type="expression" dxfId="0" priority="13">
      <formula>AND(ISBLANK(E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1">
    <cfRule type="expression" dxfId="0" priority="17">
      <formula>AND(ISBLANK(E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2">
    <cfRule type="expression" dxfId="0" priority="21">
      <formula>AND(ISBLANK(E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3">
    <cfRule type="expression" dxfId="0" priority="25">
      <formula>AND(ISBLANK(E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4">
    <cfRule type="expression" dxfId="0" priority="29">
      <formula>AND(ISBLANK(E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5">
    <cfRule type="expression" dxfId="0" priority="33">
      <formula>AND(ISBLANK(E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6">
    <cfRule type="expression" dxfId="0" priority="37">
      <formula>AND(ISBLANK(E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7">
    <cfRule type="expression" dxfId="0" priority="41">
      <formula>AND(ISBLANK(E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8">
    <cfRule type="expression" dxfId="0" priority="45">
      <formula>AND(ISBLANK(E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9">
    <cfRule type="expression" dxfId="0" priority="49">
      <formula>AND(ISBLANK(E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0">
    <cfRule type="expression" dxfId="0" priority="53">
      <formula>AND(ISBLANK(E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1">
    <cfRule type="expression" dxfId="0" priority="57">
      <formula>AND(ISBLANK(E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2">
    <cfRule type="expression" dxfId="0" priority="61">
      <formula>AND(ISBLANK(E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3">
    <cfRule type="expression" dxfId="0" priority="65">
      <formula>AND(ISBLANK(E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4">
    <cfRule type="expression" dxfId="0" priority="69">
      <formula>AND(ISBLANK(E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5">
    <cfRule type="expression" dxfId="0" priority="73">
      <formula>AND(ISBLANK(E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6">
    <cfRule type="expression" dxfId="0" priority="77">
      <formula>AND(ISBLANK(E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7">
    <cfRule type="expression" dxfId="0" priority="81">
      <formula>AND(ISBLANK(E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8">
    <cfRule type="expression" dxfId="0" priority="85">
      <formula>AND(ISBLANK(E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29">
    <cfRule type="expression" dxfId="0" priority="89">
      <formula>AND(ISBLANK(E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0">
    <cfRule type="expression" dxfId="0" priority="93">
      <formula>AND(ISBLANK(E30)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9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9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9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1">
    <cfRule type="expression" dxfId="0" priority="97">
      <formula>AND(ISBLANK(E31)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9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9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0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2">
    <cfRule type="expression" dxfId="0" priority="101">
      <formula>AND(ISBLANK(E32)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0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0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0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3">
    <cfRule type="expression" dxfId="0" priority="105">
      <formula>AND(ISBLANK(E33)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0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0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0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4">
    <cfRule type="expression" dxfId="0" priority="109">
      <formula>AND(ISBLANK(E34)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5">
    <cfRule type="expression" dxfId="0" priority="113">
      <formula>AND(ISBLANK(E35)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6">
    <cfRule type="expression" dxfId="0" priority="117">
      <formula>AND(ISBLANK(E36)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7">
    <cfRule type="expression" dxfId="0" priority="121">
      <formula>AND(ISBLANK(E37)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8">
    <cfRule type="expression" dxfId="0" priority="125">
      <formula>AND(ISBLANK(E38)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39">
    <cfRule type="expression" dxfId="0" priority="129">
      <formula>AND(ISBLANK(E39)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7">
    <cfRule type="expression" dxfId="0" priority="1">
      <formula>AND(ISBLANK(E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8">
    <cfRule type="expression" dxfId="0" priority="5">
      <formula>AND(ISBLANK(E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9">
    <cfRule type="expression" dxfId="0" priority="9">
      <formula>AND(ISBLANK(E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I16">
    <cfRule type="cellIs" dxfId="1" priority="143" operator="equal">
      <formula>0</formula>
    </cfRule>
    <cfRule type="cellIs" dxfId="2" priority="144" operator="lessThan">
      <formula>F16</formula>
    </cfRule>
  </conditionalFormatting>
  <conditionalFormatting sqref="I17">
    <cfRule type="cellIs" dxfId="1" priority="148" operator="equal">
      <formula>0</formula>
    </cfRule>
    <cfRule type="cellIs" dxfId="2" priority="149" operator="lessThan">
      <formula>F17</formula>
    </cfRule>
  </conditionalFormatting>
  <conditionalFormatting sqref="I19">
    <cfRule type="cellIs" dxfId="1" priority="153" operator="equal">
      <formula>0</formula>
    </cfRule>
    <cfRule type="cellIs" dxfId="2" priority="154" operator="lessThan">
      <formula>F19</formula>
    </cfRule>
  </conditionalFormatting>
  <conditionalFormatting sqref="I20">
    <cfRule type="cellIs" dxfId="1" priority="158" operator="equal">
      <formula>0</formula>
    </cfRule>
    <cfRule type="cellIs" dxfId="2" priority="159" operator="lessThan">
      <formula>F20</formula>
    </cfRule>
  </conditionalFormatting>
  <conditionalFormatting sqref="I23">
    <cfRule type="cellIs" dxfId="1" priority="163" operator="equal">
      <formula>0</formula>
    </cfRule>
    <cfRule type="cellIs" dxfId="2" priority="164" operator="lessThan">
      <formula>F23</formula>
    </cfRule>
  </conditionalFormatting>
  <conditionalFormatting sqref="I24">
    <cfRule type="cellIs" dxfId="1" priority="168" operator="equal">
      <formula>0</formula>
    </cfRule>
    <cfRule type="cellIs" dxfId="2" priority="169" operator="lessThan">
      <formula>F24</formula>
    </cfRule>
  </conditionalFormatting>
  <conditionalFormatting sqref="I30">
    <cfRule type="cellIs" dxfId="1" priority="173" operator="equal">
      <formula>0</formula>
    </cfRule>
    <cfRule type="cellIs" dxfId="2" priority="174" operator="lessThan">
      <formula>F30</formula>
    </cfRule>
  </conditionalFormatting>
  <conditionalFormatting sqref="I32">
    <cfRule type="cellIs" dxfId="1" priority="178" operator="equal">
      <formula>0</formula>
    </cfRule>
    <cfRule type="cellIs" dxfId="2" priority="179" operator="lessThan">
      <formula>F32</formula>
    </cfRule>
  </conditionalFormatting>
  <conditionalFormatting sqref="I34">
    <cfRule type="cellIs" dxfId="1" priority="183" operator="equal">
      <formula>0</formula>
    </cfRule>
    <cfRule type="cellIs" dxfId="2" priority="184" operator="lessThan">
      <formula>F34</formula>
    </cfRule>
  </conditionalFormatting>
  <conditionalFormatting sqref="I35">
    <cfRule type="cellIs" dxfId="1" priority="188" operator="equal">
      <formula>0</formula>
    </cfRule>
    <cfRule type="cellIs" dxfId="2" priority="189" operator="lessThan">
      <formula>F35</formula>
    </cfRule>
  </conditionalFormatting>
  <conditionalFormatting sqref="I36">
    <cfRule type="cellIs" dxfId="1" priority="193" operator="equal">
      <formula>0</formula>
    </cfRule>
    <cfRule type="cellIs" dxfId="2" priority="194" operator="lessThan">
      <formula>F36</formula>
    </cfRule>
  </conditionalFormatting>
  <conditionalFormatting sqref="I37">
    <cfRule type="cellIs" dxfId="1" priority="198" operator="equal">
      <formula>0</formula>
    </cfRule>
    <cfRule type="cellIs" dxfId="2" priority="199" operator="lessThan">
      <formula>F37</formula>
    </cfRule>
  </conditionalFormatting>
  <conditionalFormatting sqref="I38">
    <cfRule type="cellIs" dxfId="1" priority="203" operator="equal">
      <formula>0</formula>
    </cfRule>
    <cfRule type="cellIs" dxfId="2" priority="204" operator="lessThan">
      <formula>F38</formula>
    </cfRule>
  </conditionalFormatting>
  <conditionalFormatting sqref="I39">
    <cfRule type="cellIs" dxfId="1" priority="208" operator="equal">
      <formula>0</formula>
    </cfRule>
    <cfRule type="cellIs" dxfId="2" priority="209" operator="lessThan">
      <formula>F39</formula>
    </cfRule>
  </conditionalFormatting>
  <conditionalFormatting sqref="I7">
    <cfRule type="cellIs" dxfId="1" priority="133" operator="equal">
      <formula>0</formula>
    </cfRule>
    <cfRule type="cellIs" dxfId="2" priority="134" operator="lessThan">
      <formula>F7</formula>
    </cfRule>
  </conditionalFormatting>
  <conditionalFormatting sqref="I9">
    <cfRule type="cellIs" dxfId="1" priority="138" operator="equal">
      <formula>0</formula>
    </cfRule>
    <cfRule type="cellIs" dxfId="2" priority="139" operator="lessThan">
      <formula>F9</formula>
    </cfRule>
  </conditionalFormatting>
  <conditionalFormatting sqref="J16">
    <cfRule type="cellIs" dxfId="1" priority="145" operator="greaterThan">
      <formula>I16</formula>
    </cfRule>
  </conditionalFormatting>
  <conditionalFormatting sqref="J17">
    <cfRule type="cellIs" dxfId="1" priority="150" operator="greaterThan">
      <formula>I17</formula>
    </cfRule>
  </conditionalFormatting>
  <conditionalFormatting sqref="J19">
    <cfRule type="cellIs" dxfId="1" priority="155" operator="greaterThan">
      <formula>I19</formula>
    </cfRule>
  </conditionalFormatting>
  <conditionalFormatting sqref="J20">
    <cfRule type="cellIs" dxfId="1" priority="160" operator="greaterThan">
      <formula>I20</formula>
    </cfRule>
  </conditionalFormatting>
  <conditionalFormatting sqref="J23">
    <cfRule type="cellIs" dxfId="1" priority="165" operator="greaterThan">
      <formula>I23</formula>
    </cfRule>
  </conditionalFormatting>
  <conditionalFormatting sqref="J24">
    <cfRule type="cellIs" dxfId="1" priority="170" operator="greaterThan">
      <formula>I24</formula>
    </cfRule>
  </conditionalFormatting>
  <conditionalFormatting sqref="J30">
    <cfRule type="cellIs" dxfId="1" priority="175" operator="greaterThan">
      <formula>I30</formula>
    </cfRule>
  </conditionalFormatting>
  <conditionalFormatting sqref="J32">
    <cfRule type="cellIs" dxfId="1" priority="180" operator="greaterThan">
      <formula>I32</formula>
    </cfRule>
  </conditionalFormatting>
  <conditionalFormatting sqref="J34">
    <cfRule type="cellIs" dxfId="1" priority="185" operator="greaterThan">
      <formula>I34</formula>
    </cfRule>
  </conditionalFormatting>
  <conditionalFormatting sqref="J35">
    <cfRule type="cellIs" dxfId="1" priority="190" operator="greaterThan">
      <formula>I35</formula>
    </cfRule>
  </conditionalFormatting>
  <conditionalFormatting sqref="J36">
    <cfRule type="cellIs" dxfId="1" priority="195" operator="greaterThan">
      <formula>I36</formula>
    </cfRule>
  </conditionalFormatting>
  <conditionalFormatting sqref="J37">
    <cfRule type="cellIs" dxfId="1" priority="200" operator="greaterThan">
      <formula>I37</formula>
    </cfRule>
  </conditionalFormatting>
  <conditionalFormatting sqref="J38">
    <cfRule type="cellIs" dxfId="1" priority="205" operator="greaterThan">
      <formula>I38</formula>
    </cfRule>
  </conditionalFormatting>
  <conditionalFormatting sqref="J39">
    <cfRule type="cellIs" dxfId="1" priority="210" operator="greaterThan">
      <formula>I39</formula>
    </cfRule>
  </conditionalFormatting>
  <conditionalFormatting sqref="J7">
    <cfRule type="cellIs" dxfId="1" priority="135" operator="greaterThan">
      <formula>I7</formula>
    </cfRule>
  </conditionalFormatting>
  <conditionalFormatting sqref="J9">
    <cfRule type="cellIs" dxfId="1" priority="140" operator="greaterThan">
      <formula>I9</formula>
    </cfRule>
  </conditionalFormatting>
  <conditionalFormatting sqref="K16">
    <cfRule type="cellIs" dxfId="4" priority="147" operator="lessThanOrEqual">
      <formula>G16</formula>
    </cfRule>
  </conditionalFormatting>
  <conditionalFormatting sqref="K17">
    <cfRule type="cellIs" dxfId="4" priority="152" operator="lessThanOrEqual">
      <formula>G17</formula>
    </cfRule>
  </conditionalFormatting>
  <conditionalFormatting sqref="K19">
    <cfRule type="cellIs" dxfId="4" priority="157" operator="lessThanOrEqual">
      <formula>G19</formula>
    </cfRule>
  </conditionalFormatting>
  <conditionalFormatting sqref="K20">
    <cfRule type="cellIs" dxfId="4" priority="162" operator="lessThanOrEqual">
      <formula>G20</formula>
    </cfRule>
  </conditionalFormatting>
  <conditionalFormatting sqref="K23">
    <cfRule type="cellIs" dxfId="4" priority="167" operator="lessThanOrEqual">
      <formula>G23</formula>
    </cfRule>
  </conditionalFormatting>
  <conditionalFormatting sqref="K24">
    <cfRule type="cellIs" dxfId="4" priority="172" operator="lessThanOrEqual">
      <formula>G24</formula>
    </cfRule>
  </conditionalFormatting>
  <conditionalFormatting sqref="K30">
    <cfRule type="cellIs" dxfId="4" priority="177" operator="lessThanOrEqual">
      <formula>G30</formula>
    </cfRule>
  </conditionalFormatting>
  <conditionalFormatting sqref="K32">
    <cfRule type="cellIs" dxfId="4" priority="182" operator="lessThanOrEqual">
      <formula>G32</formula>
    </cfRule>
  </conditionalFormatting>
  <conditionalFormatting sqref="K34">
    <cfRule type="cellIs" dxfId="4" priority="187" operator="lessThanOrEqual">
      <formula>G34</formula>
    </cfRule>
  </conditionalFormatting>
  <conditionalFormatting sqref="K35">
    <cfRule type="cellIs" dxfId="4" priority="192" operator="lessThanOrEqual">
      <formula>G35</formula>
    </cfRule>
  </conditionalFormatting>
  <conditionalFormatting sqref="K36">
    <cfRule type="cellIs" dxfId="4" priority="197" operator="lessThanOrEqual">
      <formula>G36</formula>
    </cfRule>
  </conditionalFormatting>
  <conditionalFormatting sqref="K37">
    <cfRule type="cellIs" dxfId="4" priority="202" operator="lessThanOrEqual">
      <formula>G37</formula>
    </cfRule>
  </conditionalFormatting>
  <conditionalFormatting sqref="K38">
    <cfRule type="cellIs" dxfId="4" priority="207" operator="lessThanOrEqual">
      <formula>G38</formula>
    </cfRule>
  </conditionalFormatting>
  <conditionalFormatting sqref="K39">
    <cfRule type="cellIs" dxfId="4" priority="212" operator="lessThanOrEqual">
      <formula>G39</formula>
    </cfRule>
  </conditionalFormatting>
  <conditionalFormatting sqref="K7">
    <cfRule type="cellIs" dxfId="4" priority="137" operator="lessThanOrEqual">
      <formula>G7</formula>
    </cfRule>
  </conditionalFormatting>
  <conditionalFormatting sqref="K9">
    <cfRule type="cellIs" dxfId="4" priority="142" operator="lessThanOrEqual">
      <formula>G9</formula>
    </cfRule>
  </conditionalFormatting>
  <conditionalFormatting sqref="L16">
    <cfRule type="cellIs" dxfId="4" priority="146" operator="lessThanOrEqual">
      <formula>H16</formula>
    </cfRule>
  </conditionalFormatting>
  <conditionalFormatting sqref="L17">
    <cfRule type="cellIs" dxfId="4" priority="151" operator="lessThanOrEqual">
      <formula>H17</formula>
    </cfRule>
  </conditionalFormatting>
  <conditionalFormatting sqref="L19">
    <cfRule type="cellIs" dxfId="4" priority="156" operator="lessThanOrEqual">
      <formula>H19</formula>
    </cfRule>
  </conditionalFormatting>
  <conditionalFormatting sqref="L20">
    <cfRule type="cellIs" dxfId="4" priority="161" operator="lessThanOrEqual">
      <formula>H20</formula>
    </cfRule>
  </conditionalFormatting>
  <conditionalFormatting sqref="L23">
    <cfRule type="cellIs" dxfId="4" priority="166" operator="lessThanOrEqual">
      <formula>H23</formula>
    </cfRule>
  </conditionalFormatting>
  <conditionalFormatting sqref="L24">
    <cfRule type="cellIs" dxfId="4" priority="171" operator="lessThanOrEqual">
      <formula>H24</formula>
    </cfRule>
  </conditionalFormatting>
  <conditionalFormatting sqref="L30">
    <cfRule type="cellIs" dxfId="4" priority="176" operator="lessThanOrEqual">
      <formula>H30</formula>
    </cfRule>
  </conditionalFormatting>
  <conditionalFormatting sqref="L32">
    <cfRule type="cellIs" dxfId="4" priority="181" operator="lessThanOrEqual">
      <formula>H32</formula>
    </cfRule>
  </conditionalFormatting>
  <conditionalFormatting sqref="L34">
    <cfRule type="cellIs" dxfId="4" priority="186" operator="lessThanOrEqual">
      <formula>H34</formula>
    </cfRule>
  </conditionalFormatting>
  <conditionalFormatting sqref="L35">
    <cfRule type="cellIs" dxfId="4" priority="191" operator="lessThanOrEqual">
      <formula>H35</formula>
    </cfRule>
  </conditionalFormatting>
  <conditionalFormatting sqref="L36">
    <cfRule type="cellIs" dxfId="4" priority="196" operator="lessThanOrEqual">
      <formula>H36</formula>
    </cfRule>
  </conditionalFormatting>
  <conditionalFormatting sqref="L37">
    <cfRule type="cellIs" dxfId="4" priority="201" operator="lessThanOrEqual">
      <formula>H37</formula>
    </cfRule>
  </conditionalFormatting>
  <conditionalFormatting sqref="L38">
    <cfRule type="cellIs" dxfId="4" priority="206" operator="lessThanOrEqual">
      <formula>H38</formula>
    </cfRule>
  </conditionalFormatting>
  <conditionalFormatting sqref="L39">
    <cfRule type="cellIs" dxfId="4" priority="211" operator="lessThanOrEqual">
      <formula>H39</formula>
    </cfRule>
  </conditionalFormatting>
  <conditionalFormatting sqref="L7">
    <cfRule type="cellIs" dxfId="4" priority="136" operator="lessThanOrEqual">
      <formula>H7</formula>
    </cfRule>
  </conditionalFormatting>
  <conditionalFormatting sqref="L9">
    <cfRule type="cellIs" dxfId="4" priority="141" operator="lessThanOrEqual">
      <formula>H9</formula>
    </cfRule>
  </conditionalFormatting>
  <conditionalFormatting sqref="S16">
    <cfRule type="cellIs" dxfId="1" priority="218" operator="equal">
      <formula>0</formula>
    </cfRule>
    <cfRule type="cellIs" dxfId="2" priority="219" operator="lessThan">
      <formula>F16</formula>
    </cfRule>
  </conditionalFormatting>
  <conditionalFormatting sqref="S17">
    <cfRule type="cellIs" dxfId="1" priority="223" operator="equal">
      <formula>0</formula>
    </cfRule>
    <cfRule type="cellIs" dxfId="2" priority="224" operator="lessThan">
      <formula>F17</formula>
    </cfRule>
  </conditionalFormatting>
  <conditionalFormatting sqref="S21">
    <cfRule type="cellIs" dxfId="1" priority="228" operator="equal">
      <formula>0</formula>
    </cfRule>
    <cfRule type="cellIs" dxfId="2" priority="229" operator="lessThan">
      <formula>F21</formula>
    </cfRule>
  </conditionalFormatting>
  <conditionalFormatting sqref="S23">
    <cfRule type="cellIs" dxfId="1" priority="233" operator="equal">
      <formula>0</formula>
    </cfRule>
    <cfRule type="cellIs" dxfId="2" priority="234" operator="lessThan">
      <formula>F23</formula>
    </cfRule>
  </conditionalFormatting>
  <conditionalFormatting sqref="S24">
    <cfRule type="cellIs" dxfId="1" priority="238" operator="equal">
      <formula>0</formula>
    </cfRule>
    <cfRule type="cellIs" dxfId="2" priority="239" operator="lessThan">
      <formula>F24</formula>
    </cfRule>
  </conditionalFormatting>
  <conditionalFormatting sqref="S31">
    <cfRule type="cellIs" dxfId="1" priority="243" operator="equal">
      <formula>0</formula>
    </cfRule>
    <cfRule type="cellIs" dxfId="2" priority="244" operator="lessThan">
      <formula>F31</formula>
    </cfRule>
  </conditionalFormatting>
  <conditionalFormatting sqref="S32">
    <cfRule type="cellIs" dxfId="1" priority="248" operator="equal">
      <formula>0</formula>
    </cfRule>
    <cfRule type="cellIs" dxfId="2" priority="249" operator="lessThan">
      <formula>F32</formula>
    </cfRule>
  </conditionalFormatting>
  <conditionalFormatting sqref="S34">
    <cfRule type="cellIs" dxfId="1" priority="253" operator="equal">
      <formula>0</formula>
    </cfRule>
    <cfRule type="cellIs" dxfId="2" priority="254" operator="lessThan">
      <formula>F34</formula>
    </cfRule>
  </conditionalFormatting>
  <conditionalFormatting sqref="S35">
    <cfRule type="cellIs" dxfId="1" priority="258" operator="equal">
      <formula>0</formula>
    </cfRule>
    <cfRule type="cellIs" dxfId="2" priority="259" operator="lessThan">
      <formula>F35</formula>
    </cfRule>
  </conditionalFormatting>
  <conditionalFormatting sqref="S38">
    <cfRule type="cellIs" dxfId="1" priority="263" operator="equal">
      <formula>0</formula>
    </cfRule>
    <cfRule type="cellIs" dxfId="2" priority="264" operator="lessThan">
      <formula>F38</formula>
    </cfRule>
  </conditionalFormatting>
  <conditionalFormatting sqref="S39">
    <cfRule type="cellIs" dxfId="1" priority="268" operator="equal">
      <formula>0</formula>
    </cfRule>
    <cfRule type="cellIs" dxfId="2" priority="269" operator="lessThan">
      <formula>F39</formula>
    </cfRule>
  </conditionalFormatting>
  <conditionalFormatting sqref="S9">
    <cfRule type="cellIs" dxfId="1" priority="213" operator="equal">
      <formula>0</formula>
    </cfRule>
    <cfRule type="cellIs" dxfId="2" priority="214" operator="lessThan">
      <formula>F9</formula>
    </cfRule>
  </conditionalFormatting>
  <conditionalFormatting sqref="T16">
    <cfRule type="cellIs" dxfId="1" priority="220" operator="greaterThan">
      <formula>S16</formula>
    </cfRule>
  </conditionalFormatting>
  <conditionalFormatting sqref="T17">
    <cfRule type="cellIs" dxfId="1" priority="225" operator="greaterThan">
      <formula>S17</formula>
    </cfRule>
  </conditionalFormatting>
  <conditionalFormatting sqref="T21">
    <cfRule type="cellIs" dxfId="1" priority="230" operator="greaterThan">
      <formula>S21</formula>
    </cfRule>
  </conditionalFormatting>
  <conditionalFormatting sqref="T23">
    <cfRule type="cellIs" dxfId="1" priority="235" operator="greaterThan">
      <formula>S23</formula>
    </cfRule>
  </conditionalFormatting>
  <conditionalFormatting sqref="T24">
    <cfRule type="cellIs" dxfId="1" priority="240" operator="greaterThan">
      <formula>S24</formula>
    </cfRule>
  </conditionalFormatting>
  <conditionalFormatting sqref="T31">
    <cfRule type="cellIs" dxfId="1" priority="245" operator="greaterThan">
      <formula>S31</formula>
    </cfRule>
  </conditionalFormatting>
  <conditionalFormatting sqref="T32">
    <cfRule type="cellIs" dxfId="1" priority="250" operator="greaterThan">
      <formula>S32</formula>
    </cfRule>
  </conditionalFormatting>
  <conditionalFormatting sqref="T34">
    <cfRule type="cellIs" dxfId="1" priority="255" operator="greaterThan">
      <formula>S34</formula>
    </cfRule>
  </conditionalFormatting>
  <conditionalFormatting sqref="T35">
    <cfRule type="cellIs" dxfId="1" priority="260" operator="greaterThan">
      <formula>S35</formula>
    </cfRule>
  </conditionalFormatting>
  <conditionalFormatting sqref="T38">
    <cfRule type="cellIs" dxfId="1" priority="265" operator="greaterThan">
      <formula>S38</formula>
    </cfRule>
  </conditionalFormatting>
  <conditionalFormatting sqref="T39">
    <cfRule type="cellIs" dxfId="1" priority="270" operator="greaterThan">
      <formula>S39</formula>
    </cfRule>
  </conditionalFormatting>
  <conditionalFormatting sqref="T9">
    <cfRule type="cellIs" dxfId="1" priority="215" operator="greaterThan">
      <formula>S9</formula>
    </cfRule>
  </conditionalFormatting>
  <conditionalFormatting sqref="U16">
    <cfRule type="cellIs" dxfId="4" priority="222" operator="lessThanOrEqual">
      <formula>G16</formula>
    </cfRule>
  </conditionalFormatting>
  <conditionalFormatting sqref="U17">
    <cfRule type="cellIs" dxfId="4" priority="227" operator="lessThanOrEqual">
      <formula>G17</formula>
    </cfRule>
  </conditionalFormatting>
  <conditionalFormatting sqref="U21">
    <cfRule type="cellIs" dxfId="4" priority="232" operator="lessThanOrEqual">
      <formula>G21</formula>
    </cfRule>
  </conditionalFormatting>
  <conditionalFormatting sqref="U23">
    <cfRule type="cellIs" dxfId="4" priority="237" operator="lessThanOrEqual">
      <formula>G23</formula>
    </cfRule>
  </conditionalFormatting>
  <conditionalFormatting sqref="U24">
    <cfRule type="cellIs" dxfId="4" priority="242" operator="lessThanOrEqual">
      <formula>G24</formula>
    </cfRule>
  </conditionalFormatting>
  <conditionalFormatting sqref="U31">
    <cfRule type="cellIs" dxfId="4" priority="247" operator="lessThanOrEqual">
      <formula>G31</formula>
    </cfRule>
  </conditionalFormatting>
  <conditionalFormatting sqref="U32">
    <cfRule type="cellIs" dxfId="4" priority="252" operator="lessThanOrEqual">
      <formula>G32</formula>
    </cfRule>
  </conditionalFormatting>
  <conditionalFormatting sqref="U34">
    <cfRule type="cellIs" dxfId="4" priority="257" operator="lessThanOrEqual">
      <formula>G34</formula>
    </cfRule>
  </conditionalFormatting>
  <conditionalFormatting sqref="U35">
    <cfRule type="cellIs" dxfId="4" priority="262" operator="lessThanOrEqual">
      <formula>G35</formula>
    </cfRule>
  </conditionalFormatting>
  <conditionalFormatting sqref="U38">
    <cfRule type="cellIs" dxfId="4" priority="267" operator="lessThanOrEqual">
      <formula>G38</formula>
    </cfRule>
  </conditionalFormatting>
  <conditionalFormatting sqref="U39">
    <cfRule type="cellIs" dxfId="4" priority="272" operator="lessThanOrEqual">
      <formula>G39</formula>
    </cfRule>
  </conditionalFormatting>
  <conditionalFormatting sqref="U9">
    <cfRule type="cellIs" dxfId="4" priority="217" operator="lessThanOrEqual">
      <formula>G9</formula>
    </cfRule>
  </conditionalFormatting>
  <conditionalFormatting sqref="V16">
    <cfRule type="cellIs" dxfId="4" priority="221" operator="lessThanOrEqual">
      <formula>H16</formula>
    </cfRule>
  </conditionalFormatting>
  <conditionalFormatting sqref="V17">
    <cfRule type="cellIs" dxfId="4" priority="226" operator="lessThanOrEqual">
      <formula>H17</formula>
    </cfRule>
  </conditionalFormatting>
  <conditionalFormatting sqref="V21">
    <cfRule type="cellIs" dxfId="4" priority="231" operator="lessThanOrEqual">
      <formula>H21</formula>
    </cfRule>
  </conditionalFormatting>
  <conditionalFormatting sqref="V23">
    <cfRule type="cellIs" dxfId="4" priority="236" operator="lessThanOrEqual">
      <formula>H23</formula>
    </cfRule>
  </conditionalFormatting>
  <conditionalFormatting sqref="V24">
    <cfRule type="cellIs" dxfId="4" priority="241" operator="lessThanOrEqual">
      <formula>H24</formula>
    </cfRule>
  </conditionalFormatting>
  <conditionalFormatting sqref="V31">
    <cfRule type="cellIs" dxfId="4" priority="246" operator="lessThanOrEqual">
      <formula>H31</formula>
    </cfRule>
  </conditionalFormatting>
  <conditionalFormatting sqref="V32">
    <cfRule type="cellIs" dxfId="4" priority="251" operator="lessThanOrEqual">
      <formula>H32</formula>
    </cfRule>
  </conditionalFormatting>
  <conditionalFormatting sqref="V34">
    <cfRule type="cellIs" dxfId="4" priority="256" operator="lessThanOrEqual">
      <formula>H34</formula>
    </cfRule>
  </conditionalFormatting>
  <conditionalFormatting sqref="V35">
    <cfRule type="cellIs" dxfId="4" priority="261" operator="lessThanOrEqual">
      <formula>H35</formula>
    </cfRule>
  </conditionalFormatting>
  <conditionalFormatting sqref="V38">
    <cfRule type="cellIs" dxfId="4" priority="266" operator="lessThanOrEqual">
      <formula>H38</formula>
    </cfRule>
  </conditionalFormatting>
  <conditionalFormatting sqref="V39">
    <cfRule type="cellIs" dxfId="4" priority="271" operator="lessThanOrEqual">
      <formula>H39</formula>
    </cfRule>
  </conditionalFormatting>
  <conditionalFormatting sqref="V9">
    <cfRule type="cellIs" dxfId="4" priority="216" operator="lessThanOrEqual">
      <formula>H9</formula>
    </cfRule>
  </conditionalFormatting>
  <conditionalFormatting sqref="X15">
    <cfRule type="cellIs" dxfId="1" priority="283" operator="equal">
      <formula>0</formula>
    </cfRule>
    <cfRule type="cellIs" dxfId="2" priority="284" operator="lessThan">
      <formula>F15</formula>
    </cfRule>
  </conditionalFormatting>
  <conditionalFormatting sqref="X16">
    <cfRule type="cellIs" dxfId="1" priority="288" operator="equal">
      <formula>0</formula>
    </cfRule>
    <cfRule type="cellIs" dxfId="2" priority="289" operator="lessThan">
      <formula>F16</formula>
    </cfRule>
  </conditionalFormatting>
  <conditionalFormatting sqref="X17">
    <cfRule type="cellIs" dxfId="1" priority="293" operator="equal">
      <formula>0</formula>
    </cfRule>
    <cfRule type="cellIs" dxfId="2" priority="294" operator="lessThan">
      <formula>F17</formula>
    </cfRule>
  </conditionalFormatting>
  <conditionalFormatting sqref="X18">
    <cfRule type="cellIs" dxfId="1" priority="298" operator="equal">
      <formula>0</formula>
    </cfRule>
    <cfRule type="cellIs" dxfId="2" priority="299" operator="lessThan">
      <formula>F18</formula>
    </cfRule>
  </conditionalFormatting>
  <conditionalFormatting sqref="X19">
    <cfRule type="cellIs" dxfId="1" priority="303" operator="equal">
      <formula>0</formula>
    </cfRule>
    <cfRule type="cellIs" dxfId="2" priority="304" operator="lessThan">
      <formula>F19</formula>
    </cfRule>
  </conditionalFormatting>
  <conditionalFormatting sqref="X20">
    <cfRule type="cellIs" dxfId="1" priority="308" operator="equal">
      <formula>0</formula>
    </cfRule>
    <cfRule type="cellIs" dxfId="2" priority="309" operator="lessThan">
      <formula>F20</formula>
    </cfRule>
  </conditionalFormatting>
  <conditionalFormatting sqref="X24">
    <cfRule type="cellIs" dxfId="1" priority="313" operator="equal">
      <formula>0</formula>
    </cfRule>
    <cfRule type="cellIs" dxfId="2" priority="314" operator="lessThan">
      <formula>F24</formula>
    </cfRule>
  </conditionalFormatting>
  <conditionalFormatting sqref="X30">
    <cfRule type="cellIs" dxfId="1" priority="318" operator="equal">
      <formula>0</formula>
    </cfRule>
    <cfRule type="cellIs" dxfId="2" priority="319" operator="lessThan">
      <formula>F30</formula>
    </cfRule>
  </conditionalFormatting>
  <conditionalFormatting sqref="X34">
    <cfRule type="cellIs" dxfId="1" priority="323" operator="equal">
      <formula>0</formula>
    </cfRule>
    <cfRule type="cellIs" dxfId="2" priority="324" operator="lessThan">
      <formula>F34</formula>
    </cfRule>
  </conditionalFormatting>
  <conditionalFormatting sqref="X35">
    <cfRule type="cellIs" dxfId="1" priority="328" operator="equal">
      <formula>0</formula>
    </cfRule>
    <cfRule type="cellIs" dxfId="2" priority="329" operator="lessThan">
      <formula>F35</formula>
    </cfRule>
  </conditionalFormatting>
  <conditionalFormatting sqref="X36">
    <cfRule type="cellIs" dxfId="1" priority="333" operator="equal">
      <formula>0</formula>
    </cfRule>
    <cfRule type="cellIs" dxfId="2" priority="334" operator="lessThan">
      <formula>F36</formula>
    </cfRule>
  </conditionalFormatting>
  <conditionalFormatting sqref="X37">
    <cfRule type="cellIs" dxfId="1" priority="338" operator="equal">
      <formula>0</formula>
    </cfRule>
    <cfRule type="cellIs" dxfId="2" priority="339" operator="lessThan">
      <formula>F37</formula>
    </cfRule>
  </conditionalFormatting>
  <conditionalFormatting sqref="X38">
    <cfRule type="cellIs" dxfId="1" priority="343" operator="equal">
      <formula>0</formula>
    </cfRule>
    <cfRule type="cellIs" dxfId="2" priority="344" operator="lessThan">
      <formula>F38</formula>
    </cfRule>
  </conditionalFormatting>
  <conditionalFormatting sqref="X39">
    <cfRule type="cellIs" dxfId="1" priority="348" operator="equal">
      <formula>0</formula>
    </cfRule>
    <cfRule type="cellIs" dxfId="2" priority="349" operator="lessThan">
      <formula>F39</formula>
    </cfRule>
  </conditionalFormatting>
  <conditionalFormatting sqref="X7">
    <cfRule type="cellIs" dxfId="1" priority="273" operator="equal">
      <formula>0</formula>
    </cfRule>
    <cfRule type="cellIs" dxfId="2" priority="274" operator="lessThan">
      <formula>F7</formula>
    </cfRule>
  </conditionalFormatting>
  <conditionalFormatting sqref="X9">
    <cfRule type="cellIs" dxfId="1" priority="278" operator="equal">
      <formula>0</formula>
    </cfRule>
    <cfRule type="cellIs" dxfId="2" priority="279" operator="lessThan">
      <formula>F9</formula>
    </cfRule>
  </conditionalFormatting>
  <conditionalFormatting sqref="Y15">
    <cfRule type="cellIs" dxfId="1" priority="285" operator="greaterThan">
      <formula>X15</formula>
    </cfRule>
  </conditionalFormatting>
  <conditionalFormatting sqref="Y16">
    <cfRule type="cellIs" dxfId="1" priority="290" operator="greaterThan">
      <formula>X16</formula>
    </cfRule>
  </conditionalFormatting>
  <conditionalFormatting sqref="Y17">
    <cfRule type="cellIs" dxfId="1" priority="295" operator="greaterThan">
      <formula>X17</formula>
    </cfRule>
  </conditionalFormatting>
  <conditionalFormatting sqref="Y18">
    <cfRule type="cellIs" dxfId="1" priority="300" operator="greaterThan">
      <formula>X18</formula>
    </cfRule>
  </conditionalFormatting>
  <conditionalFormatting sqref="Y19">
    <cfRule type="cellIs" dxfId="1" priority="305" operator="greaterThan">
      <formula>X19</formula>
    </cfRule>
  </conditionalFormatting>
  <conditionalFormatting sqref="Y20">
    <cfRule type="cellIs" dxfId="1" priority="310" operator="greaterThan">
      <formula>X20</formula>
    </cfRule>
  </conditionalFormatting>
  <conditionalFormatting sqref="Y24">
    <cfRule type="cellIs" dxfId="1" priority="315" operator="greaterThan">
      <formula>X24</formula>
    </cfRule>
  </conditionalFormatting>
  <conditionalFormatting sqref="Y30">
    <cfRule type="cellIs" dxfId="1" priority="320" operator="greaterThan">
      <formula>X30</formula>
    </cfRule>
  </conditionalFormatting>
  <conditionalFormatting sqref="Y34">
    <cfRule type="cellIs" dxfId="1" priority="325" operator="greaterThan">
      <formula>X34</formula>
    </cfRule>
  </conditionalFormatting>
  <conditionalFormatting sqref="Y35">
    <cfRule type="cellIs" dxfId="1" priority="330" operator="greaterThan">
      <formula>X35</formula>
    </cfRule>
  </conditionalFormatting>
  <conditionalFormatting sqref="Y36">
    <cfRule type="cellIs" dxfId="1" priority="335" operator="greaterThan">
      <formula>X36</formula>
    </cfRule>
  </conditionalFormatting>
  <conditionalFormatting sqref="Y37">
    <cfRule type="cellIs" dxfId="1" priority="340" operator="greaterThan">
      <formula>X37</formula>
    </cfRule>
  </conditionalFormatting>
  <conditionalFormatting sqref="Y38">
    <cfRule type="cellIs" dxfId="1" priority="345" operator="greaterThan">
      <formula>X38</formula>
    </cfRule>
  </conditionalFormatting>
  <conditionalFormatting sqref="Y39">
    <cfRule type="cellIs" dxfId="1" priority="350" operator="greaterThan">
      <formula>X39</formula>
    </cfRule>
  </conditionalFormatting>
  <conditionalFormatting sqref="Y7">
    <cfRule type="cellIs" dxfId="1" priority="275" operator="greaterThan">
      <formula>X7</formula>
    </cfRule>
  </conditionalFormatting>
  <conditionalFormatting sqref="Y9">
    <cfRule type="cellIs" dxfId="1" priority="280" operator="greaterThan">
      <formula>X9</formula>
    </cfRule>
  </conditionalFormatting>
  <conditionalFormatting sqref="Z15">
    <cfRule type="cellIs" dxfId="4" priority="287" operator="lessThanOrEqual">
      <formula>G15</formula>
    </cfRule>
  </conditionalFormatting>
  <conditionalFormatting sqref="Z16">
    <cfRule type="cellIs" dxfId="4" priority="292" operator="lessThanOrEqual">
      <formula>G16</formula>
    </cfRule>
  </conditionalFormatting>
  <conditionalFormatting sqref="Z17">
    <cfRule type="cellIs" dxfId="4" priority="297" operator="lessThanOrEqual">
      <formula>G17</formula>
    </cfRule>
  </conditionalFormatting>
  <conditionalFormatting sqref="Z18">
    <cfRule type="cellIs" dxfId="4" priority="302" operator="lessThanOrEqual">
      <formula>G18</formula>
    </cfRule>
  </conditionalFormatting>
  <conditionalFormatting sqref="Z19">
    <cfRule type="cellIs" dxfId="4" priority="307" operator="lessThanOrEqual">
      <formula>G19</formula>
    </cfRule>
  </conditionalFormatting>
  <conditionalFormatting sqref="Z20">
    <cfRule type="cellIs" dxfId="4" priority="312" operator="lessThanOrEqual">
      <formula>G20</formula>
    </cfRule>
  </conditionalFormatting>
  <conditionalFormatting sqref="Z24">
    <cfRule type="cellIs" dxfId="4" priority="317" operator="lessThanOrEqual">
      <formula>G24</formula>
    </cfRule>
  </conditionalFormatting>
  <conditionalFormatting sqref="Z30">
    <cfRule type="cellIs" dxfId="4" priority="322" operator="lessThanOrEqual">
      <formula>G30</formula>
    </cfRule>
  </conditionalFormatting>
  <conditionalFormatting sqref="Z34">
    <cfRule type="cellIs" dxfId="4" priority="327" operator="lessThanOrEqual">
      <formula>G34</formula>
    </cfRule>
  </conditionalFormatting>
  <conditionalFormatting sqref="Z35">
    <cfRule type="cellIs" dxfId="4" priority="332" operator="lessThanOrEqual">
      <formula>G35</formula>
    </cfRule>
  </conditionalFormatting>
  <conditionalFormatting sqref="Z36">
    <cfRule type="cellIs" dxfId="4" priority="337" operator="lessThanOrEqual">
      <formula>G36</formula>
    </cfRule>
  </conditionalFormatting>
  <conditionalFormatting sqref="Z37">
    <cfRule type="cellIs" dxfId="4" priority="342" operator="lessThanOrEqual">
      <formula>G37</formula>
    </cfRule>
  </conditionalFormatting>
  <conditionalFormatting sqref="Z38">
    <cfRule type="cellIs" dxfId="4" priority="347" operator="lessThanOrEqual">
      <formula>G38</formula>
    </cfRule>
  </conditionalFormatting>
  <conditionalFormatting sqref="Z39">
    <cfRule type="cellIs" dxfId="4" priority="352" operator="lessThanOrEqual">
      <formula>G39</formula>
    </cfRule>
  </conditionalFormatting>
  <conditionalFormatting sqref="Z7">
    <cfRule type="cellIs" dxfId="4" priority="277" operator="lessThanOrEqual">
      <formula>G7</formula>
    </cfRule>
  </conditionalFormatting>
  <conditionalFormatting sqref="Z9">
    <cfRule type="cellIs" dxfId="4" priority="282" operator="lessThanOrEqual">
      <formula>G9</formula>
    </cfRule>
  </conditionalFormatting>
  <hyperlinks>
    <hyperlink ref="E7" r:id="rId1"/>
    <hyperlink ref="M7" r:id="rId2"/>
    <hyperlink ref="R7" r:id="rId3"/>
    <hyperlink ref="AB7" r:id="rId4"/>
    <hyperlink ref="AG7" r:id="rId5"/>
    <hyperlink ref="E9" r:id="rId6"/>
    <hyperlink ref="M9" r:id="rId7"/>
    <hyperlink ref="R9" r:id="rId8"/>
    <hyperlink ref="W9" r:id="rId9"/>
    <hyperlink ref="AB9" r:id="rId10"/>
    <hyperlink ref="AG9" r:id="rId11"/>
    <hyperlink ref="E15" r:id="rId12"/>
    <hyperlink ref="R15" r:id="rId13"/>
    <hyperlink ref="AB15" r:id="rId14"/>
    <hyperlink ref="AG15" r:id="rId15"/>
    <hyperlink ref="E16" r:id="rId16"/>
    <hyperlink ref="M16" r:id="rId17"/>
    <hyperlink ref="R16" r:id="rId18"/>
    <hyperlink ref="W16" r:id="rId19"/>
    <hyperlink ref="AB16" r:id="rId20"/>
    <hyperlink ref="AG16" r:id="rId21"/>
    <hyperlink ref="E17" r:id="rId22"/>
    <hyperlink ref="M17" r:id="rId23"/>
    <hyperlink ref="R17" r:id="rId24"/>
    <hyperlink ref="W17" r:id="rId25"/>
    <hyperlink ref="AB17" r:id="rId26"/>
    <hyperlink ref="AG17" r:id="rId27"/>
    <hyperlink ref="R18" r:id="rId28"/>
    <hyperlink ref="AB18" r:id="rId29"/>
    <hyperlink ref="E19" r:id="rId30"/>
    <hyperlink ref="M19" r:id="rId31"/>
    <hyperlink ref="R19" r:id="rId32"/>
    <hyperlink ref="AB19" r:id="rId33"/>
    <hyperlink ref="AG19" r:id="rId34"/>
    <hyperlink ref="E20" r:id="rId35"/>
    <hyperlink ref="M20" r:id="rId36"/>
    <hyperlink ref="R20" r:id="rId37"/>
    <hyperlink ref="AB20" r:id="rId38"/>
    <hyperlink ref="AG20" r:id="rId39"/>
    <hyperlink ref="E21" r:id="rId40"/>
    <hyperlink ref="R21" r:id="rId41"/>
    <hyperlink ref="W21" r:id="rId42"/>
    <hyperlink ref="AB21" r:id="rId43"/>
    <hyperlink ref="E23" r:id="rId44"/>
    <hyperlink ref="M23" r:id="rId45"/>
    <hyperlink ref="W23" r:id="rId46"/>
    <hyperlink ref="AG23" r:id="rId47"/>
    <hyperlink ref="E24" r:id="rId48"/>
    <hyperlink ref="M24" r:id="rId49"/>
    <hyperlink ref="R24" r:id="rId50"/>
    <hyperlink ref="W24" r:id="rId51"/>
    <hyperlink ref="AB24" r:id="rId52"/>
    <hyperlink ref="AG24" r:id="rId53"/>
    <hyperlink ref="E30" r:id="rId54"/>
    <hyperlink ref="M30" r:id="rId55"/>
    <hyperlink ref="R30" r:id="rId56"/>
    <hyperlink ref="AB30" r:id="rId57"/>
    <hyperlink ref="AG30" r:id="rId58"/>
    <hyperlink ref="E31" r:id="rId59"/>
    <hyperlink ref="W31" r:id="rId60"/>
    <hyperlink ref="AG31" r:id="rId61"/>
    <hyperlink ref="E32" r:id="rId62"/>
    <hyperlink ref="M32" r:id="rId63"/>
    <hyperlink ref="R32" r:id="rId64"/>
    <hyperlink ref="W32" r:id="rId65"/>
    <hyperlink ref="AB32" r:id="rId66"/>
    <hyperlink ref="AG32" r:id="rId67"/>
    <hyperlink ref="E33" r:id="rId68"/>
    <hyperlink ref="E34" r:id="rId69"/>
    <hyperlink ref="M34" r:id="rId70"/>
    <hyperlink ref="R34" r:id="rId71"/>
    <hyperlink ref="W34" r:id="rId72"/>
    <hyperlink ref="AB34" r:id="rId73"/>
    <hyperlink ref="E35" r:id="rId74"/>
    <hyperlink ref="M35" r:id="rId75"/>
    <hyperlink ref="R35" r:id="rId76"/>
    <hyperlink ref="W35" r:id="rId77"/>
    <hyperlink ref="AB35" r:id="rId78"/>
    <hyperlink ref="AG35" r:id="rId79"/>
    <hyperlink ref="E36" r:id="rId80"/>
    <hyperlink ref="M36" r:id="rId81"/>
    <hyperlink ref="R36" r:id="rId82"/>
    <hyperlink ref="AB36" r:id="rId83"/>
    <hyperlink ref="E37" r:id="rId84"/>
    <hyperlink ref="M37" r:id="rId85"/>
    <hyperlink ref="R37" r:id="rId86"/>
    <hyperlink ref="AB37" r:id="rId87"/>
    <hyperlink ref="AG37" r:id="rId88"/>
    <hyperlink ref="E38" r:id="rId89"/>
    <hyperlink ref="M38" r:id="rId90"/>
    <hyperlink ref="R38" r:id="rId91"/>
    <hyperlink ref="W38" r:id="rId92"/>
    <hyperlink ref="AB38" r:id="rId93"/>
    <hyperlink ref="AG38" r:id="rId94"/>
    <hyperlink ref="E39" r:id="rId95"/>
    <hyperlink ref="M39" r:id="rId96"/>
    <hyperlink ref="R39" r:id="rId97"/>
    <hyperlink ref="W39" r:id="rId98"/>
    <hyperlink ref="AB39" r:id="rId99"/>
    <hyperlink ref="AG39" r:id="rId100"/>
  </hyperlinks>
  <pageMargins left="0.7" right="0.7" top="0.75" bottom="0.75" header="0.3" footer="0.3"/>
  <legacy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ThermocoupleLogger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2019-06-05T15:52:04Z</dcterms:created>
  <dcterms:modified xsi:type="dcterms:W3CDTF">2019-06-05T15:52:04Z</dcterms:modified>
</cp:coreProperties>
</file>