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22240" windowHeight="13640"/>
  </bookViews>
  <sheets>
    <sheet name="ThermocoupleLogger" sheetId="1" r:id="rId1"/>
  </sheets>
  <definedNames>
    <definedName name="BoardQty">ThermocoupleLogger!$I$1</definedName>
    <definedName name="digikey_part_data">ThermocoupleLogger!$J$5:$N$38</definedName>
    <definedName name="farnell_part_data">ThermocoupleLogger!$O$5:$S$38</definedName>
    <definedName name="GBP_USD">ThermocoupleLogger!$C$41</definedName>
    <definedName name="global_part_data">ThermocoupleLogger!$A$5:$I$38</definedName>
    <definedName name="mouser_part_data">ThermocoupleLogger!$T$5:$X$38</definedName>
    <definedName name="newark_part_data">ThermocoupleLogger!$Y$5:$AC$38</definedName>
    <definedName name="PURCHASE_DESCRIPTION">ThermocoupleLogger!$I$41</definedName>
    <definedName name="rs_part_data">ThermocoupleLogger!$AD$5:$AH$38</definedName>
    <definedName name="TotalCost">ThermocoupleLogger!$I$3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72" i="1" l="1" a="1"/>
  <c r="AE72" i="1"/>
  <c r="Z72" i="1" a="1"/>
  <c r="Z72" i="1"/>
  <c r="U72" i="1" a="1"/>
  <c r="U72" i="1"/>
  <c r="P72" i="1" a="1"/>
  <c r="P72" i="1"/>
  <c r="K72" i="1" a="1"/>
  <c r="K72" i="1"/>
  <c r="AE71" i="1" a="1"/>
  <c r="AE71" i="1"/>
  <c r="Z71" i="1" a="1"/>
  <c r="Z71" i="1"/>
  <c r="U71" i="1" a="1"/>
  <c r="U71" i="1"/>
  <c r="P71" i="1" a="1"/>
  <c r="P71" i="1"/>
  <c r="K71" i="1" a="1"/>
  <c r="K71" i="1"/>
  <c r="AE70" i="1" a="1"/>
  <c r="AE70" i="1"/>
  <c r="Z70" i="1" a="1"/>
  <c r="Z70" i="1"/>
  <c r="U70" i="1" a="1"/>
  <c r="U70" i="1"/>
  <c r="P70" i="1" a="1"/>
  <c r="P70" i="1"/>
  <c r="K70" i="1" a="1"/>
  <c r="K70" i="1"/>
  <c r="AE69" i="1" a="1"/>
  <c r="AE69" i="1"/>
  <c r="Z69" i="1" a="1"/>
  <c r="Z69" i="1"/>
  <c r="U69" i="1" a="1"/>
  <c r="U69" i="1"/>
  <c r="P69" i="1" a="1"/>
  <c r="P69" i="1"/>
  <c r="K69" i="1" a="1"/>
  <c r="K69" i="1"/>
  <c r="AE68" i="1" a="1"/>
  <c r="AE68" i="1"/>
  <c r="Z68" i="1" a="1"/>
  <c r="Z68" i="1"/>
  <c r="U68" i="1" a="1"/>
  <c r="U68" i="1"/>
  <c r="P68" i="1" a="1"/>
  <c r="P68" i="1"/>
  <c r="K68" i="1" a="1"/>
  <c r="K68" i="1"/>
  <c r="AE67" i="1" a="1"/>
  <c r="AE67" i="1"/>
  <c r="Z67" i="1" a="1"/>
  <c r="Z67" i="1"/>
  <c r="U67" i="1" a="1"/>
  <c r="U67" i="1"/>
  <c r="P67" i="1" a="1"/>
  <c r="P67" i="1"/>
  <c r="K67" i="1" a="1"/>
  <c r="K67" i="1"/>
  <c r="AE66" i="1" a="1"/>
  <c r="AE66" i="1"/>
  <c r="Z66" i="1" a="1"/>
  <c r="Z66" i="1"/>
  <c r="U66" i="1" a="1"/>
  <c r="U66" i="1"/>
  <c r="P66" i="1" a="1"/>
  <c r="P66" i="1"/>
  <c r="K66" i="1" a="1"/>
  <c r="K66" i="1"/>
  <c r="AE65" i="1" a="1"/>
  <c r="AE65" i="1"/>
  <c r="Z65" i="1" a="1"/>
  <c r="Z65" i="1"/>
  <c r="U65" i="1" a="1"/>
  <c r="U65" i="1"/>
  <c r="P65" i="1" a="1"/>
  <c r="P65" i="1"/>
  <c r="K65" i="1" a="1"/>
  <c r="K65" i="1"/>
  <c r="AE64" i="1" a="1"/>
  <c r="AE64" i="1"/>
  <c r="Z64" i="1" a="1"/>
  <c r="Z64" i="1"/>
  <c r="U64" i="1" a="1"/>
  <c r="U64" i="1"/>
  <c r="P64" i="1" a="1"/>
  <c r="P64" i="1"/>
  <c r="K64" i="1" a="1"/>
  <c r="K64" i="1"/>
  <c r="AE63" i="1" a="1"/>
  <c r="AE63" i="1"/>
  <c r="Z63" i="1" a="1"/>
  <c r="Z63" i="1"/>
  <c r="U63" i="1" a="1"/>
  <c r="U63" i="1"/>
  <c r="P63" i="1" a="1"/>
  <c r="P63" i="1"/>
  <c r="K63" i="1" a="1"/>
  <c r="K63" i="1"/>
  <c r="AE62" i="1" a="1"/>
  <c r="AE62" i="1"/>
  <c r="Z62" i="1" a="1"/>
  <c r="Z62" i="1"/>
  <c r="U62" i="1" a="1"/>
  <c r="U62" i="1"/>
  <c r="P62" i="1" a="1"/>
  <c r="P62" i="1"/>
  <c r="K62" i="1" a="1"/>
  <c r="K62" i="1"/>
  <c r="AE61" i="1" a="1"/>
  <c r="AE61" i="1"/>
  <c r="Z61" i="1" a="1"/>
  <c r="Z61" i="1"/>
  <c r="U61" i="1" a="1"/>
  <c r="U61" i="1"/>
  <c r="P61" i="1" a="1"/>
  <c r="P61" i="1"/>
  <c r="K61" i="1" a="1"/>
  <c r="K61" i="1"/>
  <c r="AE60" i="1" a="1"/>
  <c r="AE60" i="1"/>
  <c r="Z60" i="1" a="1"/>
  <c r="Z60" i="1"/>
  <c r="U60" i="1" a="1"/>
  <c r="U60" i="1"/>
  <c r="P60" i="1" a="1"/>
  <c r="P60" i="1"/>
  <c r="K60" i="1" a="1"/>
  <c r="K60" i="1"/>
  <c r="AE59" i="1" a="1"/>
  <c r="AE59" i="1"/>
  <c r="Z59" i="1" a="1"/>
  <c r="Z59" i="1"/>
  <c r="U59" i="1" a="1"/>
  <c r="U59" i="1"/>
  <c r="P59" i="1" a="1"/>
  <c r="P59" i="1"/>
  <c r="K59" i="1" a="1"/>
  <c r="K59" i="1"/>
  <c r="AE58" i="1" a="1"/>
  <c r="AE58" i="1"/>
  <c r="Z58" i="1" a="1"/>
  <c r="Z58" i="1"/>
  <c r="U58" i="1" a="1"/>
  <c r="U58" i="1"/>
  <c r="P58" i="1" a="1"/>
  <c r="P58" i="1"/>
  <c r="K58" i="1" a="1"/>
  <c r="K58" i="1"/>
  <c r="AE57" i="1" a="1"/>
  <c r="AE57" i="1"/>
  <c r="Z57" i="1" a="1"/>
  <c r="Z57" i="1"/>
  <c r="U57" i="1" a="1"/>
  <c r="U57" i="1"/>
  <c r="P57" i="1" a="1"/>
  <c r="P57" i="1"/>
  <c r="K57" i="1" a="1"/>
  <c r="K57" i="1"/>
  <c r="AE56" i="1" a="1"/>
  <c r="AE56" i="1"/>
  <c r="Z56" i="1" a="1"/>
  <c r="Z56" i="1"/>
  <c r="U56" i="1" a="1"/>
  <c r="U56" i="1"/>
  <c r="P56" i="1" a="1"/>
  <c r="P56" i="1"/>
  <c r="K56" i="1" a="1"/>
  <c r="K56" i="1"/>
  <c r="AE55" i="1" a="1"/>
  <c r="AE55" i="1"/>
  <c r="Z55" i="1" a="1"/>
  <c r="Z55" i="1"/>
  <c r="U55" i="1" a="1"/>
  <c r="U55" i="1"/>
  <c r="P55" i="1" a="1"/>
  <c r="P55" i="1"/>
  <c r="K55" i="1" a="1"/>
  <c r="K55" i="1"/>
  <c r="AE54" i="1" a="1"/>
  <c r="AE54" i="1"/>
  <c r="Z54" i="1" a="1"/>
  <c r="Z54" i="1"/>
  <c r="U54" i="1" a="1"/>
  <c r="U54" i="1"/>
  <c r="P54" i="1" a="1"/>
  <c r="P54" i="1"/>
  <c r="K54" i="1" a="1"/>
  <c r="K54" i="1"/>
  <c r="AE53" i="1" a="1"/>
  <c r="AE53" i="1"/>
  <c r="Z53" i="1" a="1"/>
  <c r="Z53" i="1"/>
  <c r="U53" i="1" a="1"/>
  <c r="U53" i="1"/>
  <c r="P53" i="1" a="1"/>
  <c r="P53" i="1"/>
  <c r="K53" i="1" a="1"/>
  <c r="K53" i="1"/>
  <c r="AE52" i="1" a="1"/>
  <c r="AE52" i="1"/>
  <c r="Z52" i="1" a="1"/>
  <c r="Z52" i="1"/>
  <c r="U52" i="1" a="1"/>
  <c r="U52" i="1"/>
  <c r="P52" i="1" a="1"/>
  <c r="P52" i="1"/>
  <c r="K52" i="1" a="1"/>
  <c r="K52" i="1"/>
  <c r="AE51" i="1" a="1"/>
  <c r="AE51" i="1"/>
  <c r="Z51" i="1" a="1"/>
  <c r="Z51" i="1"/>
  <c r="U51" i="1" a="1"/>
  <c r="U51" i="1"/>
  <c r="P51" i="1" a="1"/>
  <c r="P51" i="1"/>
  <c r="K51" i="1" a="1"/>
  <c r="K51" i="1"/>
  <c r="AE50" i="1" a="1"/>
  <c r="AE50" i="1"/>
  <c r="Z50" i="1" a="1"/>
  <c r="Z50" i="1"/>
  <c r="U50" i="1" a="1"/>
  <c r="U50" i="1"/>
  <c r="P50" i="1" a="1"/>
  <c r="P50" i="1"/>
  <c r="K50" i="1" a="1"/>
  <c r="K50" i="1"/>
  <c r="AE49" i="1" a="1"/>
  <c r="AE49" i="1"/>
  <c r="Z49" i="1" a="1"/>
  <c r="Z49" i="1"/>
  <c r="U49" i="1" a="1"/>
  <c r="U49" i="1"/>
  <c r="P49" i="1" a="1"/>
  <c r="P49" i="1"/>
  <c r="K49" i="1" a="1"/>
  <c r="K49" i="1"/>
  <c r="AE48" i="1" a="1"/>
  <c r="AE48" i="1"/>
  <c r="Z48" i="1" a="1"/>
  <c r="Z48" i="1"/>
  <c r="U48" i="1" a="1"/>
  <c r="U48" i="1"/>
  <c r="P48" i="1" a="1"/>
  <c r="P48" i="1"/>
  <c r="K48" i="1" a="1"/>
  <c r="K48" i="1"/>
  <c r="AE47" i="1" a="1"/>
  <c r="AE47" i="1"/>
  <c r="Z47" i="1" a="1"/>
  <c r="Z47" i="1"/>
  <c r="U47" i="1" a="1"/>
  <c r="U47" i="1"/>
  <c r="P47" i="1" a="1"/>
  <c r="P47" i="1"/>
  <c r="K47" i="1" a="1"/>
  <c r="K47" i="1"/>
  <c r="AE46" i="1" a="1"/>
  <c r="AE46" i="1"/>
  <c r="Z46" i="1" a="1"/>
  <c r="Z46" i="1"/>
  <c r="U46" i="1" a="1"/>
  <c r="U46" i="1"/>
  <c r="P46" i="1" a="1"/>
  <c r="P46" i="1"/>
  <c r="K46" i="1" a="1"/>
  <c r="K46" i="1"/>
  <c r="AE45" i="1" a="1"/>
  <c r="AE45" i="1"/>
  <c r="Z45" i="1" a="1"/>
  <c r="Z45" i="1"/>
  <c r="U45" i="1" a="1"/>
  <c r="U45" i="1"/>
  <c r="P45" i="1" a="1"/>
  <c r="P45" i="1"/>
  <c r="K45" i="1" a="1"/>
  <c r="K45" i="1"/>
  <c r="AE44" i="1" a="1"/>
  <c r="AE44" i="1"/>
  <c r="Z44" i="1" a="1"/>
  <c r="Z44" i="1"/>
  <c r="U44" i="1" a="1"/>
  <c r="U44" i="1"/>
  <c r="P44" i="1" a="1"/>
  <c r="P44" i="1"/>
  <c r="K44" i="1" a="1"/>
  <c r="K44" i="1"/>
  <c r="AE43" i="1" a="1"/>
  <c r="AE43" i="1"/>
  <c r="Z43" i="1" a="1"/>
  <c r="Z43" i="1"/>
  <c r="U43" i="1" a="1"/>
  <c r="U43" i="1"/>
  <c r="P43" i="1" a="1"/>
  <c r="P43" i="1"/>
  <c r="K43" i="1" a="1"/>
  <c r="K43" i="1"/>
  <c r="AE42" i="1" a="1"/>
  <c r="AE42" i="1"/>
  <c r="Z42" i="1" a="1"/>
  <c r="Z42" i="1"/>
  <c r="U42" i="1" a="1"/>
  <c r="U42" i="1"/>
  <c r="P42" i="1" a="1"/>
  <c r="P42" i="1"/>
  <c r="K42" i="1" a="1"/>
  <c r="K42" i="1"/>
  <c r="AE41" i="1" a="1"/>
  <c r="AE41" i="1"/>
  <c r="Z41" i="1" a="1"/>
  <c r="Z41" i="1"/>
  <c r="U41" i="1" a="1"/>
  <c r="U41" i="1"/>
  <c r="P41" i="1" a="1"/>
  <c r="P41" i="1"/>
  <c r="K41" i="1" a="1"/>
  <c r="K41" i="1"/>
  <c r="AG40" i="1"/>
  <c r="AE40" i="1"/>
  <c r="AB40" i="1"/>
  <c r="Z40" i="1"/>
  <c r="W40" i="1"/>
  <c r="U40" i="1"/>
  <c r="R40" i="1"/>
  <c r="P40" i="1"/>
  <c r="M40" i="1"/>
  <c r="K40" i="1"/>
  <c r="I40" i="1"/>
  <c r="G38" i="1"/>
  <c r="AF38" i="1"/>
  <c r="AG38" i="1"/>
  <c r="AA38" i="1"/>
  <c r="AB38" i="1"/>
  <c r="V38" i="1"/>
  <c r="W38" i="1"/>
  <c r="Q38" i="1"/>
  <c r="R38" i="1"/>
  <c r="L38" i="1"/>
  <c r="M38" i="1"/>
  <c r="H38" i="1"/>
  <c r="I38" i="1"/>
  <c r="G37" i="1"/>
  <c r="AF37" i="1"/>
  <c r="AG37" i="1"/>
  <c r="V37" i="1"/>
  <c r="W37" i="1"/>
  <c r="Q37" i="1"/>
  <c r="R37" i="1"/>
  <c r="H37" i="1"/>
  <c r="I37" i="1"/>
  <c r="G36" i="1"/>
  <c r="H36" i="1"/>
  <c r="I36" i="1"/>
  <c r="G35" i="1"/>
  <c r="H35" i="1"/>
  <c r="I35" i="1"/>
  <c r="G34" i="1"/>
  <c r="H34" i="1"/>
  <c r="I34" i="1"/>
  <c r="G33" i="1"/>
  <c r="AF33" i="1"/>
  <c r="AG33" i="1"/>
  <c r="AA33" i="1"/>
  <c r="AB33" i="1"/>
  <c r="V33" i="1"/>
  <c r="W33" i="1"/>
  <c r="Q33" i="1"/>
  <c r="R33" i="1"/>
  <c r="L33" i="1"/>
  <c r="M33" i="1"/>
  <c r="H33" i="1"/>
  <c r="I33" i="1"/>
  <c r="G32" i="1"/>
  <c r="AF32" i="1"/>
  <c r="AG32" i="1"/>
  <c r="AA32" i="1"/>
  <c r="AB32" i="1"/>
  <c r="V32" i="1"/>
  <c r="W32" i="1"/>
  <c r="Q32" i="1"/>
  <c r="R32" i="1"/>
  <c r="L32" i="1"/>
  <c r="M32" i="1"/>
  <c r="H32" i="1"/>
  <c r="I32" i="1"/>
  <c r="G31" i="1"/>
  <c r="AF31" i="1"/>
  <c r="AG31" i="1"/>
  <c r="AA31" i="1"/>
  <c r="AB31" i="1"/>
  <c r="V31" i="1"/>
  <c r="W31" i="1"/>
  <c r="Q31" i="1"/>
  <c r="R31" i="1"/>
  <c r="L31" i="1"/>
  <c r="M31" i="1"/>
  <c r="H31" i="1"/>
  <c r="I31" i="1"/>
  <c r="G30" i="1"/>
  <c r="H30" i="1"/>
  <c r="I30" i="1"/>
  <c r="G29" i="1"/>
  <c r="H29" i="1"/>
  <c r="I29" i="1"/>
  <c r="G28" i="1"/>
  <c r="AF28" i="1"/>
  <c r="AG28" i="1"/>
  <c r="V28" i="1"/>
  <c r="W28" i="1"/>
  <c r="H28" i="1"/>
  <c r="I28" i="1"/>
  <c r="G27" i="1"/>
  <c r="H27" i="1"/>
  <c r="I27" i="1"/>
  <c r="G26" i="1"/>
  <c r="H26" i="1"/>
  <c r="I26" i="1"/>
  <c r="G25" i="1"/>
  <c r="H25" i="1"/>
  <c r="I25" i="1"/>
  <c r="G24" i="1"/>
  <c r="AF24" i="1"/>
  <c r="AG24" i="1"/>
  <c r="AA24" i="1"/>
  <c r="AB24" i="1"/>
  <c r="V24" i="1"/>
  <c r="W24" i="1"/>
  <c r="Q24" i="1"/>
  <c r="R24" i="1"/>
  <c r="L24" i="1"/>
  <c r="M24" i="1"/>
  <c r="H24" i="1"/>
  <c r="I24" i="1"/>
  <c r="G23" i="1"/>
  <c r="AF23" i="1"/>
  <c r="AG23" i="1"/>
  <c r="AA23" i="1"/>
  <c r="AB23" i="1"/>
  <c r="V23" i="1"/>
  <c r="W23" i="1"/>
  <c r="Q23" i="1"/>
  <c r="R23" i="1"/>
  <c r="L23" i="1"/>
  <c r="M23" i="1"/>
  <c r="H23" i="1"/>
  <c r="I23" i="1"/>
  <c r="G22" i="1"/>
  <c r="H22" i="1"/>
  <c r="I22" i="1"/>
  <c r="G21" i="1"/>
  <c r="V21" i="1"/>
  <c r="W21" i="1"/>
  <c r="L21" i="1"/>
  <c r="M21" i="1"/>
  <c r="H21" i="1"/>
  <c r="I21" i="1"/>
  <c r="G20" i="1"/>
  <c r="V20" i="1"/>
  <c r="W20" i="1"/>
  <c r="Q20" i="1"/>
  <c r="R20" i="1"/>
  <c r="H20" i="1"/>
  <c r="I20" i="1"/>
  <c r="G19" i="1"/>
  <c r="H19" i="1"/>
  <c r="I19" i="1"/>
  <c r="G18" i="1"/>
  <c r="AA18" i="1"/>
  <c r="AB18" i="1"/>
  <c r="Q18" i="1"/>
  <c r="R18" i="1"/>
  <c r="H18" i="1"/>
  <c r="I18" i="1"/>
  <c r="G17" i="1"/>
  <c r="AF17" i="1"/>
  <c r="AG17" i="1"/>
  <c r="AA17" i="1"/>
  <c r="AB17" i="1"/>
  <c r="V17" i="1"/>
  <c r="W17" i="1"/>
  <c r="Q17" i="1"/>
  <c r="R17" i="1"/>
  <c r="L17" i="1"/>
  <c r="M17" i="1"/>
  <c r="H17" i="1"/>
  <c r="I17" i="1"/>
  <c r="G16" i="1"/>
  <c r="AF16" i="1"/>
  <c r="AG16" i="1"/>
  <c r="AA16" i="1"/>
  <c r="AB16" i="1"/>
  <c r="V16" i="1"/>
  <c r="W16" i="1"/>
  <c r="Q16" i="1"/>
  <c r="R16" i="1"/>
  <c r="L16" i="1"/>
  <c r="M16" i="1"/>
  <c r="H16" i="1"/>
  <c r="I16" i="1"/>
  <c r="G15" i="1"/>
  <c r="H15" i="1"/>
  <c r="I15" i="1"/>
  <c r="G14" i="1"/>
  <c r="H14" i="1"/>
  <c r="I14" i="1"/>
  <c r="G13" i="1"/>
  <c r="AF13" i="1"/>
  <c r="AG13" i="1"/>
  <c r="AA13" i="1"/>
  <c r="AB13" i="1"/>
  <c r="V13" i="1"/>
  <c r="W13" i="1"/>
  <c r="Q13" i="1"/>
  <c r="R13" i="1"/>
  <c r="L13" i="1"/>
  <c r="M13" i="1"/>
  <c r="H13" i="1"/>
  <c r="I13" i="1"/>
  <c r="G12" i="1"/>
  <c r="H12" i="1"/>
  <c r="I12" i="1"/>
  <c r="G11" i="1"/>
  <c r="AF11" i="1"/>
  <c r="AG11" i="1"/>
  <c r="AA11" i="1"/>
  <c r="AB11" i="1"/>
  <c r="V11" i="1"/>
  <c r="W11" i="1"/>
  <c r="Q11" i="1"/>
  <c r="R11" i="1"/>
  <c r="L11" i="1"/>
  <c r="M11" i="1"/>
  <c r="H11" i="1"/>
  <c r="I11" i="1"/>
  <c r="G10" i="1"/>
  <c r="H10" i="1"/>
  <c r="I10" i="1"/>
  <c r="G9" i="1"/>
  <c r="H9" i="1"/>
  <c r="I9" i="1"/>
  <c r="G8" i="1"/>
  <c r="H8" i="1"/>
  <c r="I8" i="1"/>
  <c r="G7" i="1"/>
  <c r="H7" i="1"/>
  <c r="I7" i="1"/>
  <c r="AG3" i="1"/>
  <c r="AB3" i="1"/>
  <c r="W3" i="1"/>
  <c r="R3" i="1"/>
  <c r="M3" i="1"/>
  <c r="I3" i="1"/>
  <c r="I2" i="1"/>
</calcChain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$0.30      $3.01
   100   $0.18     $18.04
   500   $0.14     $67.65
  1000   $0.09     $94.62
  2000   $0.09    $179.28
  5000   $0.08    $423.30
 10000   $0.08    $796.80
 25000   $0.07  $1,867.50
 50000   $0.07  $3,486.00
100000   $0.07  $6,773.00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£0.19      £0.19
    50   £0.16      £8.10
   100   £0.13     £13.10
   150   £0.13     £19.65
   250   £0.11     £27.00
   500   £0.09     £46.45
  1000   £0.07     £71.40
  5000   £0.06    £296.00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$0.19      $1.89
    50   $0.19      $9.45
   100   $0.16     $16.20
   500   $0.12     $61.00
  1000   $0.10    $103.00
  2000   $0.09    $184.00
 10000   $0.08    $840.00
 25000   $0.08  $2,025.00
 50000   $0.07  $3,650.00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$0.19      $1.89
    25   $0.18      $4.50
    50   $0.17      $8.55
   100   $0.16     $16.20
   250   $0.14     $35.50
   500   $0.12     $61.00
  1000   $0.10     $98.00
  2000   $0.09    $184.00
  4000   $0.09    $356.00
  6000   $0.09    $522.00
 10000   $0.08    $840.00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10   £0.15      £1.48
    50   £0.14      £6.90
  1000   £0.08     £77.00
  2000   £0.07    £138.00
  5000   £0.07    £335.00
 10000   £0.07    £660.00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$0.25      $2.52
   100   $0.15     $15.14
   500   $0.11     $56.78
  1000   $0.10     $95.90
  2000   $0.08    $150.48
  4000   $0.07    $284.24
 10000   $0.07    $668.80
 14000   $0.06    $907.06
 50000   $0.06  $2,926.00
100000   $0.06  $5,685.00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£0.79
    50   £0.12      £5.90
   150   £0.12     £17.70
   250   £0.10     £25.50
   500   £0.08     £39.80
  1000   £0.07     £67.30
  2000   £0.06    £118.80
 10000   £0.05    £541.00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$0.16      $1.58
    50   $0.16      $7.90
   100   $0.14     $13.60
   500   $0.10     $51.00
  1000   $0.09     $86.00
  2000   $0.08    $154.00
 10000   $0.07    $700.00
 24000   $0.07  $1,632.00
 50000   $0.06  $3,050.00</t>
        </r>
      </text>
    </comment>
    <comment ref="Y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$0.33      $1.65
    10   $0.16      $1.58
    25   $0.15      $3.78
    50   $0.14      $7.15
   100   $0.14     $13.60
   250   $0.12     $29.75
   500   $0.10     $51.00
  1000   $0.09     $86.00
  4000   $0.07    $296.00
  8000   $0.07    $576.00
 12000   $0.07    $840.00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1 £122.61    £122.61
     2 £119.30    £238.60
     4 £116.16    £464.64
    10 £113.18  £1,131.80
    20 £110.35  £2,207.00
    25   £0.12      £3.00
   625   £0.08     £48.75
  2500   £0.06    £150.00
  3750   £0.06    £213.75
  5000   £0.06    £275.00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$0.28      $2.83
   100   $0.18     $17.65
   500   $0.12     $60.39
  1000   $0.09     $92.90
  3000   $0.08    $243.54
  6000   $0.08    $460.02
 15000   $0.07  $1,048.65
 30000   $0.07  $1,962.00
 75000   $0.06  $4,735.50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£0.25      £1.23
    25   £0.24      £5.95
   100   £0.10     £10.50
   150   £0.10     £15.75
   250   £0.10     £24.80
   500   £0.08     £41.10
  1000   £0.07     £65.10
  5000   £0.06    £281.00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$2.56
    50   $0.26     $12.80
   100   $0.12     $11.80
  1000   $0.09     $91.00
 10000   $0.07    $700.00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 5   $0.37      $1.86
    25   $0.26      $6.55
    50   $0.19      $9.70
   100   $0.13     $12.70
   250   $0.12     $29.50
   500   $0.11     $55.00
  1000   $0.10    $101.00
  3000   $0.09    $276.00
  6000   $0.09    $522.00
 12000   $0.08  $1,020.00
 18000   $0.08  $1,494.00
 30000   $0.08  $2,430.00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£10.00
   200   £0.10     £19.20
   300   £0.09     £27.60
   400   £0.09     £35.20
   500   £0.08     £42.50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$0.19      $1.89
   100   $0.10     $10.31
   500   $0.06     $31.72
  1000   $0.04     $43.26
  3000   $0.04    $107.10
  6000   $0.03    $193.20
 15000   $0.03    $420.00
 30000   $0.03    $756.00
 75000   $0.02  $1,680.00
150000   $0.02  $2,793.00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£0.67
    25   £0.13      £3.30
   100   £0.06      £5.52
   150   £0.06      £8.28
   250   £0.05     £12.98
   500   £0.05     £24.95
  1000   £0.03     £26.10
  5000   £0.02    £102.00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$1.35
    50   $0.14      $6.75
   100   $0.06      $5.70
  1000   $0.04     $39.00
  3000   $0.03     $90.00
  9000   $0.03    $234.00
 10000   $0.03    $260.00
 24000   $0.02    $576.00
 45000   $0.02  $1,035.00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$0.99
    10   $0.13      $1.34
    25   $0.11      $2.72
    50   $0.08      $4.20
   100   $0.06      $5.80
   250   $0.05     $13.25
   500   $0.05     $23.50
  1000   $0.04     $41.00
  3000   $0.02     $54.00
  6000   $0.02    $102.00
 12000   $0.02    $204.00
 18000   $0.02    $288.00
 30000   $0.02    $480.00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250   £0.04      £9.75
  1500   £0.03     £43.50
  3000   £0.02     £60.00
  9000   £0.02    £171.00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£0.65      £3.24
    50   £0.54     £26.95
   150   £0.45     £66.90
   250   £0.38     £95.00
   500   £0.33    £166.00
  1500   £0.29    £441.00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250   $0.73    $182.75
   500   $0.65    $327.00
  1000   $0.59    $586.00
  5000   $0.53  $2,665.00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£0.58
   100   £0.04      £3.69
   150   £0.04      £5.54
   500   £0.03     £14.55
  1000   £0.02     £22.90
  2000   £0.02     £44.00
  4000   £0.02     £84.00
 20000   £0.02    £412.00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$1.01
    50   $0.10      $5.05
   100   $0.05      $4.60
  1000   $0.03     $33.00
 10000   $0.02    $240.00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$0.70      $6.97
   100   $0.53     $53.45
   500   $0.46    $232.40
  1000   $0.38    $383.46
  5000   $0.34  $1,684.90
 10000   $0.31  $3,137.40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$0.56      $5.58
    50   $0.56     $27.90
   100   $0.54     $53.50
  1000   $0.38    $384.00
 10000   $0.31  $3,140.00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$5.78
   100   $0.44     $44.30
   500   $0.35    $175.10
  1000   $0.28    $280.16
  3000   $0.25    $739.50
  6000   $0.23  $1,377.00
 15000   $0.23  $3,391.50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£0.62      £3.10
    10   £0.50      £5.01
   100   £0.29     £29.10
   250   £0.27     £67.50
   500   £0.25    £124.00
  1000   £0.23    £227.00
  5000   £0.21  £1,040.00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$0.53      $5.27
    50   $0.53     $26.35
   100   $0.34     $34.00
  1000   $0.27    $272.00
 10000   $0.27  $2,720.00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$0.55      $5.48
    25   $0.49     $12.17
    50   $0.43     $21.30
   100   $0.36     $36.50
   250   $0.34     $85.75
   500   $0.32    $160.50
  1000   $0.30    $299.00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£2.00      £2.00
    30   £0.36     £10.80
   150   £0.29     £43.50
   750   £0.28    £210.00
  1500   £0.27    £405.00
  3000   £0.20    £597.00
  9000   £0.19  £1,746.00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$0.51      $5.12
   100   $0.38     $38.19
   500   $0.30    $150.04
  1000   $0.23    $231.88
  2500   $0.21    $528.55
  5000   $0.20    $988.90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£0.47      £2.35
    25   £0.44     £10.98
   100   £0.25     £25.40
   250   £0.22     £56.25
   500   £0.20     £98.00
  1000   £0.17    £167.00
  5000   £0.16    £780.00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$0.49      $4.93
    50   $0.49     $24.65
   100   $0.30     $30.10
  1000   $0.23    $232.00
 10000   $0.18  $1,850.00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$0.60      $3.00
    10   $0.47      $4.69
   100   $0.26     $26.40
   500   $0.19     $96.00
  1000   $0.15    $147.00
  2500   $0.12    $307.50
 10000   $0.12  $1,150.00
 25000   $0.09  $2,350.00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£2.02      £2.02
    40   £0.24      £9.60
    50   £0.37     £18.60
   150   £0.22     £33.00
   500   £0.20    £100.00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$0.22      $2.20
    50   $0.18      $9.00
   100   $0.16     $16.00
  1000   $0.14    $145.00
 10000   $0.14  $1,450.00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£0.22      £4.38
   500   £0.14     £68.50
  2000   £0.13    £264.00
 10000   £0.13  £1,280.00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$32.87     $32.87
    10  $30.31    $303.11
    25  $28.95    $723.72
   100  $25.88  $2,588.35
   250  $24.69  $6,172.87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£21.07     £21.07
     5  £20.34    £101.70
    10  £19.62    £196.20
    25  £18.68    £467.00
    50  £18.16    £908.00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$30.34     $30.34
    10  $28.27    $282.70
    50  $25.94  $1,297.00
   100  $24.55  $2,455.00
  1000  $22.69 $22,690.00
 10000  $22.69 $226,900.00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$25.29     $25.29
     5  $24.44    $122.20
    10  $23.57    $235.70
    25  $22.43    $560.75
    50  $21.62  $1,081.00
   100  $20.46  $2,046.00
   250  $18.92  $4,730.00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£18.91     £18.91
    13  £17.62    £229.06
    25  £15.83    £395.68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25   $1.97     $49.18
   100   $1.78    $178.19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£1.56      £1.56
    25   £1.51     £37.75
   100   £1.44    £144.00
  1000   £1.43  £1,430.00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$2.11     $21.10
    25   $1.96     $49.00
    50   $1.96     $98.00
   100   $1.78    $178.00
  1000   $1.78  $1,780.00
 10000   $1.60 $16,000.00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$2.05     $20.50
    25   $1.97     $49.25
    50   $1.87     $93.50
   100   $1.78    $178.00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2   £1.64      £3.28
    10   £1.54     £15.35
    24   £1.44     £34.68
   100   £1.37    £137.00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$4.11      $4.11
    10   $3.69     $36.94
    25   $3.49     $87.30
   100   $3.03    $302.64
   250   $2.87    $717.80
   500   $2.58  $1,288.16
  1000   $2.17  $2,172.80
  2500   $2.06  $5,160.40
  5000   $1.99  $9,932.80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£3.33      £3.33
    10   £3.22     £32.20
    25   £2.92     £73.00
    50   £2.28    £114.00
   100   £2.24    £224.00
   250   £2.20    £550.00
   500   £2.16  £1,080.00
  1000   £1.75  £1,750.00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$3.67      $3.67
    10   $3.44     $34.40
    25   $3.22     $80.50
    50   $2.96    $148.00
   100   $2.95    $295.00
   250   $2.87    $717.50
   500   $2.65  $1,325.00
  1000   $2.16  $2,160.00
  2000   $2.10  $4,200.00
 10000   $2.10 $21,000.00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$4.08      $4.08
    10   $3.94     $39.40
    25   $3.57     $89.25
    50   $2.79    $139.50
   100   $2.74    $274.00
   250   $2.70    $675.00
   500   $2.65  $1,325.00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£3.08      £3.08
     2   £2.97      £5.94
    25   £2.65     £66.25
    30   £2.97     £89.10
    50   £2.44    £122.00
    60   £2.90    £174.00
   100   £2.11    £210.90
   150   £2.55    £382.50
   250   £1.98    £495.00
   300   £2.00    £600.00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£0.29      £0.29
    50   £0.22     £11.10
   100   £0.20     £20.40
   250   £0.20     £50.00
   500   £0.20     £98.50
  1000   £0.20    £196.00
  5000   £0.20    £975.00</t>
        </r>
      </text>
    </comment>
    <comment ref="V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$0.28      $2.78
    50   $0.25     $12.50
   100   $0.22     $22.20
  1000   $0.18    $178.00
 10000   $0.16  $1,560.00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£0.25      £1.27
   250   £0.17     £41.50
   500   £0.16     £78.00
  1000   £0.15    £150.00
  2500   £0.13    £320.00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$0.18      $1.75
    50   $0.16      $7.88
   100   $0.14     $14.00
   500   $0.13     $66.50
  1000   $0.11    $112.00
  2500   $0.10    $262.50
  5000   $0.10    $507.50
 10000   $0.10    $980.00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£0.20      £0.20
     5   £0.20      £0.99
    10   £0.17      £1.70
    25   £0.16      £4.05
    50   £0.15      £7.65
   100   £0.14     £13.60
   250   £0.12     £30.25
   500   £0.13     £64.50
  1000   £0.10    £103.00
  5000   £0.09    £447.00</t>
        </r>
      </text>
    </comment>
    <comment ref="V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$0.18      $1.75
    50   $0.16      $7.85
   100   $0.14     $14.00
  1000   $0.11    $112.00
 10000   $0.10    $980.00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$0.20      $1.99
    25   $0.19      $4.75
    50   $0.18      $9.00
   100   $0.16     $16.10
   500   $0.15     $77.00
  1000   $0.13    $126.00
  2500   $0.12    $297.50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£0.34      £3.37
   500   £0.08     £42.50
  1000   £0.09     £88.00
  2000   £0.07    £148.00
  3000   £0.08    £234.00
  5000   £0.06    £315.00</t>
        </r>
      </text>
    </comment>
    <comment ref="H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<sst xmlns="http://schemas.openxmlformats.org/spreadsheetml/2006/main" count="282" uniqueCount="208">
  <si>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</si>
  <si>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</si>
  <si>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</si>
  <si>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</si>
  <si>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</si>
  <si>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</si>
  <si>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</si>
  <si>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</si>
  <si>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</si>
  <si>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</si>
  <si>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BT1</t>
  </si>
  <si>
    <t>9V</t>
  </si>
  <si>
    <t>-</t>
  </si>
  <si>
    <t>Connector_JST:JST_XH_B02B-XH-A_1x02_P2.50mm_Vertical</t>
  </si>
  <si>
    <t>B2B-XH-A</t>
  </si>
  <si>
    <t>BT2</t>
  </si>
  <si>
    <t>Battery</t>
  </si>
  <si>
    <t>Battery:BatteryHolder_Keystone_103_1x20mm</t>
  </si>
  <si>
    <t>KEYSTONE 103</t>
  </si>
  <si>
    <t>C1</t>
  </si>
  <si>
    <t>470nF</t>
  </si>
  <si>
    <t>Capacitor_SMD:C_0805_2012Metric</t>
  </si>
  <si>
    <t>C14,C15</t>
  </si>
  <si>
    <t>18pF</t>
  </si>
  <si>
    <t>C2</t>
  </si>
  <si>
    <t>47uF</t>
  </si>
  <si>
    <t>Capacitor_SMD:C_Elec_5x5.4</t>
  </si>
  <si>
    <t>EEEFK1C470UR</t>
  </si>
  <si>
    <t>C3</t>
  </si>
  <si>
    <t>1uF</t>
  </si>
  <si>
    <t>C4</t>
  </si>
  <si>
    <t>10uF</t>
  </si>
  <si>
    <t>Capacitor_SMD:CP_Elec_4x5.4</t>
  </si>
  <si>
    <t>EEEFK1C100R</t>
  </si>
  <si>
    <t>C5-C13</t>
  </si>
  <si>
    <t>10nF</t>
  </si>
  <si>
    <t>D1</t>
  </si>
  <si>
    <t>1N4007</t>
  </si>
  <si>
    <t>Diode_THT:D_DO-41_SOD81_P10.16mm_Horizontal</t>
  </si>
  <si>
    <t>D2</t>
  </si>
  <si>
    <t>Diode_SMD:D_SOD-323</t>
  </si>
  <si>
    <t>BAT60JFILM</t>
  </si>
  <si>
    <t>D3-D5</t>
  </si>
  <si>
    <t>3.3V</t>
  </si>
  <si>
    <t>Diode_SMD:D_SOD-123</t>
  </si>
  <si>
    <t>BZT52C3V3-7-F</t>
  </si>
  <si>
    <t>J1</t>
  </si>
  <si>
    <t>Barrel_Jack</t>
  </si>
  <si>
    <t>Connector_BarrelJack:BarrelJack_Horizontal</t>
  </si>
  <si>
    <t>MJ-179PH</t>
  </si>
  <si>
    <t>J2</t>
  </si>
  <si>
    <t>Conn_01x12_Male</t>
  </si>
  <si>
    <t>Connector_JST:JST_XH_B10B-XH-A_1x10_P2.50mm_Vertical</t>
  </si>
  <si>
    <t>L1-L16</t>
  </si>
  <si>
    <t>150</t>
  </si>
  <si>
    <t>Inductor_SMD:L_0805_2012Metric</t>
  </si>
  <si>
    <t>MPZ2012S101A</t>
  </si>
  <si>
    <t>P1</t>
  </si>
  <si>
    <t>CONN_02X03</t>
  </si>
  <si>
    <t>Connector_PinHeader_2.54mm:PinHeader_2x03_P2.54mm_Vertical</t>
  </si>
  <si>
    <t>75869-131LF</t>
  </si>
  <si>
    <t>P2</t>
  </si>
  <si>
    <t>Conn_01x04</t>
  </si>
  <si>
    <t>Connector_JST:JST_XH_B04B-XH-A_1x04_P2.50mm_Vertical</t>
  </si>
  <si>
    <t>B4B-XH-A</t>
  </si>
  <si>
    <t>Q1</t>
  </si>
  <si>
    <t>BS250</t>
  </si>
  <si>
    <t>Package_TO_SOT_SMD:TSOT-23</t>
  </si>
  <si>
    <t>BS250FTA</t>
  </si>
  <si>
    <t>Q2</t>
  </si>
  <si>
    <t>BD139</t>
  </si>
  <si>
    <t>Package_TO_SOT_THT:TO-126-3_Vertical</t>
  </si>
  <si>
    <t>R1,R2,R6-R9</t>
  </si>
  <si>
    <t>10K</t>
  </si>
  <si>
    <t>Resistor_SMD:R_0805_2012Metric</t>
  </si>
  <si>
    <t>R3-R5</t>
  </si>
  <si>
    <t>220R</t>
  </si>
  <si>
    <t>RV1</t>
  </si>
  <si>
    <t>5k</t>
  </si>
  <si>
    <t>Potentiometer_THT:Potentiometer_Piher_PT-10-V05_Vertical</t>
  </si>
  <si>
    <t>SW1,SW2</t>
  </si>
  <si>
    <t>SW_Push</t>
  </si>
  <si>
    <t>Button_Switch_THT:SW_PUSH_6mm_H5mm</t>
  </si>
  <si>
    <t>SKHHAJA010</t>
  </si>
  <si>
    <t>U1</t>
  </si>
  <si>
    <t>LM3940</t>
  </si>
  <si>
    <t>Package_TO_SOT_SMD:SOT-223</t>
  </si>
  <si>
    <t>U11</t>
  </si>
  <si>
    <t>ADG407</t>
  </si>
  <si>
    <t>Package_DIP:DIP-28_W15.24mm</t>
  </si>
  <si>
    <t>U13</t>
  </si>
  <si>
    <t>AD595</t>
  </si>
  <si>
    <t>Package_DIP:DIP-14_W7.62mm</t>
  </si>
  <si>
    <t>AD595CQ</t>
  </si>
  <si>
    <t>U14</t>
  </si>
  <si>
    <t>ATMEGA328P-PU</t>
  </si>
  <si>
    <t>Package_DIP:DIP-28_W7.62mm</t>
  </si>
  <si>
    <t>U15</t>
  </si>
  <si>
    <t>DS1307+</t>
  </si>
  <si>
    <t>JP_ICs:DS1307</t>
  </si>
  <si>
    <t>DS1307ZN+</t>
  </si>
  <si>
    <t>U2</t>
  </si>
  <si>
    <t>7805</t>
  </si>
  <si>
    <t>Package_TO_SOT_THT:TO-220-3_Vertical</t>
  </si>
  <si>
    <t>LM7805</t>
  </si>
  <si>
    <t>U3-U10</t>
  </si>
  <si>
    <t>TC_Connector</t>
  </si>
  <si>
    <t>XS1</t>
  </si>
  <si>
    <t>SD_ebay-uSD-push/push_SMD</t>
  </si>
  <si>
    <t>JP_Connectors:Conn_uSDcard</t>
  </si>
  <si>
    <t>ebay</t>
  </si>
  <si>
    <t>SD_Card[uSD]</t>
  </si>
  <si>
    <t>Y1</t>
  </si>
  <si>
    <t>16MHz</t>
  </si>
  <si>
    <t>16MHz Vertical crystal</t>
  </si>
  <si>
    <t>Crystal:Crystal_HC49-U_Vertical</t>
  </si>
  <si>
    <t>FOXSLF-160-20</t>
  </si>
  <si>
    <t>Y2</t>
  </si>
  <si>
    <t>32.768kHz</t>
  </si>
  <si>
    <t>Crystal:Crystal_DS26_D2.0mm_L6.0mm_Vertical</t>
  </si>
  <si>
    <t>AB26T-32.768KHZ</t>
  </si>
  <si>
    <t>Total Purchase:</t>
  </si>
  <si>
    <t>Purchase description:</t>
  </si>
  <si>
    <t>Used currency rates:</t>
  </si>
  <si>
    <t>GBP(£)/USD($):</t>
  </si>
  <si>
    <t>Prj:</t>
  </si>
  <si>
    <t>8-Channel Thermocouple Datalogger</t>
  </si>
  <si>
    <t>Co.:</t>
  </si>
  <si>
    <t>JP Enterprises</t>
  </si>
  <si>
    <t>Prj date:</t>
  </si>
  <si>
    <t>Thursday, 19 September 2019 at 17:57:04</t>
  </si>
  <si>
    <t>Board Qty:</t>
  </si>
  <si>
    <t>Total Cost:</t>
  </si>
  <si>
    <t>Unit Cost:</t>
  </si>
  <si>
    <t>$ date:</t>
  </si>
  <si>
    <t>2019-09-20 17:33:20</t>
  </si>
  <si>
    <t>Digi-Key</t>
  </si>
  <si>
    <t>Avail</t>
  </si>
  <si>
    <t>Purch</t>
  </si>
  <si>
    <t>Cat#</t>
  </si>
  <si>
    <t>PCE3791CT-ND</t>
  </si>
  <si>
    <t>PCE3782CT-ND</t>
  </si>
  <si>
    <t>497-3707-1-ND</t>
  </si>
  <si>
    <t>BZT52C3V3-FDICT-ND</t>
  </si>
  <si>
    <t>609-2845-ND</t>
  </si>
  <si>
    <t>BS250FCT-ND</t>
  </si>
  <si>
    <t>497-6656-5-ND</t>
  </si>
  <si>
    <t>AD595CQ-ND</t>
  </si>
  <si>
    <t>ATMEGA328P-PU-ND</t>
  </si>
  <si>
    <t>DS1307ZN+-ND</t>
  </si>
  <si>
    <t>535-9032-ND</t>
  </si>
  <si>
    <t>Farnell</t>
  </si>
  <si>
    <t>9695664</t>
  </si>
  <si>
    <t>9695648</t>
  </si>
  <si>
    <t>1467544</t>
  </si>
  <si>
    <t>1843704</t>
  </si>
  <si>
    <t>1737246</t>
  </si>
  <si>
    <t>1669751</t>
  </si>
  <si>
    <t>NonStk</t>
  </si>
  <si>
    <t>1843731</t>
  </si>
  <si>
    <t>1015770</t>
  </si>
  <si>
    <t>102052</t>
  </si>
  <si>
    <t>1715487</t>
  </si>
  <si>
    <t>2910068</t>
  </si>
  <si>
    <t>2063950</t>
  </si>
  <si>
    <t>1862377</t>
  </si>
  <si>
    <t>Mouser</t>
  </si>
  <si>
    <t>667EEEFK1C470UR</t>
  </si>
  <si>
    <t>667EEEFK1C100R</t>
  </si>
  <si>
    <t>511BAT60JFILM</t>
  </si>
  <si>
    <t>621BZT52C3V3F</t>
  </si>
  <si>
    <t>810MPZ2012S101A</t>
  </si>
  <si>
    <t>64975869131LF</t>
  </si>
  <si>
    <t>522BS250FTA</t>
  </si>
  <si>
    <t>511BD139</t>
  </si>
  <si>
    <t>688SKHHAJ</t>
  </si>
  <si>
    <t>584AD595CQ</t>
  </si>
  <si>
    <t>556ATMEGA328PPU</t>
  </si>
  <si>
    <t>700DS1307ZN</t>
  </si>
  <si>
    <t>559FOXS16020LF</t>
  </si>
  <si>
    <t>815AB26T32.768KHZ</t>
  </si>
  <si>
    <t>Newark</t>
  </si>
  <si>
    <t>85Y4825</t>
  </si>
  <si>
    <t>62W6924</t>
  </si>
  <si>
    <t>89K1218</t>
  </si>
  <si>
    <t>12T1447</t>
  </si>
  <si>
    <t>25R4773</t>
  </si>
  <si>
    <t>33P7647</t>
  </si>
  <si>
    <t>12T1444</t>
  </si>
  <si>
    <t>33X4079</t>
  </si>
  <si>
    <t>15P0723</t>
  </si>
  <si>
    <t>68T2944</t>
  </si>
  <si>
    <t>68AC5064</t>
  </si>
  <si>
    <t>89K0457</t>
  </si>
  <si>
    <t>Rs Components</t>
  </si>
  <si>
    <t>5370461</t>
  </si>
  <si>
    <t>9233341</t>
  </si>
  <si>
    <t>7146879</t>
  </si>
  <si>
    <t>7513730</t>
  </si>
  <si>
    <t>2156593</t>
  </si>
  <si>
    <t>3141823</t>
  </si>
  <si>
    <t>7581922</t>
  </si>
  <si>
    <t>1698737</t>
  </si>
  <si>
    <t>1310276</t>
  </si>
  <si>
    <t>7327333</t>
  </si>
  <si>
    <t>5476294</t>
  </si>
  <si>
    <t>1710553</t>
  </si>
  <si>
    <t>KiCost® v.1.1.2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</si>
</sst>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50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sheet.octopart.com/1N4007-Galaxy-Semiconductor-datasheet-20771558.pdf" TargetMode="External"/><Relationship Id="rId14" Type="http://schemas.openxmlformats.org/officeDocument/2006/relationships/hyperlink" Target="https://octopart.com/click/track?ai=8078&amp;sig=0e511ab&amp;sid=459&amp;ppid=324429&amp;vpid=1777642&amp;ct=offers" TargetMode="External"/><Relationship Id="rId15" Type="http://schemas.openxmlformats.org/officeDocument/2006/relationships/hyperlink" Target="https://octopart.com/click/track?ai=8078&amp;sig=0c1b2f4&amp;sid=11744&amp;ppid=324429&amp;vpid=132623081&amp;ct=offers" TargetMode="External"/><Relationship Id="rId16" Type="http://schemas.openxmlformats.org/officeDocument/2006/relationships/hyperlink" Target="https://octopart.com/click/track?ai=8078&amp;sig=074d4d5&amp;sid=2401&amp;ppid=324429&amp;vpid=37598751&amp;ct=offers" TargetMode="External"/><Relationship Id="rId17" Type="http://schemas.openxmlformats.org/officeDocument/2006/relationships/hyperlink" Target="https://octopart.com/click/track?ai=8078&amp;sig=0136378&amp;sid=2402&amp;ppid=324429&amp;vpid=3056390&amp;ct=offers" TargetMode="External"/><Relationship Id="rId18" Type="http://schemas.openxmlformats.org/officeDocument/2006/relationships/hyperlink" Target="https://octopart.com/click/track?ai=8078&amp;sig=036a09e&amp;sid=10022&amp;ppid=324429&amp;vpid=199116771&amp;ct=offers" TargetMode="External"/><Relationship Id="rId19" Type="http://schemas.openxmlformats.org/officeDocument/2006/relationships/hyperlink" Target="https://octopart.com/click/track?ai=8078&amp;sig=06923b5&amp;sid=459&amp;ppid=326671&amp;vpid=1688330&amp;ct=offers" TargetMode="External"/><Relationship Id="rId63" Type="http://schemas.openxmlformats.org/officeDocument/2006/relationships/hyperlink" Target="https://octopart.com/click/track?ai=8078&amp;sig=05e96a6&amp;sid=10022&amp;ppid=998963&amp;vpid=199053574&amp;ct=offers" TargetMode="External"/><Relationship Id="rId64" Type="http://schemas.openxmlformats.org/officeDocument/2006/relationships/hyperlink" Target="http://datasheet.octopart.com/LM7805-Inchange-Semiconductor-datasheet-15981487.pdf" TargetMode="External"/><Relationship Id="rId65" Type="http://schemas.openxmlformats.org/officeDocument/2006/relationships/hyperlink" Target="http://datasheet.octopart.com/FOXSLF/160-20-Fox-Electronics-datasheet-8324308.pdf" TargetMode="External"/><Relationship Id="rId66" Type="http://schemas.openxmlformats.org/officeDocument/2006/relationships/hyperlink" Target="https://octopart.com/click/track?ai=8078&amp;sig=0f35894&amp;sid=11744&amp;ppid=142991&amp;vpid=132280929&amp;ct=offers" TargetMode="External"/><Relationship Id="rId67" Type="http://schemas.openxmlformats.org/officeDocument/2006/relationships/hyperlink" Target="https://octopart.com/click/track?ai=8078&amp;sig=01156db&amp;sid=2401&amp;ppid=142991&amp;vpid=37654280&amp;ct=offers" TargetMode="External"/><Relationship Id="rId68" Type="http://schemas.openxmlformats.org/officeDocument/2006/relationships/hyperlink" Target="https://octopart.com/click/track?ai=8078&amp;sig=0ba8965&amp;sid=10022&amp;ppid=142991&amp;vpid=199021958&amp;ct=offers" TargetMode="External"/><Relationship Id="rId69" Type="http://schemas.openxmlformats.org/officeDocument/2006/relationships/hyperlink" Target="http://datasheet.octopart.com/AB26T-32.768KHZ-Abracon-datasheet-5361488.pdf" TargetMode="External"/><Relationship Id="rId50" Type="http://schemas.openxmlformats.org/officeDocument/2006/relationships/hyperlink" Target="https://octopart.com/click/track?ai=8078&amp;sig=0c3b9ca&amp;sid=2401&amp;ppid=6708&amp;vpid=82780698&amp;ct=offers" TargetMode="External"/><Relationship Id="rId51" Type="http://schemas.openxmlformats.org/officeDocument/2006/relationships/hyperlink" Target="https://octopart.com/click/track?c=1&amp;ai=8078&amp;sig=02c49dd&amp;sid=2402&amp;ppid=6708&amp;vpid=282829284&amp;ct=offers" TargetMode="External"/><Relationship Id="rId52" Type="http://schemas.openxmlformats.org/officeDocument/2006/relationships/hyperlink" Target="https://octopart.com/click/track?ai=8078&amp;sig=03a8d05&amp;sid=10022&amp;ppid=6708&amp;vpid=198980023&amp;ct=offers" TargetMode="External"/><Relationship Id="rId53" Type="http://schemas.openxmlformats.org/officeDocument/2006/relationships/hyperlink" Target="https://octopart.com/click/track?ai=8078&amp;sig=04b47fc&amp;sid=459&amp;ppid=77760224&amp;vpid=408716895&amp;ct=offers" TargetMode="External"/><Relationship Id="rId54" Type="http://schemas.openxmlformats.org/officeDocument/2006/relationships/hyperlink" Target="https://octopart.com/click/track?ai=8078&amp;sig=06308d9&amp;sid=11744&amp;ppid=77760224&amp;vpid=420596273&amp;ct=offers" TargetMode="External"/><Relationship Id="rId55" Type="http://schemas.openxmlformats.org/officeDocument/2006/relationships/hyperlink" Target="https://octopart.com/click/track?ai=8078&amp;sig=0875dd3&amp;sid=2401&amp;ppid=77760224&amp;vpid=408978608&amp;ct=offers" TargetMode="External"/><Relationship Id="rId56" Type="http://schemas.openxmlformats.org/officeDocument/2006/relationships/hyperlink" Target="https://octopart.com/click/track?ai=8078&amp;sig=098e4da&amp;sid=2402&amp;ppid=77760224&amp;vpid=410223186&amp;ct=offers" TargetMode="External"/><Relationship Id="rId57" Type="http://schemas.openxmlformats.org/officeDocument/2006/relationships/hyperlink" Target="https://octopart.com/click/track?ai=8078&amp;sig=0135c8e&amp;sid=10022&amp;ppid=77760224&amp;vpid=460566728&amp;ct=offers" TargetMode="External"/><Relationship Id="rId58" Type="http://schemas.openxmlformats.org/officeDocument/2006/relationships/hyperlink" Target="https://datasheets.maximintegrated.com/en/ds/DS1307.pdf" TargetMode="External"/><Relationship Id="rId59" Type="http://schemas.openxmlformats.org/officeDocument/2006/relationships/hyperlink" Target="https://octopart.com/click/track?ai=8078&amp;sig=021a523&amp;sid=459&amp;ppid=998963&amp;vpid=33713357&amp;ct=offers" TargetMode="External"/><Relationship Id="rId40" Type="http://schemas.openxmlformats.org/officeDocument/2006/relationships/hyperlink" Target="https://octopart.com/click/track?ai=8078&amp;sig=0d569d9&amp;sid=459&amp;ppid=354671&amp;vpid=33528745&amp;ct=offers" TargetMode="External"/><Relationship Id="rId41" Type="http://schemas.openxmlformats.org/officeDocument/2006/relationships/hyperlink" Target="https://octopart.com/click/track?ai=8078&amp;sig=09a39d8&amp;sid=819&amp;ppid=354671&amp;vpid=139688102&amp;ct=offers" TargetMode="External"/><Relationship Id="rId42" Type="http://schemas.openxmlformats.org/officeDocument/2006/relationships/hyperlink" Target="https://octopart.com/click/track?ai=8078&amp;sig=0886f33&amp;sid=2401&amp;ppid=354671&amp;vpid=37758668&amp;ct=offers" TargetMode="External"/><Relationship Id="rId43" Type="http://schemas.openxmlformats.org/officeDocument/2006/relationships/hyperlink" Target="https://octopart.com/click/track?ai=8078&amp;sig=0edbe77&amp;sid=2402&amp;ppid=354671&amp;vpid=179180756&amp;ct=offers" TargetMode="External"/><Relationship Id="rId44" Type="http://schemas.openxmlformats.org/officeDocument/2006/relationships/hyperlink" Target="https://octopart.com/click/track?ai=8078&amp;sig=0ef9825&amp;sid=10022&amp;ppid=354671&amp;vpid=199116778&amp;ct=offers" TargetMode="External"/><Relationship Id="rId45" Type="http://schemas.openxmlformats.org/officeDocument/2006/relationships/hyperlink" Target="http://datasheet.octopart.com/SKHHAJA010-ALPS-datasheet-13454299.pdf" TargetMode="External"/><Relationship Id="rId46" Type="http://schemas.openxmlformats.org/officeDocument/2006/relationships/hyperlink" Target="https://octopart.com/click/track?ai=8078&amp;sig=0c923d1&amp;sid=2401&amp;ppid=1057589&amp;vpid=37640328&amp;ct=offers" TargetMode="External"/><Relationship Id="rId47" Type="http://schemas.openxmlformats.org/officeDocument/2006/relationships/hyperlink" Target="https://octopart.com/click/track?ai=8078&amp;sig=01ccc31&amp;sid=10022&amp;ppid=1057589&amp;vpid=198976655&amp;ct=offers" TargetMode="External"/><Relationship Id="rId48" Type="http://schemas.openxmlformats.org/officeDocument/2006/relationships/hyperlink" Target="https://octopart.com/click/track?ai=8078&amp;sig=0c54747&amp;sid=459&amp;ppid=6708&amp;vpid=1494160&amp;ct=offers" TargetMode="External"/><Relationship Id="rId49" Type="http://schemas.openxmlformats.org/officeDocument/2006/relationships/hyperlink" Target="https://octopart.com/click/track?ai=8078&amp;sig=0bc2275&amp;sid=819&amp;ppid=6708&amp;vpid=138552210&amp;ct=offers" TargetMode="External"/><Relationship Id="rId1" Type="http://schemas.openxmlformats.org/officeDocument/2006/relationships/hyperlink" Target="http://datasheet.octopart.com/EEEFK1C470UR-Panasonic-datasheet-136531309.pdf" TargetMode="External"/><Relationship Id="rId2" Type="http://schemas.openxmlformats.org/officeDocument/2006/relationships/hyperlink" Target="https://octopart.com/click/track?ai=8078&amp;sig=06b546f&amp;sid=459&amp;ppid=2625908&amp;vpid=115123573&amp;ct=offers" TargetMode="External"/><Relationship Id="rId3" Type="http://schemas.openxmlformats.org/officeDocument/2006/relationships/hyperlink" Target="https://octopart.com/click/track?ai=8078&amp;sig=047971a&amp;sid=819&amp;ppid=2625908&amp;vpid=139275467&amp;ct=offers" TargetMode="External"/><Relationship Id="rId4" Type="http://schemas.openxmlformats.org/officeDocument/2006/relationships/hyperlink" Target="https://octopart.com/click/track?ai=8078&amp;sig=0eb64ec&amp;sid=2401&amp;ppid=2625908&amp;vpid=116121861&amp;ct=offers" TargetMode="External"/><Relationship Id="rId5" Type="http://schemas.openxmlformats.org/officeDocument/2006/relationships/hyperlink" Target="https://octopart.com/click/track?ai=8078&amp;sig=039778c&amp;sid=2402&amp;ppid=2625908&amp;vpid=271839087&amp;ct=offers" TargetMode="External"/><Relationship Id="rId6" Type="http://schemas.openxmlformats.org/officeDocument/2006/relationships/hyperlink" Target="https://octopart.com/click/track?ai=8078&amp;sig=02b5c8a&amp;sid=10022&amp;ppid=2625908&amp;vpid=227278739&amp;ct=offers" TargetMode="External"/><Relationship Id="rId7" Type="http://schemas.openxmlformats.org/officeDocument/2006/relationships/hyperlink" Target="http://datasheet.octopart.com/EEEFK1C100R-Panasonic-datasheet-8161.pdf" TargetMode="External"/><Relationship Id="rId8" Type="http://schemas.openxmlformats.org/officeDocument/2006/relationships/hyperlink" Target="https://octopart.com/click/track?ai=8078&amp;sig=08ced76&amp;sid=459&amp;ppid=3851537&amp;vpid=115123552&amp;ct=offers" TargetMode="External"/><Relationship Id="rId9" Type="http://schemas.openxmlformats.org/officeDocument/2006/relationships/hyperlink" Target="https://octopart.com/click/track?ai=8078&amp;sig=0bfde22&amp;sid=819&amp;ppid=3851537&amp;vpid=139275239&amp;ct=offers" TargetMode="External"/><Relationship Id="rId30" Type="http://schemas.openxmlformats.org/officeDocument/2006/relationships/hyperlink" Target="http://datasheet.octopart.com/75869-131LF-FCI-datasheet-13726216.pdf" TargetMode="External"/><Relationship Id="rId31" Type="http://schemas.openxmlformats.org/officeDocument/2006/relationships/hyperlink" Target="https://octopart.com/click/track?ai=8078&amp;sig=0b6c62c&amp;sid=459&amp;ppid=39616169&amp;vpid=531264160&amp;ct=offers" TargetMode="External"/><Relationship Id="rId32" Type="http://schemas.openxmlformats.org/officeDocument/2006/relationships/hyperlink" Target="https://octopart.com/click/track?ai=8078&amp;sig=0e64419&amp;sid=2401&amp;ppid=39616169&amp;vpid=115156826&amp;ct=offers" TargetMode="External"/><Relationship Id="rId33" Type="http://schemas.openxmlformats.org/officeDocument/2006/relationships/hyperlink" Target="http://datasheet.octopart.com/BS250FTA-Zetex-datasheet-59649.pdf" TargetMode="External"/><Relationship Id="rId34" Type="http://schemas.openxmlformats.org/officeDocument/2006/relationships/hyperlink" Target="https://octopart.com/click/track?ai=8078&amp;sig=05c410f&amp;sid=459&amp;ppid=335761&amp;vpid=2042094&amp;ct=offers" TargetMode="External"/><Relationship Id="rId35" Type="http://schemas.openxmlformats.org/officeDocument/2006/relationships/hyperlink" Target="https://octopart.com/click/track?ai=8078&amp;sig=0729bcc&amp;sid=819&amp;ppid=335761&amp;vpid=138849946&amp;ct=offers" TargetMode="External"/><Relationship Id="rId36" Type="http://schemas.openxmlformats.org/officeDocument/2006/relationships/hyperlink" Target="https://octopart.com/click/track?ai=8078&amp;sig=02d74f7&amp;sid=2401&amp;ppid=335761&amp;vpid=37801687&amp;ct=offers" TargetMode="External"/><Relationship Id="rId37" Type="http://schemas.openxmlformats.org/officeDocument/2006/relationships/hyperlink" Target="https://octopart.com/click/track?ai=8078&amp;sig=0882b7a&amp;sid=2402&amp;ppid=335761&amp;vpid=33460112&amp;ct=offers" TargetMode="External"/><Relationship Id="rId38" Type="http://schemas.openxmlformats.org/officeDocument/2006/relationships/hyperlink" Target="https://octopart.com/click/track?ai=8078&amp;sig=0d830a8&amp;sid=10022&amp;ppid=335761&amp;vpid=199007891&amp;ct=offers" TargetMode="External"/><Relationship Id="rId39" Type="http://schemas.openxmlformats.org/officeDocument/2006/relationships/hyperlink" Target="http://datasheet.octopart.com/BD139-STMicroelectronics-datasheet-5315526.pdf" TargetMode="External"/><Relationship Id="rId70" Type="http://schemas.openxmlformats.org/officeDocument/2006/relationships/hyperlink" Target="https://octopart.com/click/track?ai=8078&amp;sig=0dd0a11&amp;sid=459&amp;ppid=315481&amp;vpid=1040498&amp;ct=offers" TargetMode="External"/><Relationship Id="rId71" Type="http://schemas.openxmlformats.org/officeDocument/2006/relationships/hyperlink" Target="https://octopart.com/click/track?ai=8078&amp;sig=01d0119&amp;sid=819&amp;ppid=315481&amp;vpid=202680227&amp;ct=offers" TargetMode="External"/><Relationship Id="rId72" Type="http://schemas.openxmlformats.org/officeDocument/2006/relationships/hyperlink" Target="https://octopart.com/click/track?ai=8078&amp;sig=0651ffa&amp;sid=2401&amp;ppid=315481&amp;vpid=37601451&amp;ct=offers" TargetMode="External"/><Relationship Id="rId20" Type="http://schemas.openxmlformats.org/officeDocument/2006/relationships/hyperlink" Target="https://octopart.com/click/track?ai=8078&amp;sig=08380f0&amp;sid=11744&amp;ppid=326671&amp;vpid=132237263&amp;ct=offers" TargetMode="External"/><Relationship Id="rId21" Type="http://schemas.openxmlformats.org/officeDocument/2006/relationships/hyperlink" Target="https://octopart.com/click/track?ai=8078&amp;sig=092d6ca&amp;sid=2401&amp;ppid=326671&amp;vpid=37658202&amp;ct=offers" TargetMode="External"/><Relationship Id="rId22" Type="http://schemas.openxmlformats.org/officeDocument/2006/relationships/hyperlink" Target="https://octopart.com/click/track?ai=8078&amp;sig=09d8e13&amp;sid=2402&amp;ppid=326671&amp;vpid=37281097&amp;ct=offers" TargetMode="External"/><Relationship Id="rId23" Type="http://schemas.openxmlformats.org/officeDocument/2006/relationships/hyperlink" Target="https://octopart.com/click/track?ai=8078&amp;sig=0cd3a39&amp;sid=10022&amp;ppid=326671&amp;vpid=199007958&amp;ct=offers" TargetMode="External"/><Relationship Id="rId24" Type="http://schemas.openxmlformats.org/officeDocument/2006/relationships/hyperlink" Target="http://datasheet.octopart.com/MJ-179PH-Multicomp-datasheet-12561580.pdf" TargetMode="External"/><Relationship Id="rId25" Type="http://schemas.openxmlformats.org/officeDocument/2006/relationships/hyperlink" Target="https://octopart.com/click/track?ai=8078&amp;sig=0dcfc4f&amp;sid=819&amp;ppid=11351490&amp;vpid=139117152&amp;ct=offers" TargetMode="External"/><Relationship Id="rId26" Type="http://schemas.openxmlformats.org/officeDocument/2006/relationships/hyperlink" Target="https://octopart.com/click/track?ai=8078&amp;sig=03ab53f&amp;sid=2402&amp;ppid=11351490&amp;vpid=20228758&amp;ct=offers" TargetMode="External"/><Relationship Id="rId27" Type="http://schemas.openxmlformats.org/officeDocument/2006/relationships/hyperlink" Target="https://octopart.com/click/track?c=1&amp;ai=8078&amp;sig=082876f&amp;sid=819&amp;ppid=368225&amp;vpid=139699746&amp;ct=offers" TargetMode="External"/><Relationship Id="rId28" Type="http://schemas.openxmlformats.org/officeDocument/2006/relationships/hyperlink" Target="https://octopart.com/click/track?ai=8078&amp;sig=0ee8fe8&amp;sid=2401&amp;ppid=368225&amp;vpid=37992457&amp;ct=offers" TargetMode="External"/><Relationship Id="rId29" Type="http://schemas.openxmlformats.org/officeDocument/2006/relationships/hyperlink" Target="https://octopart.com/click/track?c=1&amp;ai=8078&amp;sig=085bc7a&amp;sid=2402&amp;ppid=368225&amp;vpid=20241531&amp;ct=offers" TargetMode="External"/><Relationship Id="rId73" Type="http://schemas.openxmlformats.org/officeDocument/2006/relationships/hyperlink" Target="https://octopart.com/click/track?ai=8078&amp;sig=0736ce5&amp;sid=2402&amp;ppid=315481&amp;vpid=34978085&amp;ct=offers" TargetMode="External"/><Relationship Id="rId74" Type="http://schemas.openxmlformats.org/officeDocument/2006/relationships/hyperlink" Target="https://octopart.com/click/track?ai=8078&amp;sig=05ada9a&amp;sid=10022&amp;ppid=315481&amp;vpid=500992787&amp;ct=offers" TargetMode="External"/><Relationship Id="rId75" Type="http://schemas.openxmlformats.org/officeDocument/2006/relationships/vmlDrawing" Target="../drawings/vmlDrawing1.vml"/><Relationship Id="rId76" Type="http://schemas.openxmlformats.org/officeDocument/2006/relationships/comments" Target="../comments1.xml"/><Relationship Id="rId60" Type="http://schemas.openxmlformats.org/officeDocument/2006/relationships/hyperlink" Target="https://octopart.com/click/track?ai=8078&amp;sig=0c7f65c&amp;sid=11744&amp;ppid=998963&amp;vpid=495650750&amp;ct=offers" TargetMode="External"/><Relationship Id="rId61" Type="http://schemas.openxmlformats.org/officeDocument/2006/relationships/hyperlink" Target="https://octopart.com/click/track?c=1&amp;ai=8078&amp;sig=06fd245&amp;sid=2401&amp;ppid=998963&amp;vpid=37861927&amp;ct=offers" TargetMode="External"/><Relationship Id="rId62" Type="http://schemas.openxmlformats.org/officeDocument/2006/relationships/hyperlink" Target="https://octopart.com/click/track?ai=8078&amp;sig=083b3a4&amp;sid=2402&amp;ppid=998963&amp;vpid=495776962&amp;ct=offers" TargetMode="External"/><Relationship Id="rId10" Type="http://schemas.openxmlformats.org/officeDocument/2006/relationships/hyperlink" Target="https://octopart.com/click/track?ai=8078&amp;sig=0c1a258&amp;sid=2401&amp;ppid=3851537&amp;vpid=115534295&amp;ct=offers" TargetMode="External"/><Relationship Id="rId11" Type="http://schemas.openxmlformats.org/officeDocument/2006/relationships/hyperlink" Target="https://octopart.com/click/track?c=1&amp;ai=8078&amp;sig=0cfb263&amp;sid=2402&amp;ppid=3851537&amp;vpid=265590889&amp;ct=offers" TargetMode="External"/><Relationship Id="rId12" Type="http://schemas.openxmlformats.org/officeDocument/2006/relationships/hyperlink" Target="https://octopart.com/click/track?c=1&amp;ai=8078&amp;sig=048963c&amp;sid=10022&amp;ppid=3851537&amp;vpid=265579515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2"/>
  <sheetViews>
    <sheetView tabSelected="1" workbookViewId="0">
      <pane xSplit="9" ySplit="6" topLeftCell="J23" activePane="bottomRight" state="frozen"/>
      <selection pane="topRight" activeCell="J1" sqref="J1"/>
      <selection pane="bottomLeft" activeCell="A7" sqref="A7"/>
      <selection pane="bottomRight"/>
    </sheetView>
  </sheetViews>
  <sheetFormatPr baseColWidth="10" defaultColWidth="8.83203125" defaultRowHeight="14" outlineLevelCol="2" x14ac:dyDescent="0"/>
  <cols>
    <col min="3" max="4" width="8.83203125" outlineLevel="2"/>
    <col min="5" max="7" width="8.83203125" outlineLevel="1"/>
    <col min="9" max="9" width="15.6640625" customWidth="1"/>
    <col min="10" max="10" width="8.83203125" outlineLevel="1"/>
    <col min="11" max="12" width="8.83203125" outlineLevel="2"/>
    <col min="13" max="13" width="15.6640625" customWidth="1"/>
    <col min="14" max="14" width="15.6640625" customWidth="1" outlineLevel="2"/>
    <col min="15" max="15" width="8.83203125" outlineLevel="1"/>
    <col min="16" max="17" width="8.83203125" outlineLevel="2"/>
    <col min="18" max="18" width="15.6640625" customWidth="1"/>
    <col min="19" max="19" width="15.6640625" customWidth="1" outlineLevel="2"/>
    <col min="20" max="20" width="8.83203125" outlineLevel="1"/>
    <col min="21" max="22" width="8.83203125" outlineLevel="2"/>
    <col min="23" max="23" width="15.6640625" customWidth="1"/>
    <col min="24" max="24" width="15.6640625" customWidth="1" outlineLevel="2"/>
    <col min="25" max="25" width="8.83203125" outlineLevel="1"/>
    <col min="26" max="27" width="8.83203125" outlineLevel="2"/>
    <col min="28" max="28" width="15.6640625" customWidth="1"/>
    <col min="29" max="29" width="15.6640625" customWidth="1" outlineLevel="2"/>
    <col min="30" max="30" width="8.83203125" outlineLevel="1"/>
    <col min="31" max="32" width="8.83203125" outlineLevel="2"/>
    <col min="33" max="33" width="15.6640625" customWidth="1"/>
    <col min="34" max="34" width="15.6640625" customWidth="1" outlineLevel="2"/>
  </cols>
  <sheetData>
    <row r="1" spans="1:34" ht="16">
      <c r="A1" s="1" t="s">
        <v>125</v>
      </c>
      <c r="B1" s="2" t="s">
        <v>126</v>
      </c>
      <c r="H1" s="3" t="s">
        <v>131</v>
      </c>
      <c r="I1" s="3">
        <v>100</v>
      </c>
    </row>
    <row r="2" spans="1:34" ht="16">
      <c r="A2" s="1" t="s">
        <v>127</v>
      </c>
      <c r="B2" s="2" t="s">
        <v>128</v>
      </c>
      <c r="H2" s="1" t="s">
        <v>133</v>
      </c>
      <c r="I2" s="4">
        <f ca="1">TotalCost/BoardQty</f>
        <v>22.081594967490251</v>
      </c>
    </row>
    <row r="3" spans="1:34" ht="16">
      <c r="A3" s="1" t="s">
        <v>129</v>
      </c>
      <c r="B3" s="2" t="s">
        <v>130</v>
      </c>
      <c r="H3" s="1" t="s">
        <v>132</v>
      </c>
      <c r="I3" s="5">
        <f ca="1">SUM(I7:I38)</f>
        <v>2208.159496749025</v>
      </c>
      <c r="M3" s="5">
        <f>SUM(M7:M38)</f>
        <v>2587.5636951885563</v>
      </c>
      <c r="N3" s="6">
        <v>0</v>
      </c>
      <c r="R3" s="5">
        <f>SUM(R7:R38)</f>
        <v>2414.0100000000002</v>
      </c>
      <c r="S3" s="6">
        <v>0</v>
      </c>
      <c r="W3" s="5">
        <f>SUM(W7:W38)</f>
        <v>2528.3164447334202</v>
      </c>
      <c r="X3" s="6">
        <v>0</v>
      </c>
      <c r="AB3" s="5">
        <f>SUM(AB7:AB38)</f>
        <v>2141.9315578673604</v>
      </c>
      <c r="AC3" s="6">
        <v>0</v>
      </c>
      <c r="AG3" s="5">
        <f>SUM(AG7:AG38)</f>
        <v>2154.1999999999998</v>
      </c>
      <c r="AH3" s="6">
        <v>0</v>
      </c>
    </row>
    <row r="4" spans="1:34" ht="16">
      <c r="A4" s="1" t="s">
        <v>134</v>
      </c>
      <c r="B4" s="2" t="s">
        <v>135</v>
      </c>
    </row>
    <row r="5" spans="1:34" ht="18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4" t="s">
        <v>136</v>
      </c>
      <c r="K5" s="14"/>
      <c r="L5" s="14"/>
      <c r="M5" s="14"/>
      <c r="N5" s="14"/>
      <c r="O5" s="15" t="s">
        <v>151</v>
      </c>
      <c r="P5" s="15"/>
      <c r="Q5" s="15"/>
      <c r="R5" s="15"/>
      <c r="S5" s="15"/>
      <c r="T5" s="16" t="s">
        <v>166</v>
      </c>
      <c r="U5" s="16"/>
      <c r="V5" s="16"/>
      <c r="W5" s="16"/>
      <c r="X5" s="16"/>
      <c r="Y5" s="17" t="s">
        <v>181</v>
      </c>
      <c r="Z5" s="17"/>
      <c r="AA5" s="17"/>
      <c r="AB5" s="17"/>
      <c r="AC5" s="17"/>
      <c r="AD5" s="18" t="s">
        <v>194</v>
      </c>
      <c r="AE5" s="18"/>
      <c r="AF5" s="18"/>
      <c r="AG5" s="18"/>
      <c r="AH5" s="18"/>
    </row>
    <row r="6" spans="1:34" ht="30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137</v>
      </c>
      <c r="K6" s="7" t="s">
        <v>138</v>
      </c>
      <c r="L6" s="7" t="s">
        <v>8</v>
      </c>
      <c r="M6" s="7" t="s">
        <v>9</v>
      </c>
      <c r="N6" s="7" t="s">
        <v>139</v>
      </c>
      <c r="O6" s="7" t="s">
        <v>137</v>
      </c>
      <c r="P6" s="7" t="s">
        <v>138</v>
      </c>
      <c r="Q6" s="7" t="s">
        <v>8</v>
      </c>
      <c r="R6" s="7" t="s">
        <v>9</v>
      </c>
      <c r="S6" s="7" t="s">
        <v>139</v>
      </c>
      <c r="T6" s="7" t="s">
        <v>137</v>
      </c>
      <c r="U6" s="7" t="s">
        <v>138</v>
      </c>
      <c r="V6" s="7" t="s">
        <v>8</v>
      </c>
      <c r="W6" s="7" t="s">
        <v>9</v>
      </c>
      <c r="X6" s="7" t="s">
        <v>139</v>
      </c>
      <c r="Y6" s="7" t="s">
        <v>137</v>
      </c>
      <c r="Z6" s="7" t="s">
        <v>138</v>
      </c>
      <c r="AA6" s="7" t="s">
        <v>8</v>
      </c>
      <c r="AB6" s="7" t="s">
        <v>9</v>
      </c>
      <c r="AC6" s="7" t="s">
        <v>139</v>
      </c>
      <c r="AD6" s="7" t="s">
        <v>137</v>
      </c>
      <c r="AE6" s="7" t="s">
        <v>138</v>
      </c>
      <c r="AF6" s="7" t="s">
        <v>8</v>
      </c>
      <c r="AG6" s="7" t="s">
        <v>9</v>
      </c>
      <c r="AH6" s="7" t="s">
        <v>139</v>
      </c>
    </row>
    <row r="7" spans="1:34">
      <c r="A7" s="8" t="s">
        <v>10</v>
      </c>
      <c r="B7" s="8" t="s">
        <v>11</v>
      </c>
      <c r="C7" s="8" t="s">
        <v>12</v>
      </c>
      <c r="D7" s="8" t="s">
        <v>13</v>
      </c>
      <c r="F7" s="8" t="s">
        <v>14</v>
      </c>
      <c r="G7" s="8">
        <f>BoardQty*1</f>
        <v>100</v>
      </c>
      <c r="H7" s="9">
        <f t="shared" ref="H7:H38" ca="1" si="0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I7" s="9">
        <f t="shared" ref="I7:I38" ca="1" si="1">IFERROR(G7*H7,"")</f>
        <v>0</v>
      </c>
    </row>
    <row r="8" spans="1:34">
      <c r="A8" s="8" t="s">
        <v>15</v>
      </c>
      <c r="B8" s="8" t="s">
        <v>16</v>
      </c>
      <c r="C8" s="8" t="s">
        <v>12</v>
      </c>
      <c r="D8" s="8" t="s">
        <v>17</v>
      </c>
      <c r="F8" s="8" t="s">
        <v>18</v>
      </c>
      <c r="G8" s="8">
        <f>BoardQty*1</f>
        <v>100</v>
      </c>
      <c r="H8" s="9">
        <f t="shared" ca="1" si="0"/>
        <v>0</v>
      </c>
      <c r="I8" s="9">
        <f t="shared" ca="1" si="1"/>
        <v>0</v>
      </c>
    </row>
    <row r="9" spans="1:34">
      <c r="A9" s="8" t="s">
        <v>19</v>
      </c>
      <c r="B9" s="8" t="s">
        <v>20</v>
      </c>
      <c r="C9" s="8" t="s">
        <v>12</v>
      </c>
      <c r="D9" s="8" t="s">
        <v>21</v>
      </c>
      <c r="F9" s="8" t="s">
        <v>12</v>
      </c>
      <c r="G9" s="8">
        <f>BoardQty*1</f>
        <v>100</v>
      </c>
      <c r="H9" s="9">
        <f t="shared" ca="1" si="0"/>
        <v>0</v>
      </c>
      <c r="I9" s="9">
        <f t="shared" ca="1" si="1"/>
        <v>0</v>
      </c>
    </row>
    <row r="10" spans="1:34">
      <c r="A10" s="8" t="s">
        <v>22</v>
      </c>
      <c r="B10" s="8" t="s">
        <v>23</v>
      </c>
      <c r="C10" s="8" t="s">
        <v>12</v>
      </c>
      <c r="D10" s="8" t="s">
        <v>21</v>
      </c>
      <c r="F10" s="8" t="s">
        <v>12</v>
      </c>
      <c r="G10" s="8">
        <f>BoardQty*2</f>
        <v>200</v>
      </c>
      <c r="H10" s="9">
        <f t="shared" ca="1" si="0"/>
        <v>0</v>
      </c>
      <c r="I10" s="9">
        <f t="shared" ca="1" si="1"/>
        <v>0</v>
      </c>
    </row>
    <row r="11" spans="1:34">
      <c r="A11" s="8" t="s">
        <v>24</v>
      </c>
      <c r="B11" s="8" t="s">
        <v>25</v>
      </c>
      <c r="C11" s="8" t="s">
        <v>12</v>
      </c>
      <c r="D11" s="8" t="s">
        <v>26</v>
      </c>
      <c r="F11" s="8" t="s">
        <v>27</v>
      </c>
      <c r="G11" s="8">
        <f>BoardQty*1</f>
        <v>100</v>
      </c>
      <c r="H11" s="9">
        <f t="shared" ca="1" si="0"/>
        <v>0.12699198959687907</v>
      </c>
      <c r="I11" s="9">
        <f t="shared" ca="1" si="1"/>
        <v>12.699198959687907</v>
      </c>
      <c r="J11" s="8">
        <v>12590</v>
      </c>
      <c r="L11" s="9">
        <f>IFERROR(GBP_USD*LOOKUP(IF(K11="",G11,K11),{0,1,10,100,500,1000,2000,5000,10000,25000,50000,100000},{0,0.43,0.301,0.1804,0.1353,0.09462,0.08964,0.08466,0.07968,0.0747,0.06972,0.06773}),"")</f>
        <v>0.14141577113133941</v>
      </c>
      <c r="M11" s="9">
        <f>IFERROR(IF(K11="",G11,K11)*L11,"")</f>
        <v>14.141577113133941</v>
      </c>
      <c r="N11" s="10" t="s">
        <v>140</v>
      </c>
      <c r="O11" s="8">
        <v>18560</v>
      </c>
      <c r="Q11" s="9">
        <f>IFERROR(LOOKUP(IF(P11="",G11,P11),{0,1,50,100,150,250,500,1000,5000},{0,0.191,0.162,0.131,0.131,0.108,0.0929,0.0714,0.0592}),"")</f>
        <v>0.13100000000000001</v>
      </c>
      <c r="R11" s="9">
        <f>IFERROR(IF(P11="",G11,P11)*Q11,"")</f>
        <v>13.100000000000001</v>
      </c>
      <c r="S11" s="10" t="s">
        <v>152</v>
      </c>
      <c r="T11" s="8">
        <v>14992</v>
      </c>
      <c r="V11" s="9">
        <f>IFERROR(GBP_USD*LOOKUP(IF(U11="",G11,U11),{0,1,10,50,100,500,1000,2000,10000,25000,50000},{0,0.39,0.189,0.189,0.162,0.122,0.103,0.092,0.084,0.081,0.073}),"")</f>
        <v>0.12699198959687907</v>
      </c>
      <c r="W11" s="9">
        <f>IFERROR(IF(U11="",G11,U11)*V11,"")</f>
        <v>12.699198959687907</v>
      </c>
      <c r="X11" s="10" t="s">
        <v>167</v>
      </c>
      <c r="Y11" s="8">
        <v>13000</v>
      </c>
      <c r="AA11" s="9">
        <f>IFERROR(GBP_USD*LOOKUP(IF(Z11="",G11,Z11),{0,1,10,25,50,100,250,500,1000,2000,4000,6000,10000},{0,0.39,0.189,0.18,0.171,0.162,0.142,0.122,0.098,0.092,0.089,0.087,0.084}),"")</f>
        <v>0.12699198959687907</v>
      </c>
      <c r="AB11" s="9">
        <f>IFERROR(IF(Z11="",G11,Z11)*AA11,"")</f>
        <v>12.699198959687907</v>
      </c>
      <c r="AC11" s="10" t="s">
        <v>182</v>
      </c>
      <c r="AD11" s="8">
        <v>68940</v>
      </c>
      <c r="AF11" s="9">
        <f>IFERROR(LOOKUP(IF(AE11="",G11,AE11),{0,1,5,10,50,1000,2000,5000,10000},{0,0.292,0.292,0.148,0.138,0.077,0.069,0.067,0.066}),"")</f>
        <v>0.13800000000000001</v>
      </c>
      <c r="AG11" s="9">
        <f>IFERROR(IF(AE11="",G11,AE11)*AF11,"")</f>
        <v>13.8</v>
      </c>
      <c r="AH11" s="10" t="s">
        <v>195</v>
      </c>
    </row>
    <row r="12" spans="1:34">
      <c r="A12" s="8" t="s">
        <v>28</v>
      </c>
      <c r="B12" s="8" t="s">
        <v>29</v>
      </c>
      <c r="C12" s="8" t="s">
        <v>12</v>
      </c>
      <c r="D12" s="8" t="s">
        <v>21</v>
      </c>
      <c r="F12" s="8" t="s">
        <v>12</v>
      </c>
      <c r="G12" s="8">
        <f>BoardQty*1</f>
        <v>100</v>
      </c>
      <c r="H12" s="9">
        <f t="shared" ca="1" si="0"/>
        <v>0</v>
      </c>
      <c r="I12" s="9">
        <f t="shared" ca="1" si="1"/>
        <v>0</v>
      </c>
    </row>
    <row r="13" spans="1:34">
      <c r="A13" s="8" t="s">
        <v>30</v>
      </c>
      <c r="B13" s="8" t="s">
        <v>31</v>
      </c>
      <c r="C13" s="8" t="s">
        <v>12</v>
      </c>
      <c r="D13" s="8" t="s">
        <v>32</v>
      </c>
      <c r="F13" s="8" t="s">
        <v>33</v>
      </c>
      <c r="G13" s="8">
        <f>BoardQty*1</f>
        <v>100</v>
      </c>
      <c r="H13" s="9">
        <f t="shared" ca="1" si="0"/>
        <v>0.10661055916775032</v>
      </c>
      <c r="I13" s="9">
        <f t="shared" ca="1" si="1"/>
        <v>10.661055916775032</v>
      </c>
      <c r="J13" s="8">
        <v>166400</v>
      </c>
      <c r="L13" s="9">
        <f>IFERROR(GBP_USD*LOOKUP(IF(K13="",G13,K13),{0,1,10,100,500,1000,2000,4000,10000,14000,50000,100000},{0,0.36,0.252,0.1514,0.11356,0.0959,0.07524,0.07106,0.06688,0.06479,0.05852,0.05685}),"")</f>
        <v>0.11868263719115735</v>
      </c>
      <c r="M13" s="9">
        <f>IFERROR(IF(K13="",G13,K13)*L13,"")</f>
        <v>11.868263719115735</v>
      </c>
      <c r="N13" s="10" t="s">
        <v>141</v>
      </c>
      <c r="O13" s="8">
        <v>512</v>
      </c>
      <c r="Q13" s="9">
        <f>IFERROR(LOOKUP(IF(P13="",G13,P13),{0,1,5,50,150,250,500,1000,2000,10000},{0,0.158,0.158,0.118,0.118,0.102,0.0796,0.0673,0.0594,0.0541}),"")</f>
        <v>0.11799999999999999</v>
      </c>
      <c r="R13" s="9">
        <f>IFERROR(IF(P13="",G13,P13)*Q13,"")</f>
        <v>11.799999999999999</v>
      </c>
      <c r="S13" s="10" t="s">
        <v>153</v>
      </c>
      <c r="T13" s="8">
        <v>14762</v>
      </c>
      <c r="V13" s="9">
        <f>IFERROR(GBP_USD*LOOKUP(IF(U13="",G13,U13),{0,1,10,50,100,500,1000,2000,10000,24000,50000},{0,0.33,0.158,0.158,0.136,0.102,0.086,0.077,0.07,0.068,0.061}),"")</f>
        <v>0.10661055916775032</v>
      </c>
      <c r="W13" s="9">
        <f>IFERROR(IF(U13="",G13,U13)*V13,"")</f>
        <v>10.661055916775032</v>
      </c>
      <c r="X13" s="10" t="s">
        <v>168</v>
      </c>
      <c r="Y13" s="11" t="s">
        <v>158</v>
      </c>
      <c r="AA13" s="9">
        <f>IFERROR(GBP_USD*LOOKUP(IF(Z13="",G13,Z13),{0,1,5,10,25,50,100,250,500,1000,4000,8000,12000},{0,0.33,0.33,0.158,0.151,0.143,0.136,0.119,0.102,0.086,0.074,0.072,0.07}),"")</f>
        <v>0.10661055916775032</v>
      </c>
      <c r="AB13" s="9">
        <f>IFERROR(IF(Z13="",G13,Z13)*AA13,"")</f>
        <v>10.661055916775032</v>
      </c>
      <c r="AC13" s="10" t="s">
        <v>183</v>
      </c>
      <c r="AD13" s="8">
        <v>30450</v>
      </c>
      <c r="AF13" s="9">
        <f>IFERROR(LOOKUP(IF(AE13="",G13,AE13),{0,1,2,4,10,20,25,625,2500,3750,5000},{0,122.61,119.3,116.16,113.18,110.35,0.12,0.078,0.06,0.057,0.055}),"")</f>
        <v>0.12</v>
      </c>
      <c r="AG13" s="9">
        <f>IFERROR(IF(AE13="",G13,AE13)*AF13,"")</f>
        <v>12</v>
      </c>
      <c r="AH13" s="10" t="s">
        <v>196</v>
      </c>
    </row>
    <row r="14" spans="1:34">
      <c r="A14" s="8" t="s">
        <v>34</v>
      </c>
      <c r="B14" s="8" t="s">
        <v>35</v>
      </c>
      <c r="C14" s="8" t="s">
        <v>12</v>
      </c>
      <c r="D14" s="8" t="s">
        <v>21</v>
      </c>
      <c r="F14" s="8" t="s">
        <v>12</v>
      </c>
      <c r="G14" s="8">
        <f>BoardQty*9</f>
        <v>900</v>
      </c>
      <c r="H14" s="9">
        <f t="shared" ca="1" si="0"/>
        <v>0</v>
      </c>
      <c r="I14" s="9">
        <f t="shared" ca="1" si="1"/>
        <v>0</v>
      </c>
    </row>
    <row r="15" spans="1:34">
      <c r="A15" s="8" t="s">
        <v>36</v>
      </c>
      <c r="B15" s="8" t="s">
        <v>37</v>
      </c>
      <c r="C15" s="8" t="s">
        <v>12</v>
      </c>
      <c r="D15" s="8" t="s">
        <v>38</v>
      </c>
      <c r="F15" s="8" t="s">
        <v>37</v>
      </c>
      <c r="G15" s="8">
        <f>BoardQty*1</f>
        <v>100</v>
      </c>
      <c r="H15" s="9">
        <f t="shared" ca="1" si="0"/>
        <v>0</v>
      </c>
      <c r="I15" s="9">
        <f t="shared" ca="1" si="1"/>
        <v>0</v>
      </c>
    </row>
    <row r="16" spans="1:34">
      <c r="A16" s="8" t="s">
        <v>39</v>
      </c>
      <c r="B16" s="8" t="s">
        <v>11</v>
      </c>
      <c r="C16" s="8" t="s">
        <v>12</v>
      </c>
      <c r="D16" s="8" t="s">
        <v>40</v>
      </c>
      <c r="F16" s="8" t="s">
        <v>41</v>
      </c>
      <c r="G16" s="8">
        <f>BoardQty*1</f>
        <v>100</v>
      </c>
      <c r="H16" s="9">
        <f t="shared" ca="1" si="0"/>
        <v>9.2500338101430421E-2</v>
      </c>
      <c r="I16" s="9">
        <f t="shared" ca="1" si="1"/>
        <v>9.2500338101430426</v>
      </c>
      <c r="J16" s="8">
        <v>54911</v>
      </c>
      <c r="L16" s="9">
        <f>IFERROR(GBP_USD*LOOKUP(IF(K16="",G16,K16),{0,1,10,100,500,1000,3000,6000,15000,30000,75000},{0,0.38,0.283,0.1765,0.12078,0.0929,0.08118,0.07667,0.06991,0.0654,0.06314}),"")</f>
        <v>0.13835855656697008</v>
      </c>
      <c r="M16" s="9">
        <f>IFERROR(IF(K16="",G16,K16)*L16,"")</f>
        <v>13.835855656697008</v>
      </c>
      <c r="N16" s="10" t="s">
        <v>142</v>
      </c>
      <c r="O16" s="8">
        <v>43518</v>
      </c>
      <c r="Q16" s="9">
        <f>IFERROR(LOOKUP(IF(P16="",G16,P16),{0,1,5,25,100,150,250,500,1000,5000},{0,0.246,0.246,0.238,0.105,0.105,0.0992,0.0822,0.0651,0.0562}),"")</f>
        <v>0.105</v>
      </c>
      <c r="R16" s="9">
        <f>IFERROR(IF(P16="",G16,P16)*Q16,"")</f>
        <v>10.5</v>
      </c>
      <c r="S16" s="10" t="s">
        <v>154</v>
      </c>
      <c r="T16" s="8">
        <v>11604</v>
      </c>
      <c r="V16" s="9">
        <f>IFERROR(GBP_USD*LOOKUP(IF(U16="",G16,U16),{0,1,10,50,100,1000,10000},{0,0.37,0.256,0.256,0.118,0.091,0.07}),"")</f>
        <v>9.2500338101430421E-2</v>
      </c>
      <c r="W16" s="9">
        <f>IFERROR(IF(U16="",G16,U16)*V16,"")</f>
        <v>9.2500338101430426</v>
      </c>
      <c r="X16" s="10" t="s">
        <v>169</v>
      </c>
      <c r="Y16" s="8">
        <v>43428</v>
      </c>
      <c r="AA16" s="9">
        <f>IFERROR(GBP_USD*LOOKUP(IF(Z16="",G16,Z16),{0,1,5,25,50,100,250,500,1000,3000,6000,12000,18000,30000},{0,0.37,0.373,0.262,0.194,0.127,0.118,0.11,0.101,0.092,0.087,0.085,0.083,0.081}),"")</f>
        <v>9.9555448634590371E-2</v>
      </c>
      <c r="AB16" s="9">
        <f>IFERROR(IF(Z16="",G16,Z16)*AA16,"")</f>
        <v>9.9555448634590373</v>
      </c>
      <c r="AC16" s="10" t="s">
        <v>184</v>
      </c>
      <c r="AD16" s="8">
        <v>1600</v>
      </c>
      <c r="AF16" s="9">
        <f>IFERROR(LOOKUP(IF(AE16="",G16,AE16),{0,1,100,200,300,400,500},{0,0.1,0.1,0.096,0.092,0.088,0.085}),"")</f>
        <v>0.1</v>
      </c>
      <c r="AG16" s="9">
        <f>IFERROR(IF(AE16="",G16,AE16)*AF16,"")</f>
        <v>10</v>
      </c>
      <c r="AH16" s="10" t="s">
        <v>197</v>
      </c>
    </row>
    <row r="17" spans="1:34">
      <c r="A17" s="8" t="s">
        <v>42</v>
      </c>
      <c r="B17" s="8" t="s">
        <v>43</v>
      </c>
      <c r="C17" s="8" t="s">
        <v>12</v>
      </c>
      <c r="D17" s="8" t="s">
        <v>44</v>
      </c>
      <c r="F17" s="8" t="s">
        <v>45</v>
      </c>
      <c r="G17" s="8">
        <f>BoardQty*3</f>
        <v>300</v>
      </c>
      <c r="H17" s="9">
        <f t="shared" ca="1" si="0"/>
        <v>3.9E-2</v>
      </c>
      <c r="I17" s="9">
        <f t="shared" ca="1" si="1"/>
        <v>11.7</v>
      </c>
      <c r="J17" s="8">
        <v>115935</v>
      </c>
      <c r="L17" s="9">
        <f>IFERROR(GBP_USD*LOOKUP(IF(K17="",G17,K17),{0,1,10,100,500,1000,3000,6000,15000,30000,75000,150000},{0,0.21,0.189,0.1031,0.06344,0.04326,0.0357,0.0322,0.028,0.0252,0.0224,0.01862}),"")</f>
        <v>8.0820210663198958E-2</v>
      </c>
      <c r="M17" s="9">
        <f>IFERROR(IF(K17="",G17,K17)*L17,"")</f>
        <v>24.246063198959686</v>
      </c>
      <c r="N17" s="10" t="s">
        <v>143</v>
      </c>
      <c r="O17" s="8">
        <v>21191</v>
      </c>
      <c r="Q17" s="9">
        <f>IFERROR(LOOKUP(IF(P17="",G17,P17),{0,1,5,25,100,150,250,500,1000,5000},{0,0.134,0.134,0.132,0.0552,0.0552,0.0519,0.0499,0.0261,0.0204}),"")</f>
        <v>5.1900000000000002E-2</v>
      </c>
      <c r="R17" s="9">
        <f>IFERROR(IF(P17="",G17,P17)*Q17,"")</f>
        <v>15.57</v>
      </c>
      <c r="S17" s="10" t="s">
        <v>155</v>
      </c>
      <c r="T17" s="8">
        <v>48670</v>
      </c>
      <c r="V17" s="9">
        <f>IFERROR(GBP_USD*LOOKUP(IF(U17="",G17,U17),{0,1,10,50,100,1000,3000,9000,10000,24000,45000},{0,0.2,0.135,0.135,0.057,0.039,0.03,0.026,0.026,0.024,0.023}),"")</f>
        <v>4.4682366710013001E-2</v>
      </c>
      <c r="W17" s="9">
        <f>IFERROR(IF(U17="",G17,U17)*V17,"")</f>
        <v>13.4047100130039</v>
      </c>
      <c r="X17" s="10" t="s">
        <v>170</v>
      </c>
      <c r="Y17" s="8">
        <v>2079000</v>
      </c>
      <c r="AA17" s="9">
        <f>IFERROR(GBP_USD*LOOKUP(IF(Z17="",G17,Z17),{0,1,5,10,25,50,100,250,500,1000,3000,6000,12000,18000,30000},{0,0.198,0.198,0.134,0.109,0.084,0.058,0.053,0.047,0.041,0.018,0.017,0.017,0.016,0.016}),"")</f>
        <v>4.1546762028608582E-2</v>
      </c>
      <c r="AB17" s="9">
        <f>IFERROR(IF(Z17="",G17,Z17)*AA17,"")</f>
        <v>12.464028608582575</v>
      </c>
      <c r="AC17" s="10" t="s">
        <v>185</v>
      </c>
      <c r="AD17" s="8">
        <v>21000</v>
      </c>
      <c r="AF17" s="9">
        <f>IFERROR(LOOKUP(IF(AE17="",G17,AE17),{0,1,250,1500,3000,9000},{0,0.039,0.039,0.029,0.02,0.019}),"")</f>
        <v>3.9E-2</v>
      </c>
      <c r="AG17" s="9">
        <f>IFERROR(IF(AE17="",G17,AE17)*AF17,"")</f>
        <v>11.7</v>
      </c>
      <c r="AH17" s="10" t="s">
        <v>198</v>
      </c>
    </row>
    <row r="18" spans="1:34">
      <c r="A18" s="8" t="s">
        <v>46</v>
      </c>
      <c r="B18" s="8" t="s">
        <v>47</v>
      </c>
      <c r="C18" s="8" t="s">
        <v>12</v>
      </c>
      <c r="D18" s="8" t="s">
        <v>48</v>
      </c>
      <c r="F18" s="8" t="s">
        <v>49</v>
      </c>
      <c r="G18" s="8">
        <f>BoardQty*1</f>
        <v>100</v>
      </c>
      <c r="H18" s="9">
        <f t="shared" ca="1" si="0"/>
        <v>0.53900000000000003</v>
      </c>
      <c r="I18" s="9">
        <f t="shared" ca="1" si="1"/>
        <v>53.900000000000006</v>
      </c>
      <c r="O18" s="8">
        <v>57745</v>
      </c>
      <c r="Q18" s="9">
        <f>IFERROR(LOOKUP(IF(P18="",G18,P18),{0,1,5,50,150,250,500,1500},{0,0.647,0.647,0.539,0.446,0.38,0.332,0.294}),"")</f>
        <v>0.53900000000000003</v>
      </c>
      <c r="R18" s="9">
        <f>IFERROR(IF(P18="",G18,P18)*Q18,"")</f>
        <v>53.900000000000006</v>
      </c>
      <c r="S18" s="10" t="s">
        <v>156</v>
      </c>
      <c r="Y18" s="8">
        <v>377</v>
      </c>
      <c r="AA18" s="9">
        <f>IFERROR(GBP_USD*LOOKUP(IF(Z18="",G18,Z18),{0,1,250,500,1000,5000},{0,0.97,0.731,0.654,0.586,0.533}),"")</f>
        <v>0.76038413524057213</v>
      </c>
      <c r="AB18" s="9">
        <f>IFERROR(IF(Z18="",G18,Z18)*AA18,"")</f>
        <v>76.038413524057219</v>
      </c>
      <c r="AC18" s="10" t="s">
        <v>186</v>
      </c>
    </row>
    <row r="19" spans="1:34">
      <c r="A19" s="8" t="s">
        <v>50</v>
      </c>
      <c r="B19" s="8" t="s">
        <v>51</v>
      </c>
      <c r="D19" s="8" t="s">
        <v>52</v>
      </c>
      <c r="F19" s="8" t="s">
        <v>12</v>
      </c>
      <c r="G19" s="8">
        <f>BoardQty*1</f>
        <v>100</v>
      </c>
      <c r="H19" s="9">
        <f t="shared" ca="1" si="0"/>
        <v>0</v>
      </c>
      <c r="I19" s="9">
        <f t="shared" ca="1" si="1"/>
        <v>0</v>
      </c>
    </row>
    <row r="20" spans="1:34">
      <c r="A20" s="8" t="s">
        <v>53</v>
      </c>
      <c r="B20" s="8" t="s">
        <v>54</v>
      </c>
      <c r="C20" s="8" t="s">
        <v>12</v>
      </c>
      <c r="D20" s="8" t="s">
        <v>55</v>
      </c>
      <c r="F20" s="8" t="s">
        <v>56</v>
      </c>
      <c r="G20" s="8">
        <f>BoardQty*16</f>
        <v>1600</v>
      </c>
      <c r="H20" s="9">
        <f t="shared" ca="1" si="0"/>
        <v>2.29E-2</v>
      </c>
      <c r="I20" s="9">
        <f t="shared" ca="1" si="1"/>
        <v>36.64</v>
      </c>
      <c r="O20" s="11" t="s">
        <v>158</v>
      </c>
      <c r="Q20" s="9">
        <f>IFERROR(LOOKUP(IF(P20="",G20,P20),{0,1,10,100,150,500,1000,2000,4000,20000},{0,0.0576,0.0576,0.0369,0.0369,0.0291,0.0229,0.022,0.021,0.0206}),"")</f>
        <v>2.29E-2</v>
      </c>
      <c r="R20" s="9">
        <f>IFERROR(IF(P20="",G20,P20)*Q20,"")</f>
        <v>36.64</v>
      </c>
      <c r="S20" s="10" t="s">
        <v>157</v>
      </c>
      <c r="T20" s="8">
        <v>98265</v>
      </c>
      <c r="V20" s="9">
        <f>IFERROR(GBP_USD*LOOKUP(IF(U20="",G20,U20),{0,1,10,50,100,1000,10000},{0,0.12,0.101,0.101,0.046,0.033,0.024}),"")</f>
        <v>2.5868738621586475E-2</v>
      </c>
      <c r="W20" s="9">
        <f>IFERROR(IF(U20="",G20,U20)*V20,"")</f>
        <v>41.389981794538357</v>
      </c>
      <c r="X20" s="10" t="s">
        <v>171</v>
      </c>
      <c r="Y20" s="11" t="s">
        <v>158</v>
      </c>
      <c r="AC20" s="10" t="s">
        <v>187</v>
      </c>
    </row>
    <row r="21" spans="1:34">
      <c r="A21" s="8" t="s">
        <v>57</v>
      </c>
      <c r="B21" s="8" t="s">
        <v>58</v>
      </c>
      <c r="C21" s="8" t="s">
        <v>12</v>
      </c>
      <c r="D21" s="8" t="s">
        <v>59</v>
      </c>
      <c r="F21" s="8" t="s">
        <v>60</v>
      </c>
      <c r="G21" s="8">
        <f>BoardQty*1</f>
        <v>100</v>
      </c>
      <c r="H21" s="9">
        <f t="shared" ca="1" si="0"/>
        <v>0.41899517555266574</v>
      </c>
      <c r="I21" s="9">
        <f t="shared" ca="1" si="1"/>
        <v>41.899517555266577</v>
      </c>
      <c r="J21" s="8">
        <v>15530</v>
      </c>
      <c r="L21" s="9">
        <f>IFERROR(GBP_USD*LOOKUP(IF(K21="",G21,K21),{0,1,10,100,500,1000,5000,10000},{0,0.74,0.697,0.5345,0.4648,0.38346,0.33698,0.31374}),"")</f>
        <v>0.41899517555266574</v>
      </c>
      <c r="M21" s="9">
        <f>IFERROR(IF(K21="",G21,K21)*L21,"")</f>
        <v>41.899517555266577</v>
      </c>
      <c r="N21" s="10" t="s">
        <v>144</v>
      </c>
      <c r="T21" s="8">
        <v>8897</v>
      </c>
      <c r="V21" s="9">
        <f>IFERROR(GBP_USD*LOOKUP(IF(U21="",G21,U21),{0,1,10,50,100,1000,10000},{0,0.75,0.558,0.558,0.535,0.384,0.314}),"")</f>
        <v>0.41938712613784135</v>
      </c>
      <c r="W21" s="9">
        <f>IFERROR(IF(U21="",G21,U21)*V21,"")</f>
        <v>41.938712613784134</v>
      </c>
      <c r="X21" s="10" t="s">
        <v>172</v>
      </c>
    </row>
    <row r="22" spans="1:34">
      <c r="A22" s="8" t="s">
        <v>61</v>
      </c>
      <c r="B22" s="8" t="s">
        <v>62</v>
      </c>
      <c r="C22" s="8" t="s">
        <v>12</v>
      </c>
      <c r="D22" s="8" t="s">
        <v>63</v>
      </c>
      <c r="F22" s="8" t="s">
        <v>64</v>
      </c>
      <c r="G22" s="8">
        <f>BoardQty*1</f>
        <v>100</v>
      </c>
      <c r="H22" s="9">
        <f t="shared" ca="1" si="0"/>
        <v>0</v>
      </c>
      <c r="I22" s="9">
        <f t="shared" ca="1" si="1"/>
        <v>0</v>
      </c>
    </row>
    <row r="23" spans="1:34">
      <c r="A23" s="8" t="s">
        <v>65</v>
      </c>
      <c r="B23" s="8" t="s">
        <v>66</v>
      </c>
      <c r="C23" s="8" t="s">
        <v>12</v>
      </c>
      <c r="D23" s="8" t="s">
        <v>67</v>
      </c>
      <c r="F23" s="8" t="s">
        <v>68</v>
      </c>
      <c r="G23" s="8">
        <f>BoardQty*1</f>
        <v>100</v>
      </c>
      <c r="H23" s="9">
        <f t="shared" ca="1" si="0"/>
        <v>0.26652639791937582</v>
      </c>
      <c r="I23" s="9">
        <f t="shared" ca="1" si="1"/>
        <v>26.652639791937581</v>
      </c>
      <c r="J23" s="8">
        <v>15024</v>
      </c>
      <c r="L23" s="9">
        <f>IFERROR(GBP_USD*LOOKUP(IF(K23="",G23,K23),{0,1,10,100,500,1000,3000,6000,15000},{0,0.66,0.578,0.443,0.3502,0.28016,0.2465,0.2295,0.2261}),"")</f>
        <v>0.34726821846553962</v>
      </c>
      <c r="M23" s="9">
        <f>IFERROR(IF(K23="",G23,K23)*L23,"")</f>
        <v>34.72682184655396</v>
      </c>
      <c r="N23" s="10" t="s">
        <v>145</v>
      </c>
      <c r="O23" s="8">
        <v>6383</v>
      </c>
      <c r="Q23" s="9">
        <f>IFERROR(LOOKUP(IF(P23="",G23,P23),{0,1,5,10,100,250,500,1000,5000},{0,0.62,0.62,0.501,0.291,0.27,0.248,0.227,0.208}),"")</f>
        <v>0.29099999999999998</v>
      </c>
      <c r="R23" s="9">
        <f>IFERROR(IF(P23="",G23,P23)*Q23,"")</f>
        <v>29.099999999999998</v>
      </c>
      <c r="S23" s="10" t="s">
        <v>159</v>
      </c>
      <c r="T23" s="8">
        <v>24670</v>
      </c>
      <c r="V23" s="9">
        <f>IFERROR(GBP_USD*LOOKUP(IF(U23="",G23,U23),{0,1,10,50,100,1000,10000},{0,0.63,0.527,0.527,0.34,0.272,0.272}),"")</f>
        <v>0.26652639791937582</v>
      </c>
      <c r="W23" s="9">
        <f>IFERROR(IF(U23="",G23,U23)*V23,"")</f>
        <v>26.652639791937581</v>
      </c>
      <c r="X23" s="10" t="s">
        <v>173</v>
      </c>
      <c r="Y23" s="8">
        <v>10</v>
      </c>
      <c r="AA23" s="9">
        <f>IFERROR(GBP_USD*LOOKUP(IF(Z23="",G23,Z23),{0,1,10,25,50,100,250,500,1000},{0,0.648,0.548,0.487,0.426,0.365,0.343,0.321,0.299}),"")</f>
        <v>0.28612392717815344</v>
      </c>
      <c r="AB23" s="9">
        <f>IFERROR(IF(Z23="",G23,Z23)*AA23,"")</f>
        <v>28.612392717815343</v>
      </c>
      <c r="AC23" s="10" t="s">
        <v>188</v>
      </c>
      <c r="AD23" s="8">
        <v>13064</v>
      </c>
      <c r="AF23" s="9">
        <f>IFERROR(LOOKUP(IF(AE23="",G23,AE23),{0,1,30,150,750,1500,3000,9000},{0,2,0.36,0.29,0.28,0.27,0.199,0.194}),"")</f>
        <v>0.36</v>
      </c>
      <c r="AG23" s="9">
        <f>IFERROR(IF(AE23="",G23,AE23)*AF23,"")</f>
        <v>36</v>
      </c>
      <c r="AH23" s="10" t="s">
        <v>199</v>
      </c>
    </row>
    <row r="24" spans="1:34">
      <c r="A24" s="8" t="s">
        <v>69</v>
      </c>
      <c r="B24" s="8" t="s">
        <v>70</v>
      </c>
      <c r="C24" s="8" t="s">
        <v>12</v>
      </c>
      <c r="D24" s="8" t="s">
        <v>71</v>
      </c>
      <c r="F24" s="8" t="s">
        <v>70</v>
      </c>
      <c r="G24" s="8">
        <f>BoardQty*1</f>
        <v>100</v>
      </c>
      <c r="H24" s="9">
        <f t="shared" ca="1" si="0"/>
        <v>0.2069499089726918</v>
      </c>
      <c r="I24" s="9">
        <f t="shared" ca="1" si="1"/>
        <v>20.694990897269179</v>
      </c>
      <c r="J24" s="8">
        <v>5553</v>
      </c>
      <c r="L24" s="9">
        <f>IFERROR(GBP_USD*LOOKUP(IF(K24="",G24,K24),{0,1,10,100,500,1000,2500,5000},{0,0.6,0.512,0.3819,0.30008,0.23188,0.21142,0.19778}),"")</f>
        <v>0.29937185695708712</v>
      </c>
      <c r="M24" s="9">
        <f>IFERROR(IF(K24="",G24,K24)*L24,"")</f>
        <v>29.937185695708713</v>
      </c>
      <c r="N24" s="10" t="s">
        <v>146</v>
      </c>
      <c r="O24" s="8">
        <v>24592</v>
      </c>
      <c r="Q24" s="9">
        <f>IFERROR(LOOKUP(IF(P24="",G24,P24),{0,1,5,25,100,250,500,1000,5000},{0,0.47,0.47,0.439,0.254,0.225,0.196,0.167,0.156}),"")</f>
        <v>0.254</v>
      </c>
      <c r="R24" s="9">
        <f>IFERROR(IF(P24="",G24,P24)*Q24,"")</f>
        <v>25.4</v>
      </c>
      <c r="S24" s="10" t="s">
        <v>160</v>
      </c>
      <c r="T24" s="8">
        <v>4156</v>
      </c>
      <c r="V24" s="9">
        <f>IFERROR(GBP_USD*LOOKUP(IF(U24="",G24,U24),{0,1,10,50,100,1000,10000},{0,0.6,0.493,0.493,0.301,0.232,0.185}),"")</f>
        <v>0.23595425227568267</v>
      </c>
      <c r="W24" s="9">
        <f>IFERROR(IF(U24="",G24,U24)*V24,"")</f>
        <v>23.595425227568267</v>
      </c>
      <c r="X24" s="10" t="s">
        <v>174</v>
      </c>
      <c r="Y24" s="8">
        <v>17963</v>
      </c>
      <c r="AA24" s="9">
        <f>IFERROR(GBP_USD*LOOKUP(IF(Z24="",G24,Z24),{0,1,5,10,100,500,1000,2500,10000,25000},{0,0.6,0.6,0.469,0.264,0.192,0.147,0.123,0.115,0.094}),"")</f>
        <v>0.2069499089726918</v>
      </c>
      <c r="AB24" s="9">
        <f>IFERROR(IF(Z24="",G24,Z24)*AA24,"")</f>
        <v>20.694990897269179</v>
      </c>
      <c r="AC24" s="10" t="s">
        <v>189</v>
      </c>
      <c r="AD24" s="8">
        <v>6294</v>
      </c>
      <c r="AF24" s="9">
        <f>IFERROR(LOOKUP(IF(AE24="",G24,AE24),{0,1,40,50,150,500},{0,2.02,0.24,0.372,0.22,0.2}),"")</f>
        <v>0.372</v>
      </c>
      <c r="AG24" s="9">
        <f>IFERROR(IF(AE24="",G24,AE24)*AF24,"")</f>
        <v>37.200000000000003</v>
      </c>
      <c r="AH24" s="10" t="s">
        <v>200</v>
      </c>
    </row>
    <row r="25" spans="1:34">
      <c r="A25" s="8" t="s">
        <v>72</v>
      </c>
      <c r="B25" s="8" t="s">
        <v>73</v>
      </c>
      <c r="C25" s="8" t="s">
        <v>12</v>
      </c>
      <c r="D25" s="8" t="s">
        <v>74</v>
      </c>
      <c r="F25" s="8" t="s">
        <v>12</v>
      </c>
      <c r="G25" s="8">
        <f>BoardQty*6</f>
        <v>600</v>
      </c>
      <c r="H25" s="9">
        <f t="shared" ca="1" si="0"/>
        <v>0</v>
      </c>
      <c r="I25" s="9">
        <f t="shared" ca="1" si="1"/>
        <v>0</v>
      </c>
    </row>
    <row r="26" spans="1:34">
      <c r="A26" s="8" t="s">
        <v>75</v>
      </c>
      <c r="B26" s="8" t="s">
        <v>76</v>
      </c>
      <c r="C26" s="8" t="s">
        <v>12</v>
      </c>
      <c r="D26" s="8" t="s">
        <v>74</v>
      </c>
      <c r="F26" s="8" t="s">
        <v>12</v>
      </c>
      <c r="G26" s="8">
        <f>BoardQty*3</f>
        <v>300</v>
      </c>
      <c r="H26" s="9">
        <f t="shared" ca="1" si="0"/>
        <v>0</v>
      </c>
      <c r="I26" s="9">
        <f t="shared" ca="1" si="1"/>
        <v>0</v>
      </c>
    </row>
    <row r="27" spans="1:34">
      <c r="A27" s="8" t="s">
        <v>77</v>
      </c>
      <c r="B27" s="8" t="s">
        <v>78</v>
      </c>
      <c r="D27" s="8" t="s">
        <v>79</v>
      </c>
      <c r="F27" s="8" t="s">
        <v>12</v>
      </c>
      <c r="G27" s="8">
        <f>BoardQty*1</f>
        <v>100</v>
      </c>
      <c r="H27" s="9">
        <f t="shared" ca="1" si="0"/>
        <v>0</v>
      </c>
      <c r="I27" s="9">
        <f t="shared" ca="1" si="1"/>
        <v>0</v>
      </c>
    </row>
    <row r="28" spans="1:34">
      <c r="A28" s="8" t="s">
        <v>80</v>
      </c>
      <c r="B28" s="8" t="s">
        <v>81</v>
      </c>
      <c r="C28" s="8" t="s">
        <v>12</v>
      </c>
      <c r="D28" s="8" t="s">
        <v>82</v>
      </c>
      <c r="F28" s="8" t="s">
        <v>83</v>
      </c>
      <c r="G28" s="8">
        <f>BoardQty*2</f>
        <v>200</v>
      </c>
      <c r="H28" s="9">
        <f t="shared" ca="1" si="0"/>
        <v>0.12542418725617685</v>
      </c>
      <c r="I28" s="9">
        <f t="shared" ca="1" si="1"/>
        <v>25.084837451235369</v>
      </c>
      <c r="T28" s="8">
        <v>25106</v>
      </c>
      <c r="V28" s="9">
        <f>IFERROR(GBP_USD*LOOKUP(IF(U28="",G28,U28),{0,1,10,50,100,1000,10000},{0,0.22,0.22,0.18,0.16,0.145,0.145}),"")</f>
        <v>0.12542418725617685</v>
      </c>
      <c r="W28" s="9">
        <f>IFERROR(IF(U28="",G28,U28)*V28,"")</f>
        <v>25.084837451235369</v>
      </c>
      <c r="X28" s="10" t="s">
        <v>175</v>
      </c>
      <c r="AD28" s="8">
        <v>3120</v>
      </c>
      <c r="AF28" s="9">
        <f>IFERROR(LOOKUP(IF(AE28="",G28,AE28),{0,1,20,500,2000,10000},{0,0.219,0.219,0.137,0.132,0.128}),"")</f>
        <v>0.219</v>
      </c>
      <c r="AG28" s="9">
        <f>IFERROR(IF(AE28="",G28,AE28)*AF28,"")</f>
        <v>43.8</v>
      </c>
      <c r="AH28" s="10" t="s">
        <v>201</v>
      </c>
    </row>
    <row r="29" spans="1:34">
      <c r="A29" s="8" t="s">
        <v>84</v>
      </c>
      <c r="B29" s="8" t="s">
        <v>85</v>
      </c>
      <c r="C29" s="8" t="s">
        <v>12</v>
      </c>
      <c r="D29" s="8" t="s">
        <v>86</v>
      </c>
      <c r="F29" s="8" t="s">
        <v>85</v>
      </c>
      <c r="G29" s="8">
        <f t="shared" ref="G29:G34" si="2">BoardQty*1</f>
        <v>100</v>
      </c>
      <c r="H29" s="9">
        <f t="shared" ca="1" si="0"/>
        <v>0</v>
      </c>
      <c r="I29" s="9">
        <f t="shared" ca="1" si="1"/>
        <v>0</v>
      </c>
    </row>
    <row r="30" spans="1:34">
      <c r="A30" s="8" t="s">
        <v>87</v>
      </c>
      <c r="B30" s="8" t="s">
        <v>88</v>
      </c>
      <c r="C30" s="8" t="s">
        <v>12</v>
      </c>
      <c r="D30" s="8" t="s">
        <v>89</v>
      </c>
      <c r="F30" s="8" t="s">
        <v>88</v>
      </c>
      <c r="G30" s="8">
        <f t="shared" si="2"/>
        <v>100</v>
      </c>
      <c r="H30" s="9">
        <f t="shared" ca="1" si="0"/>
        <v>0</v>
      </c>
      <c r="I30" s="9">
        <f t="shared" ca="1" si="1"/>
        <v>0</v>
      </c>
    </row>
    <row r="31" spans="1:34">
      <c r="A31" s="8" t="s">
        <v>90</v>
      </c>
      <c r="B31" s="8" t="s">
        <v>91</v>
      </c>
      <c r="C31" s="8" t="s">
        <v>12</v>
      </c>
      <c r="D31" s="8" t="s">
        <v>92</v>
      </c>
      <c r="F31" s="8" t="s">
        <v>93</v>
      </c>
      <c r="G31" s="8">
        <f t="shared" si="2"/>
        <v>100</v>
      </c>
      <c r="H31" s="9">
        <f t="shared" ca="1" si="0"/>
        <v>15.827</v>
      </c>
      <c r="I31" s="9">
        <f t="shared" ca="1" si="1"/>
        <v>1582.7</v>
      </c>
      <c r="J31" s="8">
        <v>462</v>
      </c>
      <c r="L31" s="9">
        <f>IFERROR(GBP_USD*LOOKUP(IF(K31="",G31,K31),{0,1,10,25,100,250},{0,32.87,30.311,28.9488,25.8835,24.69148}),"")</f>
        <v>20.290105942782834</v>
      </c>
      <c r="M31" s="9">
        <f>IFERROR(IF(K31="",G31,K31)*L31,"")</f>
        <v>2029.0105942782834</v>
      </c>
      <c r="N31" s="10" t="s">
        <v>147</v>
      </c>
      <c r="O31" s="8">
        <v>614</v>
      </c>
      <c r="Q31" s="9">
        <f>IFERROR(LOOKUP(IF(P31="",G31,P31),{0,1,5,10,25,50},{0,21.07,20.34,19.62,18.68,18.16}),"")</f>
        <v>18.16</v>
      </c>
      <c r="R31" s="9">
        <f>IFERROR(IF(P31="",G31,P31)*Q31,"")</f>
        <v>1816</v>
      </c>
      <c r="S31" s="10" t="s">
        <v>161</v>
      </c>
      <c r="T31" s="8">
        <v>590</v>
      </c>
      <c r="V31" s="9">
        <f>IFERROR(GBP_USD*LOOKUP(IF(U31="",G31,U31),{0,1,10,50,100,1000,10000},{0,30.34,28.27,25.94,24.55,22.69,22.69}),"")</f>
        <v>19.244773732119636</v>
      </c>
      <c r="W31" s="9">
        <f>IFERROR(IF(U31="",G31,U31)*V31,"")</f>
        <v>1924.4773732119636</v>
      </c>
      <c r="X31" s="10" t="s">
        <v>176</v>
      </c>
      <c r="Y31" s="11" t="s">
        <v>158</v>
      </c>
      <c r="AA31" s="9">
        <f>IFERROR(GBP_USD*LOOKUP(IF(Z31="",G31,Z31),{0,1,5,10,25,50,100,250},{0,25.29,24.44,23.57,22.43,21.62,20.46,18.92}),"")</f>
        <v>16.038617945383614</v>
      </c>
      <c r="AB31" s="9">
        <f>IFERROR(IF(Z31="",G31,Z31)*AA31,"")</f>
        <v>1603.8617945383614</v>
      </c>
      <c r="AC31" s="10" t="s">
        <v>190</v>
      </c>
      <c r="AD31" s="8">
        <v>105</v>
      </c>
      <c r="AF31" s="9">
        <f>IFERROR(LOOKUP(IF(AE31="",G31,AE31),{0,1,13,25},{0,18.91,17.62,15.827}),"")</f>
        <v>15.827</v>
      </c>
      <c r="AG31" s="9">
        <f>IFERROR(IF(AE31="",G31,AE31)*AF31,"")</f>
        <v>1582.7</v>
      </c>
      <c r="AH31" s="10" t="s">
        <v>202</v>
      </c>
    </row>
    <row r="32" spans="1:34">
      <c r="A32" s="8" t="s">
        <v>94</v>
      </c>
      <c r="B32" s="8" t="s">
        <v>95</v>
      </c>
      <c r="C32" s="8" t="s">
        <v>12</v>
      </c>
      <c r="D32" s="8" t="s">
        <v>96</v>
      </c>
      <c r="F32" s="8" t="s">
        <v>95</v>
      </c>
      <c r="G32" s="8">
        <f t="shared" si="2"/>
        <v>100</v>
      </c>
      <c r="H32" s="9">
        <f t="shared" ca="1" si="0"/>
        <v>1.37</v>
      </c>
      <c r="I32" s="9">
        <f t="shared" ca="1" si="1"/>
        <v>137</v>
      </c>
      <c r="J32" s="8">
        <v>6735</v>
      </c>
      <c r="L32" s="9">
        <f>IFERROR(GBP_USD*LOOKUP(IF(K32="",G32,K32),{0,1,25,100},{0,2.14,1.9672,1.7819}),"")</f>
        <v>1.3968334954486346</v>
      </c>
      <c r="M32" s="9">
        <f>IFERROR(IF(K32="",G32,K32)*L32,"")</f>
        <v>139.68334954486346</v>
      </c>
      <c r="N32" s="10" t="s">
        <v>148</v>
      </c>
      <c r="O32" s="8">
        <v>3910</v>
      </c>
      <c r="Q32" s="9">
        <f>IFERROR(LOOKUP(IF(P32="",G32,P32),{0,1,25,100,1000},{0,1.56,1.51,1.44,1.43}),"")</f>
        <v>1.44</v>
      </c>
      <c r="R32" s="9">
        <f>IFERROR(IF(P32="",G32,P32)*Q32,"")</f>
        <v>144</v>
      </c>
      <c r="S32" s="10" t="s">
        <v>162</v>
      </c>
      <c r="T32" s="8">
        <v>7898</v>
      </c>
      <c r="V32" s="9">
        <f>IFERROR(GBP_USD*LOOKUP(IF(U32="",G32,U32),{0,1,10,25,50,100,1000,10000},{0,2.14,2.11,1.96,1.96,1.78,1.78,1.6}),"")</f>
        <v>1.3953440832249675</v>
      </c>
      <c r="W32" s="9">
        <f>IFERROR(IF(U32="",G32,U32)*V32,"")</f>
        <v>139.53440832249674</v>
      </c>
      <c r="X32" s="10" t="s">
        <v>177</v>
      </c>
      <c r="Y32" s="8">
        <v>870</v>
      </c>
      <c r="AA32" s="9">
        <f>IFERROR(GBP_USD*LOOKUP(IF(Z32="",G32,Z32),{0,1,10,25,50,100},{0,2.14,2.05,1.97,1.87,1.78}),"")</f>
        <v>1.3953440832249675</v>
      </c>
      <c r="AB32" s="9">
        <f>IFERROR(IF(Z32="",G32,Z32)*AA32,"")</f>
        <v>139.53440832249674</v>
      </c>
      <c r="AC32" s="10" t="s">
        <v>191</v>
      </c>
      <c r="AD32" s="8">
        <v>654</v>
      </c>
      <c r="AF32" s="9">
        <f>IFERROR(LOOKUP(IF(AE32="",G32,AE32),{0,1,2,10,24,100},{0,1.64,1.64,1.535,1.445,1.37}),"")</f>
        <v>1.37</v>
      </c>
      <c r="AG32" s="9">
        <f>IFERROR(IF(AE32="",G32,AE32)*AF32,"")</f>
        <v>137</v>
      </c>
      <c r="AH32" s="10" t="s">
        <v>203</v>
      </c>
    </row>
    <row r="33" spans="1:34">
      <c r="A33" s="8" t="s">
        <v>97</v>
      </c>
      <c r="B33" s="8" t="s">
        <v>98</v>
      </c>
      <c r="C33" s="8" t="s">
        <v>12</v>
      </c>
      <c r="D33" s="8" t="s">
        <v>99</v>
      </c>
      <c r="F33" s="8" t="s">
        <v>100</v>
      </c>
      <c r="G33" s="8">
        <f t="shared" si="2"/>
        <v>100</v>
      </c>
      <c r="H33" s="9">
        <f t="shared" ca="1" si="0"/>
        <v>2.109</v>
      </c>
      <c r="I33" s="9">
        <f t="shared" ca="1" si="1"/>
        <v>210.9</v>
      </c>
      <c r="J33" s="8">
        <v>2124</v>
      </c>
      <c r="L33" s="9">
        <f>IFERROR(GBP_USD*LOOKUP(IF(K33="",G33,K33),{0,1,10,25,100,250,500,1000,2500,5000},{0,4.11,3.694,3.492,3.0264,2.8712,2.57632,2.1728,2.06416,1.98656}),"")</f>
        <v>2.3723985019505851</v>
      </c>
      <c r="M33" s="9">
        <f>IFERROR(IF(K33="",G33,K33)*L33,"")</f>
        <v>237.23985019505852</v>
      </c>
      <c r="N33" s="10" t="s">
        <v>149</v>
      </c>
      <c r="O33" s="8">
        <v>14</v>
      </c>
      <c r="Q33" s="9">
        <f>IFERROR(LOOKUP(IF(P33="",G33,P33),{0,1,10,25,50,100,250,500,1000},{0,3.33,3.22,2.92,2.28,2.24,2.2,2.16,1.75}),"")</f>
        <v>2.2400000000000002</v>
      </c>
      <c r="R33" s="9">
        <f>IFERROR(IF(P33="",G33,P33)*Q33,"")</f>
        <v>224.00000000000003</v>
      </c>
      <c r="S33" s="10" t="s">
        <v>163</v>
      </c>
      <c r="T33" s="11" t="s">
        <v>158</v>
      </c>
      <c r="V33" s="9">
        <f>IFERROR(GBP_USD*LOOKUP(IF(U33="",G33,U33),{0,1,10,25,50,100,250,500,1000,2000,10000},{0,3.67,3.44,3.22,2.96,2.95,2.87,2.65,2.16,2.1,2.1}),"")</f>
        <v>2.3125084525357607</v>
      </c>
      <c r="W33" s="9">
        <f>IFERROR(IF(U33="",G33,U33)*V33,"")</f>
        <v>231.25084525357607</v>
      </c>
      <c r="X33" s="10" t="s">
        <v>178</v>
      </c>
      <c r="Y33" s="8">
        <v>19</v>
      </c>
      <c r="AA33" s="9">
        <f>IFERROR(GBP_USD*LOOKUP(IF(Z33="",G33,Z33),{0,1,10,25,50,100,250,500},{0,4.08,3.94,3.57,2.79,2.74,2.7,2.65}),"")</f>
        <v>2.1478892067620285</v>
      </c>
      <c r="AB33" s="9">
        <f>IFERROR(IF(Z33="",G33,Z33)*AA33,"")</f>
        <v>214.78892067620285</v>
      </c>
      <c r="AC33" s="10" t="s">
        <v>192</v>
      </c>
      <c r="AD33" s="8">
        <v>666</v>
      </c>
      <c r="AF33" s="9">
        <f>IFERROR(LOOKUP(IF(AE33="",G33,AE33),{0,1,2,25,30,50,60,100,150,250,300},{0,3.08,2.97,2.65,2.97,2.44,2.9,2.109,2.55,1.98,2}),"")</f>
        <v>2.109</v>
      </c>
      <c r="AG33" s="9">
        <f>IFERROR(IF(AE33="",G33,AE33)*AF33,"")</f>
        <v>210.9</v>
      </c>
      <c r="AH33" s="10" t="s">
        <v>204</v>
      </c>
    </row>
    <row r="34" spans="1:34">
      <c r="A34" s="8" t="s">
        <v>101</v>
      </c>
      <c r="B34" s="8" t="s">
        <v>102</v>
      </c>
      <c r="C34" s="8" t="s">
        <v>12</v>
      </c>
      <c r="D34" s="8" t="s">
        <v>103</v>
      </c>
      <c r="F34" s="8" t="s">
        <v>104</v>
      </c>
      <c r="G34" s="8">
        <f t="shared" si="2"/>
        <v>100</v>
      </c>
      <c r="H34" s="9">
        <f t="shared" ca="1" si="0"/>
        <v>0</v>
      </c>
      <c r="I34" s="9">
        <f t="shared" ca="1" si="1"/>
        <v>0</v>
      </c>
    </row>
    <row r="35" spans="1:34">
      <c r="A35" s="8" t="s">
        <v>105</v>
      </c>
      <c r="B35" s="8" t="s">
        <v>106</v>
      </c>
      <c r="C35" s="8" t="s">
        <v>12</v>
      </c>
      <c r="D35" s="8" t="s">
        <v>13</v>
      </c>
      <c r="F35" s="8" t="s">
        <v>14</v>
      </c>
      <c r="G35" s="8">
        <f>BoardQty*8</f>
        <v>800</v>
      </c>
      <c r="H35" s="9">
        <f t="shared" ca="1" si="0"/>
        <v>0</v>
      </c>
      <c r="I35" s="9">
        <f t="shared" ca="1" si="1"/>
        <v>0</v>
      </c>
    </row>
    <row r="36" spans="1:34">
      <c r="A36" s="8" t="s">
        <v>107</v>
      </c>
      <c r="B36" s="8" t="s">
        <v>108</v>
      </c>
      <c r="C36" s="8" t="s">
        <v>12</v>
      </c>
      <c r="D36" s="8" t="s">
        <v>109</v>
      </c>
      <c r="E36" s="8" t="s">
        <v>110</v>
      </c>
      <c r="F36" s="8" t="s">
        <v>111</v>
      </c>
      <c r="G36" s="8">
        <f>BoardQty*1</f>
        <v>100</v>
      </c>
      <c r="H36" s="9">
        <f t="shared" ca="1" si="0"/>
        <v>0</v>
      </c>
      <c r="I36" s="9">
        <f t="shared" ca="1" si="1"/>
        <v>0</v>
      </c>
    </row>
    <row r="37" spans="1:34">
      <c r="A37" s="8" t="s">
        <v>112</v>
      </c>
      <c r="B37" s="8" t="s">
        <v>113</v>
      </c>
      <c r="C37" s="8" t="s">
        <v>114</v>
      </c>
      <c r="D37" s="8" t="s">
        <v>115</v>
      </c>
      <c r="F37" s="8" t="s">
        <v>116</v>
      </c>
      <c r="G37" s="8">
        <f>BoardQty*1</f>
        <v>100</v>
      </c>
      <c r="H37" s="9">
        <f t="shared" ca="1" si="0"/>
        <v>0.17402605981794539</v>
      </c>
      <c r="I37" s="9">
        <f t="shared" ca="1" si="1"/>
        <v>17.40260598179454</v>
      </c>
      <c r="O37" s="8">
        <v>499</v>
      </c>
      <c r="Q37" s="9">
        <f>IFERROR(LOOKUP(IF(P37="",G37,P37),{0,1,50,100,250,500,1000,5000},{0,0.294,0.222,0.204,0.2,0.197,0.196,0.195}),"")</f>
        <v>0.20399999999999999</v>
      </c>
      <c r="R37" s="9">
        <f>IFERROR(IF(P37="",G37,P37)*Q37,"")</f>
        <v>20.399999999999999</v>
      </c>
      <c r="S37" s="10" t="s">
        <v>164</v>
      </c>
      <c r="T37" s="8">
        <v>1225</v>
      </c>
      <c r="V37" s="9">
        <f>IFERROR(GBP_USD*LOOKUP(IF(U37="",G37,U37),{0,1,10,50,100,1000,10000},{0,0.34,0.278,0.25,0.222,0.178,0.156}),"")</f>
        <v>0.17402605981794539</v>
      </c>
      <c r="W37" s="9">
        <f>IFERROR(IF(U37="",G37,U37)*V37,"")</f>
        <v>17.40260598179454</v>
      </c>
      <c r="X37" s="10" t="s">
        <v>179</v>
      </c>
      <c r="AD37" s="8">
        <v>1425</v>
      </c>
      <c r="AF37" s="9">
        <f>IFERROR(LOOKUP(IF(AE37="",G37,AE37),{0,1,5,250,500,1000,2500},{0,0.254,0.254,0.166,0.156,0.15,0.128}),"")</f>
        <v>0.254</v>
      </c>
      <c r="AG37" s="9">
        <f>IFERROR(IF(AE37="",G37,AE37)*AF37,"")</f>
        <v>25.4</v>
      </c>
      <c r="AH37" s="10" t="s">
        <v>205</v>
      </c>
    </row>
    <row r="38" spans="1:34">
      <c r="A38" s="8" t="s">
        <v>117</v>
      </c>
      <c r="B38" s="8" t="s">
        <v>118</v>
      </c>
      <c r="C38" s="8" t="s">
        <v>12</v>
      </c>
      <c r="D38" s="8" t="s">
        <v>119</v>
      </c>
      <c r="F38" s="8" t="s">
        <v>120</v>
      </c>
      <c r="G38" s="8">
        <f>BoardQty*1</f>
        <v>100</v>
      </c>
      <c r="H38" s="9">
        <f t="shared" ca="1" si="0"/>
        <v>0.10974616384915475</v>
      </c>
      <c r="I38" s="9">
        <f t="shared" ca="1" si="1"/>
        <v>10.974616384915475</v>
      </c>
      <c r="J38" s="8">
        <v>8601</v>
      </c>
      <c r="L38" s="9">
        <f>IFERROR(GBP_USD*LOOKUP(IF(K38="",G38,K38),{0,1,10,50,100,500,1000,2500,5000,10000},{0,0.21,0.175,0.1576,0.14,0.133,0.112,0.105,0.1015,0.098}),"")</f>
        <v>0.10974616384915475</v>
      </c>
      <c r="M38" s="9">
        <f>IFERROR(IF(K38="",G38,K38)*L38,"")</f>
        <v>10.974616384915475</v>
      </c>
      <c r="N38" s="10" t="s">
        <v>150</v>
      </c>
      <c r="O38" s="8">
        <v>1545</v>
      </c>
      <c r="Q38" s="9">
        <f>IFERROR(LOOKUP(IF(P38="",G38,P38),{0,1,5,10,25,50,100,250,500,1000,5000},{0,0.202,0.197,0.17,0.162,0.153,0.136,0.121,0.129,0.103,0.0894}),"")</f>
        <v>0.13600000000000001</v>
      </c>
      <c r="R38" s="9">
        <f>IFERROR(IF(P38="",G38,P38)*Q38,"")</f>
        <v>13.600000000000001</v>
      </c>
      <c r="S38" s="10" t="s">
        <v>165</v>
      </c>
      <c r="T38" s="8">
        <v>24398</v>
      </c>
      <c r="V38" s="9">
        <f>IFERROR(GBP_USD*LOOKUP(IF(U38="",G38,U38),{0,1,10,50,100,1000,10000},{0,0.21,0.175,0.157,0.14,0.112,0.098}),"")</f>
        <v>0.10974616384915475</v>
      </c>
      <c r="W38" s="9">
        <f>IFERROR(IF(U38="",G38,U38)*V38,"")</f>
        <v>10.974616384915475</v>
      </c>
      <c r="X38" s="10" t="s">
        <v>180</v>
      </c>
      <c r="Y38" s="8">
        <v>1545</v>
      </c>
      <c r="AA38" s="9">
        <f>IFERROR(GBP_USD*LOOKUP(IF(Z38="",G38,Z38),{0,1,10,25,50,100,500,1000,2500},{0,0.234,0.199,0.19,0.18,0.161,0.154,0.126,0.119}),"")</f>
        <v>0.12620808842652795</v>
      </c>
      <c r="AB38" s="9">
        <f>IFERROR(IF(Z38="",G38,Z38)*AA38,"")</f>
        <v>12.620808842652794</v>
      </c>
      <c r="AC38" s="10" t="s">
        <v>193</v>
      </c>
      <c r="AD38" s="8">
        <v>140</v>
      </c>
      <c r="AF38" s="9">
        <f>IFERROR(LOOKUP(IF(AE38="",G38,AE38),{0,1,10,500,1000,2000,3000,5000},{0,0.337,0.337,0.085,0.088,0.074,0.078,0.063}),"")</f>
        <v>0.33700000000000002</v>
      </c>
      <c r="AG38" s="9">
        <f>IFERROR(IF(AE38="",G38,AE38)*AF38,"")</f>
        <v>33.700000000000003</v>
      </c>
      <c r="AH38" s="10" t="s">
        <v>206</v>
      </c>
    </row>
    <row r="40" spans="1:34" ht="16">
      <c r="B40" s="12" t="s">
        <v>123</v>
      </c>
      <c r="H40" s="1" t="s">
        <v>121</v>
      </c>
      <c r="I40" s="5">
        <f ca="1"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K40" s="6" t="str">
        <f>IFERROR(IF(OR(K7:K38),COUNTIFS(K7:K38,"&gt;0",M7:M38,"&lt;&gt;")&amp;" of "&amp;(ROWS(M7:M38)-COUNTBLANK(M7:M38))&amp;" parts purchased",""),"")</f>
        <v/>
      </c>
      <c r="M40" s="5">
        <f>SUMIF(K7:K38,"&gt;0",M7:M38)</f>
        <v>0</v>
      </c>
      <c r="P40" s="6" t="str">
        <f>IFERROR(IF(OR(P7:P38),COUNTIFS(P7:P38,"&gt;0",R7:R38,"&lt;&gt;")&amp;" of "&amp;(ROWS(R7:R38)-COUNTBLANK(R7:R38))&amp;" parts purchased",""),"")</f>
        <v/>
      </c>
      <c r="R40" s="5">
        <f>SUMIF(P7:P38,"&gt;0",R7:R38)</f>
        <v>0</v>
      </c>
      <c r="U40" s="6" t="str">
        <f>IFERROR(IF(OR(U7:U38),COUNTIFS(U7:U38,"&gt;0",W7:W38,"&lt;&gt;")&amp;" of "&amp;(ROWS(W7:W38)-COUNTBLANK(W7:W38))&amp;" parts purchased",""),"")</f>
        <v/>
      </c>
      <c r="W40" s="5">
        <f>SUMIF(U7:U38,"&gt;0",W7:W38)</f>
        <v>0</v>
      </c>
      <c r="Z40" s="6" t="str">
        <f>IFERROR(IF(OR(Z7:Z38),COUNTIFS(Z7:Z38,"&gt;0",AB7:AB38,"&lt;&gt;")&amp;" of "&amp;(ROWS(AB7:AB38)-COUNTBLANK(AB7:AB38))&amp;" parts purchased",""),"")</f>
        <v/>
      </c>
      <c r="AB40" s="5">
        <f>SUMIF(Z7:Z38,"&gt;0",AB7:AB38)</f>
        <v>0</v>
      </c>
      <c r="AE40" s="6" t="str">
        <f>IFERROR(IF(OR(AE7:AE38),COUNTIFS(AE7:AE38,"&gt;0",AG7:AG38,"&lt;&gt;")&amp;" of "&amp;(ROWS(AG7:AG38)-COUNTBLANK(AG7:AG38))&amp;" parts purchased",""),"")</f>
        <v/>
      </c>
      <c r="AG40" s="5">
        <f>SUMIF(AE7:AE38,"&gt;0",AG7:AG38)</f>
        <v>0</v>
      </c>
    </row>
    <row r="41" spans="1:34">
      <c r="B41" s="12" t="s">
        <v>124</v>
      </c>
      <c r="C41">
        <v>0.78390117035110529</v>
      </c>
      <c r="H41" s="12" t="s">
        <v>122</v>
      </c>
      <c r="K41" t="str">
        <f t="array" ref="K41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1" t="str">
        <f t="array" ref="P41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1" t="str">
        <f t="array" ref="U41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1" t="str">
        <f t="array" ref="Z41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1" t="str">
        <f t="array" ref="AE41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2" spans="1:34">
      <c r="K42" t="str">
        <f t="array" ref="K42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2" t="str">
        <f t="array" ref="P42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2" t="str">
        <f t="array" ref="U42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2" t="str">
        <f t="array" ref="Z42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2" t="str">
        <f t="array" ref="AE42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3" spans="1:34" ht="15">
      <c r="A43" s="2" t="s">
        <v>207</v>
      </c>
      <c r="K43" t="str">
        <f t="array" ref="K43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3" t="str">
        <f t="array" ref="P43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3" t="str">
        <f t="array" ref="U43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3" t="str">
        <f t="array" ref="Z43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3" t="str">
        <f t="array" ref="AE43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4" spans="1:34">
      <c r="K44" t="str">
        <f t="array" ref="K44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4" t="str">
        <f t="array" ref="P44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4" t="str">
        <f t="array" ref="U44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4" t="str">
        <f t="array" ref="Z44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4" t="str">
        <f t="array" ref="AE44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5" spans="1:34">
      <c r="K45" t="str">
        <f t="array" ref="K45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5" t="str">
        <f t="array" ref="P45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5" t="str">
        <f t="array" ref="U45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5" t="str">
        <f t="array" ref="Z45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5" t="str">
        <f t="array" ref="AE45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6" spans="1:34">
      <c r="K46" t="str">
        <f t="array" ref="K46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6" t="str">
        <f t="array" ref="P46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6" t="str">
        <f t="array" ref="U46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6" t="str">
        <f t="array" ref="Z46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6" t="str">
        <f t="array" ref="AE46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7" spans="1:34">
      <c r="K47" t="str">
        <f t="array" ref="K47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7" t="str">
        <f t="array" ref="P47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7" t="str">
        <f t="array" ref="U47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7" t="str">
        <f t="array" ref="Z47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7" t="str">
        <f t="array" ref="AE47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8" spans="1:34">
      <c r="K48" t="str">
        <f t="array" ref="K48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8" t="str">
        <f t="array" ref="P48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8" t="str">
        <f t="array" ref="U48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8" t="str">
        <f t="array" ref="Z48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8" t="str">
        <f t="array" ref="AE48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49" spans="11:31">
      <c r="K49" t="str">
        <f t="array" ref="K49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49" t="str">
        <f t="array" ref="P49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49" t="str">
        <f t="array" ref="U49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49" t="str">
        <f t="array" ref="Z49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49" t="str">
        <f t="array" ref="AE49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0" spans="11:31">
      <c r="K50" t="str">
        <f t="array" ref="K50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0" t="str">
        <f t="array" ref="P50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0" t="str">
        <f t="array" ref="U50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0" t="str">
        <f t="array" ref="Z50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0" t="str">
        <f t="array" ref="AE50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1" spans="11:31">
      <c r="K51" t="str">
        <f t="array" ref="K51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1" t="str">
        <f t="array" ref="P51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1" t="str">
        <f t="array" ref="U51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1" t="str">
        <f t="array" ref="Z51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1" t="str">
        <f t="array" ref="AE51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2" spans="11:31">
      <c r="K52" t="str">
        <f t="array" ref="K52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2" t="str">
        <f t="array" ref="P52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2" t="str">
        <f t="array" ref="U52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2" t="str">
        <f t="array" ref="Z52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2" t="str">
        <f t="array" ref="AE52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3" spans="11:31">
      <c r="K53" t="str">
        <f t="array" ref="K53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3" t="str">
        <f t="array" ref="P53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3" t="str">
        <f t="array" ref="U53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3" t="str">
        <f t="array" ref="Z53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3" t="str">
        <f t="array" ref="AE53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4" spans="11:31">
      <c r="K54" t="str">
        <f t="array" ref="K54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4" t="str">
        <f t="array" ref="P54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4" t="str">
        <f t="array" ref="U54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4" t="str">
        <f t="array" ref="Z54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4" t="str">
        <f t="array" ref="AE54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5" spans="11:31">
      <c r="K55" t="str">
        <f t="array" ref="K55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5" t="str">
        <f t="array" ref="P55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5" t="str">
        <f t="array" ref="U55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5" t="str">
        <f t="array" ref="Z55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5" t="str">
        <f t="array" ref="AE55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6" spans="11:31">
      <c r="K56" t="str">
        <f t="array" ref="K56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6" t="str">
        <f t="array" ref="P56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6" t="str">
        <f t="array" ref="U56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6" t="str">
        <f t="array" ref="Z56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6" t="str">
        <f t="array" ref="AE56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7" spans="11:31">
      <c r="K57" t="str">
        <f t="array" ref="K57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7" t="str">
        <f t="array" ref="P57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7" t="str">
        <f t="array" ref="U57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7" t="str">
        <f t="array" ref="Z57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7" t="str">
        <f t="array" ref="AE57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8" spans="11:31">
      <c r="K58" t="str">
        <f t="array" ref="K58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8" t="str">
        <f t="array" ref="P58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8" t="str">
        <f t="array" ref="U58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8" t="str">
        <f t="array" ref="Z58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8" t="str">
        <f t="array" ref="AE58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59" spans="11:31">
      <c r="K59" t="str">
        <f t="array" ref="K59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59" t="str">
        <f t="array" ref="P59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59" t="str">
        <f t="array" ref="U59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59" t="str">
        <f t="array" ref="Z59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59" t="str">
        <f t="array" ref="AE59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0" spans="11:31">
      <c r="K60" t="str">
        <f t="array" ref="K60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0" t="str">
        <f t="array" ref="P60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0" t="str">
        <f t="array" ref="U60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0" t="str">
        <f t="array" ref="Z60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0" t="str">
        <f t="array" ref="AE60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1" spans="11:31">
      <c r="K61" t="str">
        <f t="array" ref="K61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1" t="str">
        <f t="array" ref="P61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1" t="str">
        <f t="array" ref="U61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1" t="str">
        <f t="array" ref="Z61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1" t="str">
        <f t="array" ref="AE61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2" spans="11:31">
      <c r="K62" t="str">
        <f t="array" ref="K62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2" t="str">
        <f t="array" ref="P62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2" t="str">
        <f t="array" ref="U62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2" t="str">
        <f t="array" ref="Z62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2" t="str">
        <f t="array" ref="AE62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3" spans="11:31">
      <c r="K63" t="str">
        <f t="array" ref="K63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3" t="str">
        <f t="array" ref="P63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3" t="str">
        <f t="array" ref="U63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3" t="str">
        <f t="array" ref="Z63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3" t="str">
        <f t="array" ref="AE63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4" spans="11:31">
      <c r="K64" t="str">
        <f t="array" ref="K64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4" t="str">
        <f t="array" ref="P64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4" t="str">
        <f t="array" ref="U64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4" t="str">
        <f t="array" ref="Z64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4" t="str">
        <f t="array" ref="AE64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5" spans="11:31">
      <c r="K65" t="str">
        <f t="array" ref="K65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5" t="str">
        <f t="array" ref="P65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5" t="str">
        <f t="array" ref="U65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5" t="str">
        <f t="array" ref="Z65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5" t="str">
        <f t="array" ref="AE65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6" spans="11:31">
      <c r="K66" t="str">
        <f t="array" ref="K66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6" t="str">
        <f t="array" ref="P66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6" t="str">
        <f t="array" ref="U66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6" t="str">
        <f t="array" ref="Z66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6" t="str">
        <f t="array" ref="AE66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7" spans="11:31">
      <c r="K67" t="str">
        <f t="array" ref="K67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7" t="str">
        <f t="array" ref="P67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7" t="str">
        <f t="array" ref="U67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7" t="str">
        <f t="array" ref="Z67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7" t="str">
        <f t="array" ref="AE67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8" spans="11:31">
      <c r="K68" t="str">
        <f t="array" ref="K68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8" t="str">
        <f t="array" ref="P68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8" t="str">
        <f t="array" ref="U68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8" t="str">
        <f t="array" ref="Z68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8" t="str">
        <f t="array" ref="AE68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69" spans="11:31">
      <c r="K69" t="str">
        <f t="array" ref="K69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69" t="str">
        <f t="array" ref="P69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69" t="str">
        <f t="array" ref="U69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69" t="str">
        <f t="array" ref="Z69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69" t="str">
        <f t="array" ref="AE69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70" spans="11:31">
      <c r="K70" t="str">
        <f t="array" ref="K70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70" t="str">
        <f t="array" ref="P70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70" t="str">
        <f t="array" ref="U70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70" t="str">
        <f t="array" ref="Z70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70" t="str">
        <f t="array" ref="AE70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71" spans="11:31">
      <c r="K71" t="str">
        <f t="array" ref="K71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71" t="str">
        <f t="array" ref="P71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71" t="str">
        <f t="array" ref="U71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71" t="str">
        <f t="array" ref="Z71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71" t="str">
        <f t="array" ref="AE71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  <row r="72" spans="11:31">
      <c r="K72" t="str">
        <f t="array" ref="K72">IFERROR(CONCATENATE(TEXT(INDEX(K7:K38,SMALL(IF(ISNUMBER(K7:K38),IF(K7:K38&gt;0,IF(N7:N38&lt;&gt;"",ROW(K7:K38)-MIN(ROW(K7:K38))+1))),ROW()-ROW(A$41)+1)),"##0"),",",INDEX(N7:N38,SMALL(IF(ISNUMBER(K7:K38),IF(K7:K38&gt;0,IF(N7:N38&lt;&gt;"",ROW(K7:K38)-MIN(ROW(K7:K38))+1))),ROW()-ROW(A$41)+1)),",",SUBSTITUTE(INDEX(IF(PURCHASE_DESCRIPTION&lt;&gt;"",PURCHASE_DESCRIPTION&amp;":","")&amp;A7:A38,SMALL(IF(ISNUMBER(K7:K38),IF(K7:K38&gt;0,IF(N7:N38&lt;&gt;"",ROW(K7:K38)-MIN(ROW(K7:K38))+1))),ROW()-ROW(A$41)+1)),",",";")),"")</f>
        <v/>
      </c>
      <c r="P72" t="str">
        <f t="array" ref="P72">IFERROR(CONCATENATE(INDEX(S7:S38,SMALL(IF(ISNUMBER(P7:P38),IF(P7:P38&gt;0,IF(S7:S38&lt;&gt;"",ROW(P7:P38)-MIN(ROW(P7:P38))+1))),ROW()-ROW(A$41)+1))," ",TEXT(INDEX(P7:P38,SMALL(IF(ISNUMBER(P7:P38),IF(P7:P38&gt;0,IF(S7:S38&lt;&gt;"",ROW(P7:P38)-MIN(ROW(P7:P38))+1))),ROW()-ROW(A$41)+1)),"##0")," ",SUBSTITUTE(INDEX(IF(PURCHASE_DESCRIPTION&lt;&gt;"",PURCHASE_DESCRIPTION&amp;":","")&amp;A7:A38,SMALL(IF(ISNUMBER(P7:P38),IF(P7:P38&gt;0,IF(S7:S38&lt;&gt;"",ROW(P7:P38)-MIN(ROW(P7:P38))+1))),ROW()-ROW(A$41)+1))," ",";")),"")</f>
        <v/>
      </c>
      <c r="U72" t="str">
        <f t="array" ref="U72">IFERROR(CONCATENATE(INDEX(X7:X38,SMALL(IF(ISNUMBER(U7:U38),IF(U7:U38&gt;0,IF(X7:X38&lt;&gt;"",ROW(U7:U38)-MIN(ROW(U7:U38))+1))),ROW()-ROW(A$41)+1)),"|",TEXT(INDEX(U7:U38,SMALL(IF(ISNUMBER(U7:U38),IF(U7:U38&gt;0,IF(X7:X38&lt;&gt;"",ROW(U7:U38)-MIN(ROW(U7:U38))+1))),ROW()-ROW(A$41)+1)),"##0"),"|",SUBSTITUTE(SUBSTITUTE(INDEX(IF(PURCHASE_DESCRIPTION&lt;&gt;"",PURCHASE_DESCRIPTION&amp;":","")&amp;A7:A38,SMALL(IF(ISNUMBER(U7:U38),IF(U7:U38&gt;0,IF(X7:X38&lt;&gt;"",ROW(U7:U38)-MIN(ROW(U7:U38))+1))),ROW()-ROW(A$41)+1)),"|",";")," ","_")),"")</f>
        <v/>
      </c>
      <c r="Z72" t="str">
        <f t="array" ref="Z72">IFERROR(CONCATENATE(INDEX(AC7:AC38,SMALL(IF(ISNUMBER(Z7:Z38),IF(Z7:Z38&gt;0,IF(AC7:AC38&lt;&gt;"",ROW(Z7:Z38)-MIN(ROW(Z7:Z38))+1))),ROW()-ROW(A$41)+1)),",",TEXT(INDEX(Z7:Z38,SMALL(IF(ISNUMBER(Z7:Z38),IF(Z7:Z38&gt;0,IF(AC7:AC38&lt;&gt;"",ROW(Z7:Z38)-MIN(ROW(Z7:Z38))+1))),ROW()-ROW(A$41)+1)),"##0"),",",SUBSTITUTE(INDEX(IF(PURCHASE_DESCRIPTION&lt;&gt;"",PURCHASE_DESCRIPTION&amp;":","")&amp;A7:A38,SMALL(IF(ISNUMBER(Z7:Z38),IF(Z7:Z38&gt;0,IF(AC7:AC38&lt;&gt;"",ROW(Z7:Z38)-MIN(ROW(Z7:Z38))+1))),ROW()-ROW(A$41)+1)),",",";")),"")</f>
        <v/>
      </c>
      <c r="AE72" t="str">
        <f t="array" ref="AE72">IFERROR(CONCATENATE(INDEX(AH7:AH38,SMALL(IF(ISNUMBER(AE7:AE38),IF(AE7:AE38&gt;0,IF(AH7:AH38&lt;&gt;"",ROW(AE7:AE38)-MIN(ROW(AE7:AE38))+1))),ROW()-ROW(A$41)+1))," ",TEXT(INDEX(AE7:AE38,SMALL(IF(ISNUMBER(AE7:AE38),IF(AE7:AE38&gt;0,IF(AH7:AH38&lt;&gt;"",ROW(AE7:AE38)-MIN(ROW(AE7:AE38))+1))),ROW()-ROW(A$41)+1)),"##0")," ",SUBSTITUTE(INDEX(IF(PURCHASE_DESCRIPTION&lt;&gt;"",PURCHASE_DESCRIPTION&amp;":","")&amp;A7:A38,SMALL(IF(ISNUMBER(AE7:AE38),IF(AE7:AE38&gt;0,IF(AH7:AH38&lt;&gt;"",ROW(AE7:AE38)-MIN(ROW(AE7:AE38))+1))),ROW()-ROW(A$41)+1))," ",";")),"")</f>
        <v/>
      </c>
    </row>
  </sheetData>
  <mergeCells count="6">
    <mergeCell ref="AD5:AH5"/>
    <mergeCell ref="A5:I5"/>
    <mergeCell ref="J5:N5"/>
    <mergeCell ref="O5:S5"/>
    <mergeCell ref="T5:X5"/>
    <mergeCell ref="Y5:AC5"/>
  </mergeCells>
  <conditionalFormatting sqref="AA11">
    <cfRule type="cellIs" dxfId="449" priority="330" operator="lessThanOrEqual">
      <formula>H11</formula>
    </cfRule>
  </conditionalFormatting>
  <conditionalFormatting sqref="AA13">
    <cfRule type="cellIs" dxfId="448" priority="336" operator="lessThanOrEqual">
      <formula>H13</formula>
    </cfRule>
  </conditionalFormatting>
  <conditionalFormatting sqref="AA16">
    <cfRule type="cellIs" dxfId="447" priority="341" operator="lessThanOrEqual">
      <formula>H16</formula>
    </cfRule>
  </conditionalFormatting>
  <conditionalFormatting sqref="AA17">
    <cfRule type="cellIs" dxfId="446" priority="347" operator="lessThanOrEqual">
      <formula>H17</formula>
    </cfRule>
  </conditionalFormatting>
  <conditionalFormatting sqref="AA18">
    <cfRule type="cellIs" dxfId="445" priority="352" operator="lessThanOrEqual">
      <formula>H18</formula>
    </cfRule>
  </conditionalFormatting>
  <conditionalFormatting sqref="AA23">
    <cfRule type="cellIs" dxfId="444" priority="357" operator="lessThanOrEqual">
      <formula>H23</formula>
    </cfRule>
  </conditionalFormatting>
  <conditionalFormatting sqref="AA24">
    <cfRule type="cellIs" dxfId="443" priority="363" operator="lessThanOrEqual">
      <formula>H24</formula>
    </cfRule>
  </conditionalFormatting>
  <conditionalFormatting sqref="AA31">
    <cfRule type="cellIs" dxfId="442" priority="368" operator="lessThanOrEqual">
      <formula>H31</formula>
    </cfRule>
  </conditionalFormatting>
  <conditionalFormatting sqref="AA32">
    <cfRule type="cellIs" dxfId="441" priority="373" operator="lessThanOrEqual">
      <formula>H32</formula>
    </cfRule>
  </conditionalFormatting>
  <conditionalFormatting sqref="AA33">
    <cfRule type="cellIs" dxfId="440" priority="378" operator="lessThanOrEqual">
      <formula>H33</formula>
    </cfRule>
  </conditionalFormatting>
  <conditionalFormatting sqref="AA38">
    <cfRule type="cellIs" dxfId="439" priority="383" operator="lessThanOrEqual">
      <formula>H38</formula>
    </cfRule>
  </conditionalFormatting>
  <conditionalFormatting sqref="AB11">
    <cfRule type="cellIs" dxfId="438" priority="329" operator="lessThanOrEqual">
      <formula>I11</formula>
    </cfRule>
  </conditionalFormatting>
  <conditionalFormatting sqref="AB13">
    <cfRule type="cellIs" dxfId="437" priority="335" operator="lessThanOrEqual">
      <formula>I13</formula>
    </cfRule>
  </conditionalFormatting>
  <conditionalFormatting sqref="AB16">
    <cfRule type="cellIs" dxfId="436" priority="340" operator="lessThanOrEqual">
      <formula>I16</formula>
    </cfRule>
  </conditionalFormatting>
  <conditionalFormatting sqref="AB17">
    <cfRule type="cellIs" dxfId="435" priority="346" operator="lessThanOrEqual">
      <formula>I17</formula>
    </cfRule>
  </conditionalFormatting>
  <conditionalFormatting sqref="AB18">
    <cfRule type="cellIs" dxfId="434" priority="351" operator="lessThanOrEqual">
      <formula>I18</formula>
    </cfRule>
  </conditionalFormatting>
  <conditionalFormatting sqref="AB23">
    <cfRule type="cellIs" dxfId="433" priority="356" operator="lessThanOrEqual">
      <formula>I23</formula>
    </cfRule>
  </conditionalFormatting>
  <conditionalFormatting sqref="AB24">
    <cfRule type="cellIs" dxfId="432" priority="362" operator="lessThanOrEqual">
      <formula>I24</formula>
    </cfRule>
  </conditionalFormatting>
  <conditionalFormatting sqref="AB31">
    <cfRule type="cellIs" dxfId="431" priority="367" operator="lessThanOrEqual">
      <formula>I31</formula>
    </cfRule>
  </conditionalFormatting>
  <conditionalFormatting sqref="AB32">
    <cfRule type="cellIs" dxfId="430" priority="372" operator="lessThanOrEqual">
      <formula>I32</formula>
    </cfRule>
  </conditionalFormatting>
  <conditionalFormatting sqref="AB33">
    <cfRule type="cellIs" dxfId="429" priority="377" operator="lessThanOrEqual">
      <formula>I33</formula>
    </cfRule>
  </conditionalFormatting>
  <conditionalFormatting sqref="AB38">
    <cfRule type="cellIs" dxfId="428" priority="382" operator="lessThanOrEqual">
      <formula>I38</formula>
    </cfRule>
  </conditionalFormatting>
  <conditionalFormatting sqref="AD11">
    <cfRule type="cellIs" dxfId="427" priority="384" operator="equal">
      <formula>0</formula>
    </cfRule>
    <cfRule type="cellIs" dxfId="426" priority="385" operator="lessThan">
      <formula>G11</formula>
    </cfRule>
  </conditionalFormatting>
  <conditionalFormatting sqref="AD13">
    <cfRule type="cellIs" dxfId="425" priority="390" operator="equal">
      <formula>0</formula>
    </cfRule>
    <cfRule type="cellIs" dxfId="424" priority="391" operator="lessThan">
      <formula>G13</formula>
    </cfRule>
  </conditionalFormatting>
  <conditionalFormatting sqref="AD16">
    <cfRule type="cellIs" dxfId="423" priority="395" operator="equal">
      <formula>0</formula>
    </cfRule>
    <cfRule type="cellIs" dxfId="422" priority="396" operator="lessThan">
      <formula>G16</formula>
    </cfRule>
  </conditionalFormatting>
  <conditionalFormatting sqref="AD17">
    <cfRule type="cellIs" dxfId="421" priority="401" operator="equal">
      <formula>0</formula>
    </cfRule>
    <cfRule type="cellIs" dxfId="420" priority="402" operator="lessThan">
      <formula>G17</formula>
    </cfRule>
  </conditionalFormatting>
  <conditionalFormatting sqref="AD23">
    <cfRule type="cellIs" dxfId="419" priority="407" operator="equal">
      <formula>0</formula>
    </cfRule>
    <cfRule type="cellIs" dxfId="418" priority="408" operator="lessThan">
      <formula>G23</formula>
    </cfRule>
  </conditionalFormatting>
  <conditionalFormatting sqref="AD24">
    <cfRule type="cellIs" dxfId="417" priority="412" operator="equal">
      <formula>0</formula>
    </cfRule>
    <cfRule type="cellIs" dxfId="416" priority="413" operator="lessThan">
      <formula>G24</formula>
    </cfRule>
  </conditionalFormatting>
  <conditionalFormatting sqref="AD28">
    <cfRule type="cellIs" dxfId="415" priority="417" operator="equal">
      <formula>0</formula>
    </cfRule>
    <cfRule type="cellIs" dxfId="414" priority="418" operator="lessThan">
      <formula>G28</formula>
    </cfRule>
  </conditionalFormatting>
  <conditionalFormatting sqref="AD31">
    <cfRule type="cellIs" dxfId="413" priority="423" operator="equal">
      <formula>0</formula>
    </cfRule>
    <cfRule type="cellIs" dxfId="412" priority="424" operator="lessThan">
      <formula>G31</formula>
    </cfRule>
  </conditionalFormatting>
  <conditionalFormatting sqref="AD32">
    <cfRule type="cellIs" dxfId="411" priority="428" operator="equal">
      <formula>0</formula>
    </cfRule>
    <cfRule type="cellIs" dxfId="410" priority="429" operator="lessThan">
      <formula>G32</formula>
    </cfRule>
  </conditionalFormatting>
  <conditionalFormatting sqref="AD33">
    <cfRule type="cellIs" dxfId="409" priority="434" operator="equal">
      <formula>0</formula>
    </cfRule>
    <cfRule type="cellIs" dxfId="408" priority="435" operator="lessThan">
      <formula>G33</formula>
    </cfRule>
  </conditionalFormatting>
  <conditionalFormatting sqref="AD37">
    <cfRule type="cellIs" dxfId="407" priority="439" operator="equal">
      <formula>0</formula>
    </cfRule>
    <cfRule type="cellIs" dxfId="406" priority="440" operator="lessThan">
      <formula>G37</formula>
    </cfRule>
  </conditionalFormatting>
  <conditionalFormatting sqref="AD38">
    <cfRule type="cellIs" dxfId="405" priority="445" operator="equal">
      <formula>0</formula>
    </cfRule>
    <cfRule type="cellIs" dxfId="404" priority="446" operator="lessThan">
      <formula>G38</formula>
    </cfRule>
  </conditionalFormatting>
  <conditionalFormatting sqref="AE11">
    <cfRule type="expression" dxfId="403" priority="386">
      <formula>AND(AE11&gt;0,AE11&lt;5)</formula>
    </cfRule>
    <cfRule type="cellIs" dxfId="402" priority="387" operator="greaterThan">
      <formula>AD11</formula>
    </cfRule>
  </conditionalFormatting>
  <conditionalFormatting sqref="AE13">
    <cfRule type="cellIs" dxfId="401" priority="392" operator="greaterThan">
      <formula>AD13</formula>
    </cfRule>
  </conditionalFormatting>
  <conditionalFormatting sqref="AE16">
    <cfRule type="expression" dxfId="400" priority="397">
      <formula>AND(AE16&gt;0,AE16&lt;100)</formula>
    </cfRule>
    <cfRule type="cellIs" dxfId="399" priority="398" operator="greaterThan">
      <formula>AD16</formula>
    </cfRule>
  </conditionalFormatting>
  <conditionalFormatting sqref="AE17">
    <cfRule type="expression" dxfId="398" priority="403">
      <formula>AND(AE17&gt;0,AE17&lt;250)</formula>
    </cfRule>
    <cfRule type="cellIs" dxfId="397" priority="404" operator="greaterThan">
      <formula>AD17</formula>
    </cfRule>
  </conditionalFormatting>
  <conditionalFormatting sqref="AE23">
    <cfRule type="cellIs" dxfId="396" priority="409" operator="greaterThan">
      <formula>AD23</formula>
    </cfRule>
  </conditionalFormatting>
  <conditionalFormatting sqref="AE24">
    <cfRule type="cellIs" dxfId="395" priority="414" operator="greaterThan">
      <formula>AD24</formula>
    </cfRule>
  </conditionalFormatting>
  <conditionalFormatting sqref="AE28">
    <cfRule type="expression" dxfId="394" priority="419">
      <formula>AND(AE28&gt;0,AE28&lt;20)</formula>
    </cfRule>
    <cfRule type="cellIs" dxfId="393" priority="420" operator="greaterThan">
      <formula>AD28</formula>
    </cfRule>
  </conditionalFormatting>
  <conditionalFormatting sqref="AE31">
    <cfRule type="cellIs" dxfId="392" priority="425" operator="greaterThan">
      <formula>AD31</formula>
    </cfRule>
  </conditionalFormatting>
  <conditionalFormatting sqref="AE32">
    <cfRule type="expression" dxfId="391" priority="430">
      <formula>AND(AE32&gt;0,AE32&lt;2)</formula>
    </cfRule>
    <cfRule type="cellIs" dxfId="390" priority="431" operator="greaterThan">
      <formula>AD32</formula>
    </cfRule>
  </conditionalFormatting>
  <conditionalFormatting sqref="AE33">
    <cfRule type="cellIs" dxfId="389" priority="436" operator="greaterThan">
      <formula>AD33</formula>
    </cfRule>
  </conditionalFormatting>
  <conditionalFormatting sqref="AE37">
    <cfRule type="expression" dxfId="388" priority="441">
      <formula>AND(AE37&gt;0,AE37&lt;5)</formula>
    </cfRule>
    <cfRule type="cellIs" dxfId="387" priority="442" operator="greaterThan">
      <formula>AD37</formula>
    </cfRule>
  </conditionalFormatting>
  <conditionalFormatting sqref="AE38">
    <cfRule type="expression" dxfId="386" priority="447">
      <formula>AND(AE38&gt;0,AE38&lt;10)</formula>
    </cfRule>
    <cfRule type="cellIs" dxfId="385" priority="448" operator="greaterThan">
      <formula>AD38</formula>
    </cfRule>
  </conditionalFormatting>
  <conditionalFormatting sqref="AF11">
    <cfRule type="cellIs" dxfId="384" priority="389" operator="lessThanOrEqual">
      <formula>H11</formula>
    </cfRule>
  </conditionalFormatting>
  <conditionalFormatting sqref="AF13">
    <cfRule type="cellIs" dxfId="383" priority="394" operator="lessThanOrEqual">
      <formula>H13</formula>
    </cfRule>
  </conditionalFormatting>
  <conditionalFormatting sqref="AF16">
    <cfRule type="cellIs" dxfId="382" priority="400" operator="lessThanOrEqual">
      <formula>H16</formula>
    </cfRule>
  </conditionalFormatting>
  <conditionalFormatting sqref="AF17">
    <cfRule type="cellIs" dxfId="381" priority="406" operator="lessThanOrEqual">
      <formula>H17</formula>
    </cfRule>
  </conditionalFormatting>
  <conditionalFormatting sqref="AF23">
    <cfRule type="cellIs" dxfId="380" priority="411" operator="lessThanOrEqual">
      <formula>H23</formula>
    </cfRule>
  </conditionalFormatting>
  <conditionalFormatting sqref="AF24">
    <cfRule type="cellIs" dxfId="379" priority="416" operator="lessThanOrEqual">
      <formula>H24</formula>
    </cfRule>
  </conditionalFormatting>
  <conditionalFormatting sqref="AF28">
    <cfRule type="cellIs" dxfId="378" priority="422" operator="lessThanOrEqual">
      <formula>H28</formula>
    </cfRule>
  </conditionalFormatting>
  <conditionalFormatting sqref="AF31">
    <cfRule type="cellIs" dxfId="377" priority="427" operator="lessThanOrEqual">
      <formula>H31</formula>
    </cfRule>
  </conditionalFormatting>
  <conditionalFormatting sqref="AF32">
    <cfRule type="cellIs" dxfId="376" priority="433" operator="lessThanOrEqual">
      <formula>H32</formula>
    </cfRule>
  </conditionalFormatting>
  <conditionalFormatting sqref="AF33">
    <cfRule type="cellIs" dxfId="375" priority="438" operator="lessThanOrEqual">
      <formula>H33</formula>
    </cfRule>
  </conditionalFormatting>
  <conditionalFormatting sqref="AF37">
    <cfRule type="cellIs" dxfId="374" priority="444" operator="lessThanOrEqual">
      <formula>H37</formula>
    </cfRule>
  </conditionalFormatting>
  <conditionalFormatting sqref="AF38">
    <cfRule type="cellIs" dxfId="373" priority="450" operator="lessThanOrEqual">
      <formula>H38</formula>
    </cfRule>
  </conditionalFormatting>
  <conditionalFormatting sqref="AG11">
    <cfRule type="cellIs" dxfId="372" priority="388" operator="lessThanOrEqual">
      <formula>I11</formula>
    </cfRule>
  </conditionalFormatting>
  <conditionalFormatting sqref="AG13">
    <cfRule type="cellIs" dxfId="371" priority="393" operator="lessThanOrEqual">
      <formula>I13</formula>
    </cfRule>
  </conditionalFormatting>
  <conditionalFormatting sqref="AG16">
    <cfRule type="cellIs" dxfId="370" priority="399" operator="lessThanOrEqual">
      <formula>I16</formula>
    </cfRule>
  </conditionalFormatting>
  <conditionalFormatting sqref="AG17">
    <cfRule type="cellIs" dxfId="369" priority="405" operator="lessThanOrEqual">
      <formula>I17</formula>
    </cfRule>
  </conditionalFormatting>
  <conditionalFormatting sqref="AG23">
    <cfRule type="cellIs" dxfId="368" priority="410" operator="lessThanOrEqual">
      <formula>I23</formula>
    </cfRule>
  </conditionalFormatting>
  <conditionalFormatting sqref="AG24">
    <cfRule type="cellIs" dxfId="367" priority="415" operator="lessThanOrEqual">
      <formula>I24</formula>
    </cfRule>
  </conditionalFormatting>
  <conditionalFormatting sqref="AG28">
    <cfRule type="cellIs" dxfId="366" priority="421" operator="lessThanOrEqual">
      <formula>I28</formula>
    </cfRule>
  </conditionalFormatting>
  <conditionalFormatting sqref="AG31">
    <cfRule type="cellIs" dxfId="365" priority="426" operator="lessThanOrEqual">
      <formula>I31</formula>
    </cfRule>
  </conditionalFormatting>
  <conditionalFormatting sqref="AG32">
    <cfRule type="cellIs" dxfId="364" priority="432" operator="lessThanOrEqual">
      <formula>I32</formula>
    </cfRule>
  </conditionalFormatting>
  <conditionalFormatting sqref="AG33">
    <cfRule type="cellIs" dxfId="363" priority="437" operator="lessThanOrEqual">
      <formula>I33</formula>
    </cfRule>
  </conditionalFormatting>
  <conditionalFormatting sqref="AG37">
    <cfRule type="cellIs" dxfId="362" priority="443" operator="lessThanOrEqual">
      <formula>I37</formula>
    </cfRule>
  </conditionalFormatting>
  <conditionalFormatting sqref="AG38">
    <cfRule type="cellIs" dxfId="361" priority="449" operator="lessThanOrEqual">
      <formula>I38</formula>
    </cfRule>
  </conditionalFormatting>
  <conditionalFormatting sqref="G10">
    <cfRule type="expression" dxfId="360" priority="13">
      <formula>AND(ISBLANK(F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59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58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57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1">
    <cfRule type="expression" dxfId="356" priority="17">
      <formula>AND(ISBLANK(F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55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54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5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2">
    <cfRule type="expression" dxfId="352" priority="21">
      <formula>AND(ISBLANK(F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5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50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49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3">
    <cfRule type="expression" dxfId="348" priority="25">
      <formula>AND(ISBLANK(F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47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46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45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4">
    <cfRule type="expression" dxfId="344" priority="29">
      <formula>AND(ISBLANK(F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43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4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41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5">
    <cfRule type="expression" dxfId="340" priority="33">
      <formula>AND(ISBLANK(F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39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38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37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6">
    <cfRule type="expression" dxfId="336" priority="37">
      <formula>AND(ISBLANK(F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35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34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3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7">
    <cfRule type="expression" dxfId="332" priority="41">
      <formula>AND(ISBLANK(F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3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30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29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8">
    <cfRule type="expression" dxfId="328" priority="45">
      <formula>AND(ISBLANK(F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27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26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25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19">
    <cfRule type="expression" dxfId="324" priority="49">
      <formula>AND(ISBLANK(F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23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2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21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0">
    <cfRule type="expression" dxfId="320" priority="53">
      <formula>AND(ISBLANK(F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19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18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17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1">
    <cfRule type="expression" dxfId="316" priority="57">
      <formula>AND(ISBLANK(F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15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14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1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2">
    <cfRule type="expression" dxfId="312" priority="61">
      <formula>AND(ISBLANK(F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1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10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09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3">
    <cfRule type="expression" dxfId="308" priority="65">
      <formula>AND(ISBLANK(F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07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06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05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4">
    <cfRule type="expression" dxfId="304" priority="69">
      <formula>AND(ISBLANK(F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303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30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301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5">
    <cfRule type="expression" dxfId="300" priority="73">
      <formula>AND(ISBLANK(F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99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98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97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6">
    <cfRule type="expression" dxfId="296" priority="77">
      <formula>AND(ISBLANK(F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95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94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9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7">
    <cfRule type="expression" dxfId="292" priority="81">
      <formula>AND(ISBLANK(F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9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90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89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8">
    <cfRule type="expression" dxfId="288" priority="85">
      <formula>AND(ISBLANK(F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87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86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85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29">
    <cfRule type="expression" dxfId="284" priority="89">
      <formula>AND(ISBLANK(F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83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8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81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0">
    <cfRule type="expression" dxfId="280" priority="93">
      <formula>AND(ISBLANK(F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79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78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77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1">
    <cfRule type="expression" dxfId="276" priority="97">
      <formula>AND(ISBLANK(F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75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74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7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2">
    <cfRule type="expression" dxfId="272" priority="101">
      <formula>AND(ISBLANK(F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7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70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69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3">
    <cfRule type="expression" dxfId="268" priority="105">
      <formula>AND(ISBLANK(F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67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66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65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4">
    <cfRule type="expression" dxfId="264" priority="109">
      <formula>AND(ISBLANK(F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63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6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61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5">
    <cfRule type="expression" dxfId="260" priority="113">
      <formula>AND(ISBLANK(F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59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58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57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6">
    <cfRule type="expression" dxfId="256" priority="117">
      <formula>AND(ISBLANK(F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55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54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5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7">
    <cfRule type="expression" dxfId="252" priority="121">
      <formula>AND(ISBLANK(F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5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50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49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38">
    <cfRule type="expression" dxfId="248" priority="125">
      <formula>AND(ISBLANK(F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47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46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45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7">
    <cfRule type="expression" dxfId="244" priority="1">
      <formula>AND(ISBLANK(F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43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4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41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8">
    <cfRule type="expression" dxfId="240" priority="5">
      <formula>AND(ISBLANK(F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39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38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37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G9">
    <cfRule type="expression" dxfId="236" priority="9">
      <formula>AND(ISBLANK(F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235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234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23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J11">
    <cfRule type="cellIs" dxfId="232" priority="129" operator="equal">
      <formula>0</formula>
    </cfRule>
    <cfRule type="cellIs" dxfId="231" priority="130" operator="lessThan">
      <formula>G11</formula>
    </cfRule>
  </conditionalFormatting>
  <conditionalFormatting sqref="J13">
    <cfRule type="cellIs" dxfId="230" priority="134" operator="equal">
      <formula>0</formula>
    </cfRule>
    <cfRule type="cellIs" dxfId="229" priority="135" operator="lessThan">
      <formula>G13</formula>
    </cfRule>
  </conditionalFormatting>
  <conditionalFormatting sqref="J16">
    <cfRule type="cellIs" dxfId="228" priority="139" operator="equal">
      <formula>0</formula>
    </cfRule>
    <cfRule type="cellIs" dxfId="227" priority="140" operator="lessThan">
      <formula>G16</formula>
    </cfRule>
  </conditionalFormatting>
  <conditionalFormatting sqref="J17">
    <cfRule type="cellIs" dxfId="226" priority="144" operator="equal">
      <formula>0</formula>
    </cfRule>
    <cfRule type="cellIs" dxfId="225" priority="145" operator="lessThan">
      <formula>G17</formula>
    </cfRule>
  </conditionalFormatting>
  <conditionalFormatting sqref="J21">
    <cfRule type="cellIs" dxfId="224" priority="149" operator="equal">
      <formula>0</formula>
    </cfRule>
    <cfRule type="cellIs" dxfId="223" priority="150" operator="lessThan">
      <formula>G21</formula>
    </cfRule>
  </conditionalFormatting>
  <conditionalFormatting sqref="J23">
    <cfRule type="cellIs" dxfId="222" priority="154" operator="equal">
      <formula>0</formula>
    </cfRule>
    <cfRule type="cellIs" dxfId="221" priority="155" operator="lessThan">
      <formula>G23</formula>
    </cfRule>
  </conditionalFormatting>
  <conditionalFormatting sqref="J24">
    <cfRule type="cellIs" dxfId="220" priority="159" operator="equal">
      <formula>0</formula>
    </cfRule>
    <cfRule type="cellIs" dxfId="219" priority="160" operator="lessThan">
      <formula>G24</formula>
    </cfRule>
  </conditionalFormatting>
  <conditionalFormatting sqref="J31">
    <cfRule type="cellIs" dxfId="218" priority="164" operator="equal">
      <formula>0</formula>
    </cfRule>
    <cfRule type="cellIs" dxfId="217" priority="165" operator="lessThan">
      <formula>G31</formula>
    </cfRule>
  </conditionalFormatting>
  <conditionalFormatting sqref="J32">
    <cfRule type="cellIs" dxfId="216" priority="169" operator="equal">
      <formula>0</formula>
    </cfRule>
    <cfRule type="cellIs" dxfId="215" priority="170" operator="lessThan">
      <formula>G32</formula>
    </cfRule>
  </conditionalFormatting>
  <conditionalFormatting sqref="J33">
    <cfRule type="cellIs" dxfId="214" priority="174" operator="equal">
      <formula>0</formula>
    </cfRule>
    <cfRule type="cellIs" dxfId="213" priority="175" operator="lessThan">
      <formula>G33</formula>
    </cfRule>
  </conditionalFormatting>
  <conditionalFormatting sqref="J38">
    <cfRule type="cellIs" dxfId="212" priority="179" operator="equal">
      <formula>0</formula>
    </cfRule>
    <cfRule type="cellIs" dxfId="211" priority="180" operator="lessThan">
      <formula>G38</formula>
    </cfRule>
  </conditionalFormatting>
  <conditionalFormatting sqref="K11">
    <cfRule type="cellIs" dxfId="210" priority="131" operator="greaterThan">
      <formula>J11</formula>
    </cfRule>
  </conditionalFormatting>
  <conditionalFormatting sqref="K13">
    <cfRule type="cellIs" dxfId="209" priority="136" operator="greaterThan">
      <formula>J13</formula>
    </cfRule>
  </conditionalFormatting>
  <conditionalFormatting sqref="K16">
    <cfRule type="cellIs" dxfId="208" priority="141" operator="greaterThan">
      <formula>J16</formula>
    </cfRule>
  </conditionalFormatting>
  <conditionalFormatting sqref="K17">
    <cfRule type="cellIs" dxfId="207" priority="146" operator="greaterThan">
      <formula>J17</formula>
    </cfRule>
  </conditionalFormatting>
  <conditionalFormatting sqref="K21">
    <cfRule type="cellIs" dxfId="206" priority="151" operator="greaterThan">
      <formula>J21</formula>
    </cfRule>
  </conditionalFormatting>
  <conditionalFormatting sqref="K23">
    <cfRule type="cellIs" dxfId="205" priority="156" operator="greaterThan">
      <formula>J23</formula>
    </cfRule>
  </conditionalFormatting>
  <conditionalFormatting sqref="K24">
    <cfRule type="cellIs" dxfId="204" priority="161" operator="greaterThan">
      <formula>J24</formula>
    </cfRule>
  </conditionalFormatting>
  <conditionalFormatting sqref="K31">
    <cfRule type="cellIs" dxfId="203" priority="166" operator="greaterThan">
      <formula>J31</formula>
    </cfRule>
  </conditionalFormatting>
  <conditionalFormatting sqref="K32">
    <cfRule type="cellIs" dxfId="202" priority="171" operator="greaterThan">
      <formula>J32</formula>
    </cfRule>
  </conditionalFormatting>
  <conditionalFormatting sqref="K33">
    <cfRule type="cellIs" dxfId="201" priority="176" operator="greaterThan">
      <formula>J33</formula>
    </cfRule>
  </conditionalFormatting>
  <conditionalFormatting sqref="K38">
    <cfRule type="cellIs" dxfId="200" priority="181" operator="greaterThan">
      <formula>J38</formula>
    </cfRule>
  </conditionalFormatting>
  <conditionalFormatting sqref="L11">
    <cfRule type="cellIs" dxfId="199" priority="133" operator="lessThanOrEqual">
      <formula>H11</formula>
    </cfRule>
  </conditionalFormatting>
  <conditionalFormatting sqref="L13">
    <cfRule type="cellIs" dxfId="198" priority="138" operator="lessThanOrEqual">
      <formula>H13</formula>
    </cfRule>
  </conditionalFormatting>
  <conditionalFormatting sqref="L16">
    <cfRule type="cellIs" dxfId="197" priority="143" operator="lessThanOrEqual">
      <formula>H16</formula>
    </cfRule>
  </conditionalFormatting>
  <conditionalFormatting sqref="L17">
    <cfRule type="cellIs" dxfId="196" priority="148" operator="lessThanOrEqual">
      <formula>H17</formula>
    </cfRule>
  </conditionalFormatting>
  <conditionalFormatting sqref="L21">
    <cfRule type="cellIs" dxfId="195" priority="153" operator="lessThanOrEqual">
      <formula>H21</formula>
    </cfRule>
  </conditionalFormatting>
  <conditionalFormatting sqref="L23">
    <cfRule type="cellIs" dxfId="194" priority="158" operator="lessThanOrEqual">
      <formula>H23</formula>
    </cfRule>
  </conditionalFormatting>
  <conditionalFormatting sqref="L24">
    <cfRule type="cellIs" dxfId="193" priority="163" operator="lessThanOrEqual">
      <formula>H24</formula>
    </cfRule>
  </conditionalFormatting>
  <conditionalFormatting sqref="L31">
    <cfRule type="cellIs" dxfId="192" priority="168" operator="lessThanOrEqual">
      <formula>H31</formula>
    </cfRule>
  </conditionalFormatting>
  <conditionalFormatting sqref="L32">
    <cfRule type="cellIs" dxfId="191" priority="173" operator="lessThanOrEqual">
      <formula>H32</formula>
    </cfRule>
  </conditionalFormatting>
  <conditionalFormatting sqref="L33">
    <cfRule type="cellIs" dxfId="190" priority="178" operator="lessThanOrEqual">
      <formula>H33</formula>
    </cfRule>
  </conditionalFormatting>
  <conditionalFormatting sqref="L38">
    <cfRule type="cellIs" dxfId="189" priority="183" operator="lessThanOrEqual">
      <formula>H38</formula>
    </cfRule>
  </conditionalFormatting>
  <conditionalFormatting sqref="M11">
    <cfRule type="cellIs" dxfId="188" priority="132" operator="lessThanOrEqual">
      <formula>I11</formula>
    </cfRule>
  </conditionalFormatting>
  <conditionalFormatting sqref="M13">
    <cfRule type="cellIs" dxfId="187" priority="137" operator="lessThanOrEqual">
      <formula>I13</formula>
    </cfRule>
  </conditionalFormatting>
  <conditionalFormatting sqref="M16">
    <cfRule type="cellIs" dxfId="186" priority="142" operator="lessThanOrEqual">
      <formula>I16</formula>
    </cfRule>
  </conditionalFormatting>
  <conditionalFormatting sqref="M17">
    <cfRule type="cellIs" dxfId="185" priority="147" operator="lessThanOrEqual">
      <formula>I17</formula>
    </cfRule>
  </conditionalFormatting>
  <conditionalFormatting sqref="M21">
    <cfRule type="cellIs" dxfId="184" priority="152" operator="lessThanOrEqual">
      <formula>I21</formula>
    </cfRule>
  </conditionalFormatting>
  <conditionalFormatting sqref="M23">
    <cfRule type="cellIs" dxfId="183" priority="157" operator="lessThanOrEqual">
      <formula>I23</formula>
    </cfRule>
  </conditionalFormatting>
  <conditionalFormatting sqref="M24">
    <cfRule type="cellIs" dxfId="182" priority="162" operator="lessThanOrEqual">
      <formula>I24</formula>
    </cfRule>
  </conditionalFormatting>
  <conditionalFormatting sqref="M31">
    <cfRule type="cellIs" dxfId="181" priority="167" operator="lessThanOrEqual">
      <formula>I31</formula>
    </cfRule>
  </conditionalFormatting>
  <conditionalFormatting sqref="M32">
    <cfRule type="cellIs" dxfId="180" priority="172" operator="lessThanOrEqual">
      <formula>I32</formula>
    </cfRule>
  </conditionalFormatting>
  <conditionalFormatting sqref="M33">
    <cfRule type="cellIs" dxfId="179" priority="177" operator="lessThanOrEqual">
      <formula>I33</formula>
    </cfRule>
  </conditionalFormatting>
  <conditionalFormatting sqref="M38">
    <cfRule type="cellIs" dxfId="178" priority="182" operator="lessThanOrEqual">
      <formula>I38</formula>
    </cfRule>
  </conditionalFormatting>
  <conditionalFormatting sqref="O11">
    <cfRule type="cellIs" dxfId="177" priority="184" operator="equal">
      <formula>0</formula>
    </cfRule>
    <cfRule type="cellIs" dxfId="176" priority="185" operator="lessThan">
      <formula>G11</formula>
    </cfRule>
  </conditionalFormatting>
  <conditionalFormatting sqref="O13">
    <cfRule type="cellIs" dxfId="175" priority="189" operator="equal">
      <formula>0</formula>
    </cfRule>
    <cfRule type="cellIs" dxfId="174" priority="190" operator="lessThan">
      <formula>G13</formula>
    </cfRule>
  </conditionalFormatting>
  <conditionalFormatting sqref="O16">
    <cfRule type="cellIs" dxfId="173" priority="195" operator="equal">
      <formula>0</formula>
    </cfRule>
    <cfRule type="cellIs" dxfId="172" priority="196" operator="lessThan">
      <formula>G16</formula>
    </cfRule>
  </conditionalFormatting>
  <conditionalFormatting sqref="O17">
    <cfRule type="cellIs" dxfId="171" priority="201" operator="equal">
      <formula>0</formula>
    </cfRule>
    <cfRule type="cellIs" dxfId="170" priority="202" operator="lessThan">
      <formula>G17</formula>
    </cfRule>
  </conditionalFormatting>
  <conditionalFormatting sqref="O18">
    <cfRule type="cellIs" dxfId="169" priority="207" operator="equal">
      <formula>0</formula>
    </cfRule>
    <cfRule type="cellIs" dxfId="168" priority="208" operator="lessThan">
      <formula>G18</formula>
    </cfRule>
  </conditionalFormatting>
  <conditionalFormatting sqref="O20">
    <cfRule type="cellIs" dxfId="167" priority="213" operator="equal">
      <formula>0</formula>
    </cfRule>
    <cfRule type="cellIs" dxfId="166" priority="214" operator="lessThan">
      <formula>G20</formula>
    </cfRule>
  </conditionalFormatting>
  <conditionalFormatting sqref="O23">
    <cfRule type="cellIs" dxfId="165" priority="219" operator="equal">
      <formula>0</formula>
    </cfRule>
    <cfRule type="cellIs" dxfId="164" priority="220" operator="lessThan">
      <formula>G23</formula>
    </cfRule>
  </conditionalFormatting>
  <conditionalFormatting sqref="O24">
    <cfRule type="cellIs" dxfId="163" priority="225" operator="equal">
      <formula>0</formula>
    </cfRule>
    <cfRule type="cellIs" dxfId="162" priority="226" operator="lessThan">
      <formula>G24</formula>
    </cfRule>
  </conditionalFormatting>
  <conditionalFormatting sqref="O31">
    <cfRule type="cellIs" dxfId="161" priority="231" operator="equal">
      <formula>0</formula>
    </cfRule>
    <cfRule type="cellIs" dxfId="160" priority="232" operator="lessThan">
      <formula>G31</formula>
    </cfRule>
  </conditionalFormatting>
  <conditionalFormatting sqref="O32">
    <cfRule type="cellIs" dxfId="159" priority="236" operator="equal">
      <formula>0</formula>
    </cfRule>
    <cfRule type="cellIs" dxfId="158" priority="237" operator="lessThan">
      <formula>G32</formula>
    </cfRule>
  </conditionalFormatting>
  <conditionalFormatting sqref="O33">
    <cfRule type="cellIs" dxfId="157" priority="241" operator="equal">
      <formula>0</formula>
    </cfRule>
    <cfRule type="cellIs" dxfId="156" priority="242" operator="lessThan">
      <formula>G33</formula>
    </cfRule>
  </conditionalFormatting>
  <conditionalFormatting sqref="O37">
    <cfRule type="cellIs" dxfId="155" priority="246" operator="equal">
      <formula>0</formula>
    </cfRule>
    <cfRule type="cellIs" dxfId="154" priority="247" operator="lessThan">
      <formula>G37</formula>
    </cfRule>
  </conditionalFormatting>
  <conditionalFormatting sqref="O38">
    <cfRule type="cellIs" dxfId="153" priority="251" operator="equal">
      <formula>0</formula>
    </cfRule>
    <cfRule type="cellIs" dxfId="152" priority="252" operator="lessThan">
      <formula>G38</formula>
    </cfRule>
  </conditionalFormatting>
  <conditionalFormatting sqref="P11">
    <cfRule type="cellIs" dxfId="151" priority="186" operator="greaterThan">
      <formula>O11</formula>
    </cfRule>
  </conditionalFormatting>
  <conditionalFormatting sqref="P13">
    <cfRule type="expression" dxfId="150" priority="191">
      <formula>AND(P13&gt;0,P13&lt;5)</formula>
    </cfRule>
    <cfRule type="cellIs" dxfId="149" priority="192" operator="greaterThan">
      <formula>O13</formula>
    </cfRule>
  </conditionalFormatting>
  <conditionalFormatting sqref="P16">
    <cfRule type="expression" dxfId="148" priority="197">
      <formula>AND(P16&gt;0,P16&lt;5)</formula>
    </cfRule>
    <cfRule type="cellIs" dxfId="147" priority="198" operator="greaterThan">
      <formula>O16</formula>
    </cfRule>
  </conditionalFormatting>
  <conditionalFormatting sqref="P17">
    <cfRule type="expression" dxfId="146" priority="203">
      <formula>AND(P17&gt;0,P17&lt;5)</formula>
    </cfRule>
    <cfRule type="cellIs" dxfId="145" priority="204" operator="greaterThan">
      <formula>O17</formula>
    </cfRule>
  </conditionalFormatting>
  <conditionalFormatting sqref="P18">
    <cfRule type="expression" dxfId="144" priority="209">
      <formula>AND(P18&gt;0,P18&lt;5)</formula>
    </cfRule>
    <cfRule type="cellIs" dxfId="143" priority="210" operator="greaterThan">
      <formula>O18</formula>
    </cfRule>
  </conditionalFormatting>
  <conditionalFormatting sqref="P20">
    <cfRule type="expression" dxfId="142" priority="215">
      <formula>AND(P20&gt;0,P20&lt;10)</formula>
    </cfRule>
    <cfRule type="cellIs" dxfId="141" priority="216" operator="greaterThan">
      <formula>O20</formula>
    </cfRule>
  </conditionalFormatting>
  <conditionalFormatting sqref="P23">
    <cfRule type="expression" dxfId="140" priority="221">
      <formula>AND(P23&gt;0,P23&lt;5)</formula>
    </cfRule>
    <cfRule type="cellIs" dxfId="139" priority="222" operator="greaterThan">
      <formula>O23</formula>
    </cfRule>
  </conditionalFormatting>
  <conditionalFormatting sqref="P24">
    <cfRule type="expression" dxfId="138" priority="227">
      <formula>AND(P24&gt;0,P24&lt;5)</formula>
    </cfRule>
    <cfRule type="cellIs" dxfId="137" priority="228" operator="greaterThan">
      <formula>O24</formula>
    </cfRule>
  </conditionalFormatting>
  <conditionalFormatting sqref="P31">
    <cfRule type="cellIs" dxfId="136" priority="233" operator="greaterThan">
      <formula>O31</formula>
    </cfRule>
  </conditionalFormatting>
  <conditionalFormatting sqref="P32">
    <cfRule type="cellIs" dxfId="135" priority="238" operator="greaterThan">
      <formula>O32</formula>
    </cfRule>
  </conditionalFormatting>
  <conditionalFormatting sqref="P33">
    <cfRule type="cellIs" dxfId="134" priority="243" operator="greaterThan">
      <formula>O33</formula>
    </cfRule>
  </conditionalFormatting>
  <conditionalFormatting sqref="P37">
    <cfRule type="cellIs" dxfId="133" priority="248" operator="greaterThan">
      <formula>O37</formula>
    </cfRule>
  </conditionalFormatting>
  <conditionalFormatting sqref="P38">
    <cfRule type="cellIs" dxfId="132" priority="253" operator="greaterThan">
      <formula>O38</formula>
    </cfRule>
  </conditionalFormatting>
  <conditionalFormatting sqref="Q11">
    <cfRule type="cellIs" dxfId="131" priority="188" operator="lessThanOrEqual">
      <formula>H11</formula>
    </cfRule>
  </conditionalFormatting>
  <conditionalFormatting sqref="Q13">
    <cfRule type="cellIs" dxfId="130" priority="194" operator="lessThanOrEqual">
      <formula>H13</formula>
    </cfRule>
  </conditionalFormatting>
  <conditionalFormatting sqref="Q16">
    <cfRule type="cellIs" dxfId="129" priority="200" operator="lessThanOrEqual">
      <formula>H16</formula>
    </cfRule>
  </conditionalFormatting>
  <conditionalFormatting sqref="Q17">
    <cfRule type="cellIs" dxfId="128" priority="206" operator="lessThanOrEqual">
      <formula>H17</formula>
    </cfRule>
  </conditionalFormatting>
  <conditionalFormatting sqref="Q18">
    <cfRule type="cellIs" dxfId="127" priority="212" operator="lessThanOrEqual">
      <formula>H18</formula>
    </cfRule>
  </conditionalFormatting>
  <conditionalFormatting sqref="Q20">
    <cfRule type="cellIs" dxfId="126" priority="218" operator="lessThanOrEqual">
      <formula>H20</formula>
    </cfRule>
  </conditionalFormatting>
  <conditionalFormatting sqref="Q23">
    <cfRule type="cellIs" dxfId="125" priority="224" operator="lessThanOrEqual">
      <formula>H23</formula>
    </cfRule>
  </conditionalFormatting>
  <conditionalFormatting sqref="Q24">
    <cfRule type="cellIs" dxfId="124" priority="230" operator="lessThanOrEqual">
      <formula>H24</formula>
    </cfRule>
  </conditionalFormatting>
  <conditionalFormatting sqref="Q31">
    <cfRule type="cellIs" dxfId="123" priority="235" operator="lessThanOrEqual">
      <formula>H31</formula>
    </cfRule>
  </conditionalFormatting>
  <conditionalFormatting sqref="Q32">
    <cfRule type="cellIs" dxfId="122" priority="240" operator="lessThanOrEqual">
      <formula>H32</formula>
    </cfRule>
  </conditionalFormatting>
  <conditionalFormatting sqref="Q33">
    <cfRule type="cellIs" dxfId="121" priority="245" operator="lessThanOrEqual">
      <formula>H33</formula>
    </cfRule>
  </conditionalFormatting>
  <conditionalFormatting sqref="Q37">
    <cfRule type="cellIs" dxfId="120" priority="250" operator="lessThanOrEqual">
      <formula>H37</formula>
    </cfRule>
  </conditionalFormatting>
  <conditionalFormatting sqref="Q38">
    <cfRule type="cellIs" dxfId="119" priority="255" operator="lessThanOrEqual">
      <formula>H38</formula>
    </cfRule>
  </conditionalFormatting>
  <conditionalFormatting sqref="R11">
    <cfRule type="cellIs" dxfId="118" priority="187" operator="lessThanOrEqual">
      <formula>I11</formula>
    </cfRule>
  </conditionalFormatting>
  <conditionalFormatting sqref="R13">
    <cfRule type="cellIs" dxfId="117" priority="193" operator="lessThanOrEqual">
      <formula>I13</formula>
    </cfRule>
  </conditionalFormatting>
  <conditionalFormatting sqref="R16">
    <cfRule type="cellIs" dxfId="116" priority="199" operator="lessThanOrEqual">
      <formula>I16</formula>
    </cfRule>
  </conditionalFormatting>
  <conditionalFormatting sqref="R17">
    <cfRule type="cellIs" dxfId="115" priority="205" operator="lessThanOrEqual">
      <formula>I17</formula>
    </cfRule>
  </conditionalFormatting>
  <conditionalFormatting sqref="R18">
    <cfRule type="cellIs" dxfId="114" priority="211" operator="lessThanOrEqual">
      <formula>I18</formula>
    </cfRule>
  </conditionalFormatting>
  <conditionalFormatting sqref="R20">
    <cfRule type="cellIs" dxfId="113" priority="217" operator="lessThanOrEqual">
      <formula>I20</formula>
    </cfRule>
  </conditionalFormatting>
  <conditionalFormatting sqref="R23">
    <cfRule type="cellIs" dxfId="112" priority="223" operator="lessThanOrEqual">
      <formula>I23</formula>
    </cfRule>
  </conditionalFormatting>
  <conditionalFormatting sqref="R24">
    <cfRule type="cellIs" dxfId="111" priority="229" operator="lessThanOrEqual">
      <formula>I24</formula>
    </cfRule>
  </conditionalFormatting>
  <conditionalFormatting sqref="R31">
    <cfRule type="cellIs" dxfId="110" priority="234" operator="lessThanOrEqual">
      <formula>I31</formula>
    </cfRule>
  </conditionalFormatting>
  <conditionalFormatting sqref="R32">
    <cfRule type="cellIs" dxfId="109" priority="239" operator="lessThanOrEqual">
      <formula>I32</formula>
    </cfRule>
  </conditionalFormatting>
  <conditionalFormatting sqref="R33">
    <cfRule type="cellIs" dxfId="108" priority="244" operator="lessThanOrEqual">
      <formula>I33</formula>
    </cfRule>
  </conditionalFormatting>
  <conditionalFormatting sqref="R37">
    <cfRule type="cellIs" dxfId="107" priority="249" operator="lessThanOrEqual">
      <formula>I37</formula>
    </cfRule>
  </conditionalFormatting>
  <conditionalFormatting sqref="R38">
    <cfRule type="cellIs" dxfId="106" priority="254" operator="lessThanOrEqual">
      <formula>I38</formula>
    </cfRule>
  </conditionalFormatting>
  <conditionalFormatting sqref="T11">
    <cfRule type="cellIs" dxfId="105" priority="256" operator="equal">
      <formula>0</formula>
    </cfRule>
    <cfRule type="cellIs" dxfId="104" priority="257" operator="lessThan">
      <formula>G11</formula>
    </cfRule>
  </conditionalFormatting>
  <conditionalFormatting sqref="T13">
    <cfRule type="cellIs" dxfId="103" priority="261" operator="equal">
      <formula>0</formula>
    </cfRule>
    <cfRule type="cellIs" dxfId="102" priority="262" operator="lessThan">
      <formula>G13</formula>
    </cfRule>
  </conditionalFormatting>
  <conditionalFormatting sqref="T16">
    <cfRule type="cellIs" dxfId="101" priority="266" operator="equal">
      <formula>0</formula>
    </cfRule>
    <cfRule type="cellIs" dxfId="100" priority="267" operator="lessThan">
      <formula>G16</formula>
    </cfRule>
  </conditionalFormatting>
  <conditionalFormatting sqref="T17">
    <cfRule type="cellIs" dxfId="99" priority="271" operator="equal">
      <formula>0</formula>
    </cfRule>
    <cfRule type="cellIs" dxfId="98" priority="272" operator="lessThan">
      <formula>G17</formula>
    </cfRule>
  </conditionalFormatting>
  <conditionalFormatting sqref="T20">
    <cfRule type="cellIs" dxfId="97" priority="276" operator="equal">
      <formula>0</formula>
    </cfRule>
    <cfRule type="cellIs" dxfId="96" priority="277" operator="lessThan">
      <formula>G20</formula>
    </cfRule>
  </conditionalFormatting>
  <conditionalFormatting sqref="T21">
    <cfRule type="cellIs" dxfId="95" priority="281" operator="equal">
      <formula>0</formula>
    </cfRule>
    <cfRule type="cellIs" dxfId="94" priority="282" operator="lessThan">
      <formula>G21</formula>
    </cfRule>
  </conditionalFormatting>
  <conditionalFormatting sqref="T23">
    <cfRule type="cellIs" dxfId="93" priority="286" operator="equal">
      <formula>0</formula>
    </cfRule>
    <cfRule type="cellIs" dxfId="92" priority="287" operator="lessThan">
      <formula>G23</formula>
    </cfRule>
  </conditionalFormatting>
  <conditionalFormatting sqref="T24">
    <cfRule type="cellIs" dxfId="91" priority="291" operator="equal">
      <formula>0</formula>
    </cfRule>
    <cfRule type="cellIs" dxfId="90" priority="292" operator="lessThan">
      <formula>G24</formula>
    </cfRule>
  </conditionalFormatting>
  <conditionalFormatting sqref="T28">
    <cfRule type="cellIs" dxfId="89" priority="296" operator="equal">
      <formula>0</formula>
    </cfRule>
    <cfRule type="cellIs" dxfId="88" priority="297" operator="lessThan">
      <formula>G28</formula>
    </cfRule>
  </conditionalFormatting>
  <conditionalFormatting sqref="T31">
    <cfRule type="cellIs" dxfId="87" priority="301" operator="equal">
      <formula>0</formula>
    </cfRule>
    <cfRule type="cellIs" dxfId="86" priority="302" operator="lessThan">
      <formula>G31</formula>
    </cfRule>
  </conditionalFormatting>
  <conditionalFormatting sqref="T32">
    <cfRule type="cellIs" dxfId="85" priority="306" operator="equal">
      <formula>0</formula>
    </cfRule>
    <cfRule type="cellIs" dxfId="84" priority="307" operator="lessThan">
      <formula>G32</formula>
    </cfRule>
  </conditionalFormatting>
  <conditionalFormatting sqref="T33">
    <cfRule type="cellIs" dxfId="83" priority="311" operator="equal">
      <formula>0</formula>
    </cfRule>
    <cfRule type="cellIs" dxfId="82" priority="312" operator="lessThan">
      <formula>G33</formula>
    </cfRule>
  </conditionalFormatting>
  <conditionalFormatting sqref="T37">
    <cfRule type="cellIs" dxfId="81" priority="316" operator="equal">
      <formula>0</formula>
    </cfRule>
    <cfRule type="cellIs" dxfId="80" priority="317" operator="lessThan">
      <formula>G37</formula>
    </cfRule>
  </conditionalFormatting>
  <conditionalFormatting sqref="T38">
    <cfRule type="cellIs" dxfId="79" priority="321" operator="equal">
      <formula>0</formula>
    </cfRule>
    <cfRule type="cellIs" dxfId="78" priority="322" operator="lessThan">
      <formula>G38</formula>
    </cfRule>
  </conditionalFormatting>
  <conditionalFormatting sqref="U11">
    <cfRule type="cellIs" dxfId="77" priority="258" operator="greaterThan">
      <formula>T11</formula>
    </cfRule>
  </conditionalFormatting>
  <conditionalFormatting sqref="U13">
    <cfRule type="cellIs" dxfId="76" priority="263" operator="greaterThan">
      <formula>T13</formula>
    </cfRule>
  </conditionalFormatting>
  <conditionalFormatting sqref="U16">
    <cfRule type="cellIs" dxfId="75" priority="268" operator="greaterThan">
      <formula>T16</formula>
    </cfRule>
  </conditionalFormatting>
  <conditionalFormatting sqref="U17">
    <cfRule type="cellIs" dxfId="74" priority="273" operator="greaterThan">
      <formula>T17</formula>
    </cfRule>
  </conditionalFormatting>
  <conditionalFormatting sqref="U20">
    <cfRule type="cellIs" dxfId="73" priority="278" operator="greaterThan">
      <formula>T20</formula>
    </cfRule>
  </conditionalFormatting>
  <conditionalFormatting sqref="U21">
    <cfRule type="cellIs" dxfId="72" priority="283" operator="greaterThan">
      <formula>T21</formula>
    </cfRule>
  </conditionalFormatting>
  <conditionalFormatting sqref="U23">
    <cfRule type="cellIs" dxfId="71" priority="288" operator="greaterThan">
      <formula>T23</formula>
    </cfRule>
  </conditionalFormatting>
  <conditionalFormatting sqref="U24">
    <cfRule type="cellIs" dxfId="70" priority="293" operator="greaterThan">
      <formula>T24</formula>
    </cfRule>
  </conditionalFormatting>
  <conditionalFormatting sqref="U28">
    <cfRule type="cellIs" dxfId="69" priority="298" operator="greaterThan">
      <formula>T28</formula>
    </cfRule>
  </conditionalFormatting>
  <conditionalFormatting sqref="U31">
    <cfRule type="cellIs" dxfId="68" priority="303" operator="greaterThan">
      <formula>T31</formula>
    </cfRule>
  </conditionalFormatting>
  <conditionalFormatting sqref="U32">
    <cfRule type="cellIs" dxfId="67" priority="308" operator="greaterThan">
      <formula>T32</formula>
    </cfRule>
  </conditionalFormatting>
  <conditionalFormatting sqref="U33">
    <cfRule type="cellIs" dxfId="66" priority="313" operator="greaterThan">
      <formula>T33</formula>
    </cfRule>
  </conditionalFormatting>
  <conditionalFormatting sqref="U37">
    <cfRule type="cellIs" dxfId="65" priority="318" operator="greaterThan">
      <formula>T37</formula>
    </cfRule>
  </conditionalFormatting>
  <conditionalFormatting sqref="U38">
    <cfRule type="cellIs" dxfId="64" priority="323" operator="greaterThan">
      <formula>T38</formula>
    </cfRule>
  </conditionalFormatting>
  <conditionalFormatting sqref="V11">
    <cfRule type="cellIs" dxfId="63" priority="260" operator="lessThanOrEqual">
      <formula>H11</formula>
    </cfRule>
  </conditionalFormatting>
  <conditionalFormatting sqref="V13">
    <cfRule type="cellIs" dxfId="62" priority="265" operator="lessThanOrEqual">
      <formula>H13</formula>
    </cfRule>
  </conditionalFormatting>
  <conditionalFormatting sqref="V16">
    <cfRule type="cellIs" dxfId="61" priority="270" operator="lessThanOrEqual">
      <formula>H16</formula>
    </cfRule>
  </conditionalFormatting>
  <conditionalFormatting sqref="V17">
    <cfRule type="cellIs" dxfId="60" priority="275" operator="lessThanOrEqual">
      <formula>H17</formula>
    </cfRule>
  </conditionalFormatting>
  <conditionalFormatting sqref="V20">
    <cfRule type="cellIs" dxfId="59" priority="280" operator="lessThanOrEqual">
      <formula>H20</formula>
    </cfRule>
  </conditionalFormatting>
  <conditionalFormatting sqref="V21">
    <cfRule type="cellIs" dxfId="58" priority="285" operator="lessThanOrEqual">
      <formula>H21</formula>
    </cfRule>
  </conditionalFormatting>
  <conditionalFormatting sqref="V23">
    <cfRule type="cellIs" dxfId="57" priority="290" operator="lessThanOrEqual">
      <formula>H23</formula>
    </cfRule>
  </conditionalFormatting>
  <conditionalFormatting sqref="V24">
    <cfRule type="cellIs" dxfId="56" priority="295" operator="lessThanOrEqual">
      <formula>H24</formula>
    </cfRule>
  </conditionalFormatting>
  <conditionalFormatting sqref="V28">
    <cfRule type="cellIs" dxfId="55" priority="300" operator="lessThanOrEqual">
      <formula>H28</formula>
    </cfRule>
  </conditionalFormatting>
  <conditionalFormatting sqref="V31">
    <cfRule type="cellIs" dxfId="54" priority="305" operator="lessThanOrEqual">
      <formula>H31</formula>
    </cfRule>
  </conditionalFormatting>
  <conditionalFormatting sqref="V32">
    <cfRule type="cellIs" dxfId="53" priority="310" operator="lessThanOrEqual">
      <formula>H32</formula>
    </cfRule>
  </conditionalFormatting>
  <conditionalFormatting sqref="V33">
    <cfRule type="cellIs" dxfId="52" priority="315" operator="lessThanOrEqual">
      <formula>H33</formula>
    </cfRule>
  </conditionalFormatting>
  <conditionalFormatting sqref="V37">
    <cfRule type="cellIs" dxfId="51" priority="320" operator="lessThanOrEqual">
      <formula>H37</formula>
    </cfRule>
  </conditionalFormatting>
  <conditionalFormatting sqref="V38">
    <cfRule type="cellIs" dxfId="50" priority="325" operator="lessThanOrEqual">
      <formula>H38</formula>
    </cfRule>
  </conditionalFormatting>
  <conditionalFormatting sqref="W11">
    <cfRule type="cellIs" dxfId="49" priority="259" operator="lessThanOrEqual">
      <formula>I11</formula>
    </cfRule>
  </conditionalFormatting>
  <conditionalFormatting sqref="W13">
    <cfRule type="cellIs" dxfId="48" priority="264" operator="lessThanOrEqual">
      <formula>I13</formula>
    </cfRule>
  </conditionalFormatting>
  <conditionalFormatting sqref="W16">
    <cfRule type="cellIs" dxfId="47" priority="269" operator="lessThanOrEqual">
      <formula>I16</formula>
    </cfRule>
  </conditionalFormatting>
  <conditionalFormatting sqref="W17">
    <cfRule type="cellIs" dxfId="46" priority="274" operator="lessThanOrEqual">
      <formula>I17</formula>
    </cfRule>
  </conditionalFormatting>
  <conditionalFormatting sqref="W20">
    <cfRule type="cellIs" dxfId="45" priority="279" operator="lessThanOrEqual">
      <formula>I20</formula>
    </cfRule>
  </conditionalFormatting>
  <conditionalFormatting sqref="W21">
    <cfRule type="cellIs" dxfId="44" priority="284" operator="lessThanOrEqual">
      <formula>I21</formula>
    </cfRule>
  </conditionalFormatting>
  <conditionalFormatting sqref="W23">
    <cfRule type="cellIs" dxfId="43" priority="289" operator="lessThanOrEqual">
      <formula>I23</formula>
    </cfRule>
  </conditionalFormatting>
  <conditionalFormatting sqref="W24">
    <cfRule type="cellIs" dxfId="42" priority="294" operator="lessThanOrEqual">
      <formula>I24</formula>
    </cfRule>
  </conditionalFormatting>
  <conditionalFormatting sqref="W28">
    <cfRule type="cellIs" dxfId="41" priority="299" operator="lessThanOrEqual">
      <formula>I28</formula>
    </cfRule>
  </conditionalFormatting>
  <conditionalFormatting sqref="W31">
    <cfRule type="cellIs" dxfId="40" priority="304" operator="lessThanOrEqual">
      <formula>I31</formula>
    </cfRule>
  </conditionalFormatting>
  <conditionalFormatting sqref="W32">
    <cfRule type="cellIs" dxfId="39" priority="309" operator="lessThanOrEqual">
      <formula>I32</formula>
    </cfRule>
  </conditionalFormatting>
  <conditionalFormatting sqref="W33">
    <cfRule type="cellIs" dxfId="38" priority="314" operator="lessThanOrEqual">
      <formula>I33</formula>
    </cfRule>
  </conditionalFormatting>
  <conditionalFormatting sqref="W37">
    <cfRule type="cellIs" dxfId="37" priority="319" operator="lessThanOrEqual">
      <formula>I37</formula>
    </cfRule>
  </conditionalFormatting>
  <conditionalFormatting sqref="W38">
    <cfRule type="cellIs" dxfId="36" priority="324" operator="lessThanOrEqual">
      <formula>I38</formula>
    </cfRule>
  </conditionalFormatting>
  <conditionalFormatting sqref="Y11">
    <cfRule type="cellIs" dxfId="35" priority="326" operator="equal">
      <formula>0</formula>
    </cfRule>
    <cfRule type="cellIs" dxfId="34" priority="327" operator="lessThan">
      <formula>G11</formula>
    </cfRule>
  </conditionalFormatting>
  <conditionalFormatting sqref="Y13">
    <cfRule type="cellIs" dxfId="33" priority="331" operator="equal">
      <formula>0</formula>
    </cfRule>
    <cfRule type="cellIs" dxfId="32" priority="332" operator="lessThan">
      <formula>G13</formula>
    </cfRule>
  </conditionalFormatting>
  <conditionalFormatting sqref="Y16">
    <cfRule type="cellIs" dxfId="31" priority="337" operator="equal">
      <formula>0</formula>
    </cfRule>
    <cfRule type="cellIs" dxfId="30" priority="338" operator="lessThan">
      <formula>G16</formula>
    </cfRule>
  </conditionalFormatting>
  <conditionalFormatting sqref="Y17">
    <cfRule type="cellIs" dxfId="29" priority="342" operator="equal">
      <formula>0</formula>
    </cfRule>
    <cfRule type="cellIs" dxfId="28" priority="343" operator="lessThan">
      <formula>G17</formula>
    </cfRule>
  </conditionalFormatting>
  <conditionalFormatting sqref="Y18">
    <cfRule type="cellIs" dxfId="27" priority="348" operator="equal">
      <formula>0</formula>
    </cfRule>
    <cfRule type="cellIs" dxfId="26" priority="349" operator="lessThan">
      <formula>G18</formula>
    </cfRule>
  </conditionalFormatting>
  <conditionalFormatting sqref="Y23">
    <cfRule type="cellIs" dxfId="25" priority="353" operator="equal">
      <formula>0</formula>
    </cfRule>
    <cfRule type="cellIs" dxfId="24" priority="354" operator="lessThan">
      <formula>G23</formula>
    </cfRule>
  </conditionalFormatting>
  <conditionalFormatting sqref="Y24">
    <cfRule type="cellIs" dxfId="23" priority="358" operator="equal">
      <formula>0</formula>
    </cfRule>
    <cfRule type="cellIs" dxfId="22" priority="359" operator="lessThan">
      <formula>G24</formula>
    </cfRule>
  </conditionalFormatting>
  <conditionalFormatting sqref="Y31">
    <cfRule type="cellIs" dxfId="21" priority="364" operator="equal">
      <formula>0</formula>
    </cfRule>
    <cfRule type="cellIs" dxfId="20" priority="365" operator="lessThan">
      <formula>G31</formula>
    </cfRule>
  </conditionalFormatting>
  <conditionalFormatting sqref="Y32">
    <cfRule type="cellIs" dxfId="19" priority="369" operator="equal">
      <formula>0</formula>
    </cfRule>
    <cfRule type="cellIs" dxfId="18" priority="370" operator="lessThan">
      <formula>G32</formula>
    </cfRule>
  </conditionalFormatting>
  <conditionalFormatting sqref="Y33">
    <cfRule type="cellIs" dxfId="17" priority="374" operator="equal">
      <formula>0</formula>
    </cfRule>
    <cfRule type="cellIs" dxfId="16" priority="375" operator="lessThan">
      <formula>G33</formula>
    </cfRule>
  </conditionalFormatting>
  <conditionalFormatting sqref="Y38">
    <cfRule type="cellIs" dxfId="15" priority="379" operator="equal">
      <formula>0</formula>
    </cfRule>
    <cfRule type="cellIs" dxfId="14" priority="380" operator="lessThan">
      <formula>G38</formula>
    </cfRule>
  </conditionalFormatting>
  <conditionalFormatting sqref="Z11">
    <cfRule type="cellIs" dxfId="13" priority="328" operator="greaterThan">
      <formula>Y11</formula>
    </cfRule>
  </conditionalFormatting>
  <conditionalFormatting sqref="Z13">
    <cfRule type="expression" dxfId="12" priority="333">
      <formula>AND(Z13&gt;0,Z13&lt;5)</formula>
    </cfRule>
    <cfRule type="cellIs" dxfId="11" priority="334" operator="greaterThan">
      <formula>Y13</formula>
    </cfRule>
  </conditionalFormatting>
  <conditionalFormatting sqref="Z16">
    <cfRule type="cellIs" dxfId="10" priority="339" operator="greaterThan">
      <formula>Y16</formula>
    </cfRule>
  </conditionalFormatting>
  <conditionalFormatting sqref="Z17">
    <cfRule type="expression" dxfId="9" priority="344">
      <formula>AND(Z17&gt;0,Z17&lt;5)</formula>
    </cfRule>
    <cfRule type="cellIs" dxfId="8" priority="345" operator="greaterThan">
      <formula>Y17</formula>
    </cfRule>
  </conditionalFormatting>
  <conditionalFormatting sqref="Z18">
    <cfRule type="cellIs" dxfId="7" priority="350" operator="greaterThan">
      <formula>Y18</formula>
    </cfRule>
  </conditionalFormatting>
  <conditionalFormatting sqref="Z23">
    <cfRule type="cellIs" dxfId="6" priority="355" operator="greaterThan">
      <formula>Y23</formula>
    </cfRule>
  </conditionalFormatting>
  <conditionalFormatting sqref="Z24">
    <cfRule type="expression" dxfId="5" priority="360">
      <formula>AND(Z24&gt;0,Z24&lt;5)</formula>
    </cfRule>
    <cfRule type="cellIs" dxfId="4" priority="361" operator="greaterThan">
      <formula>Y24</formula>
    </cfRule>
  </conditionalFormatting>
  <conditionalFormatting sqref="Z31">
    <cfRule type="cellIs" dxfId="3" priority="366" operator="greaterThan">
      <formula>Y31</formula>
    </cfRule>
  </conditionalFormatting>
  <conditionalFormatting sqref="Z32">
    <cfRule type="cellIs" dxfId="2" priority="371" operator="greaterThan">
      <formula>Y32</formula>
    </cfRule>
  </conditionalFormatting>
  <conditionalFormatting sqref="Z33">
    <cfRule type="cellIs" dxfId="1" priority="376" operator="greaterThan">
      <formula>Y33</formula>
    </cfRule>
  </conditionalFormatting>
  <conditionalFormatting sqref="Z38">
    <cfRule type="cellIs" dxfId="0" priority="381" operator="greaterThan">
      <formula>Y38</formula>
    </cfRule>
  </conditionalFormatting>
  <hyperlinks>
    <hyperlink ref="F11" r:id="rId1"/>
    <hyperlink ref="N11" r:id="rId2"/>
    <hyperlink ref="S11" r:id="rId3"/>
    <hyperlink ref="X11" r:id="rId4"/>
    <hyperlink ref="AC11" r:id="rId5"/>
    <hyperlink ref="AH11" r:id="rId6"/>
    <hyperlink ref="F13" r:id="rId7"/>
    <hyperlink ref="N13" r:id="rId8"/>
    <hyperlink ref="S13" r:id="rId9"/>
    <hyperlink ref="X13" r:id="rId10"/>
    <hyperlink ref="AC13" r:id="rId11"/>
    <hyperlink ref="AH13" r:id="rId12"/>
    <hyperlink ref="F15" r:id="rId13"/>
    <hyperlink ref="N16" r:id="rId14"/>
    <hyperlink ref="S16" r:id="rId15"/>
    <hyperlink ref="X16" r:id="rId16"/>
    <hyperlink ref="AC16" r:id="rId17"/>
    <hyperlink ref="AH16" r:id="rId18"/>
    <hyperlink ref="N17" r:id="rId19"/>
    <hyperlink ref="S17" r:id="rId20"/>
    <hyperlink ref="X17" r:id="rId21"/>
    <hyperlink ref="AC17" r:id="rId22"/>
    <hyperlink ref="AH17" r:id="rId23"/>
    <hyperlink ref="F18" r:id="rId24"/>
    <hyperlink ref="S18" r:id="rId25"/>
    <hyperlink ref="AC18" r:id="rId26"/>
    <hyperlink ref="S20" r:id="rId27"/>
    <hyperlink ref="X20" r:id="rId28"/>
    <hyperlink ref="AC20" r:id="rId29"/>
    <hyperlink ref="F21" r:id="rId30"/>
    <hyperlink ref="N21" r:id="rId31"/>
    <hyperlink ref="X21" r:id="rId32"/>
    <hyperlink ref="F23" r:id="rId33"/>
    <hyperlink ref="N23" r:id="rId34"/>
    <hyperlink ref="S23" r:id="rId35"/>
    <hyperlink ref="X23" r:id="rId36"/>
    <hyperlink ref="AC23" r:id="rId37"/>
    <hyperlink ref="AH23" r:id="rId38"/>
    <hyperlink ref="F24" r:id="rId39"/>
    <hyperlink ref="N24" r:id="rId40"/>
    <hyperlink ref="S24" r:id="rId41"/>
    <hyperlink ref="X24" r:id="rId42"/>
    <hyperlink ref="AC24" r:id="rId43"/>
    <hyperlink ref="AH24" r:id="rId44"/>
    <hyperlink ref="F28" r:id="rId45"/>
    <hyperlink ref="X28" r:id="rId46"/>
    <hyperlink ref="AH28" r:id="rId47"/>
    <hyperlink ref="N31" r:id="rId48"/>
    <hyperlink ref="S31" r:id="rId49"/>
    <hyperlink ref="X31" r:id="rId50"/>
    <hyperlink ref="AC31" r:id="rId51"/>
    <hyperlink ref="AH31" r:id="rId52"/>
    <hyperlink ref="N32" r:id="rId53"/>
    <hyperlink ref="S32" r:id="rId54"/>
    <hyperlink ref="X32" r:id="rId55"/>
    <hyperlink ref="AC32" r:id="rId56"/>
    <hyperlink ref="AH32" r:id="rId57"/>
    <hyperlink ref="F33" r:id="rId58"/>
    <hyperlink ref="N33" r:id="rId59"/>
    <hyperlink ref="S33" r:id="rId60"/>
    <hyperlink ref="X33" r:id="rId61"/>
    <hyperlink ref="AC33" r:id="rId62"/>
    <hyperlink ref="AH33" r:id="rId63"/>
    <hyperlink ref="F34" r:id="rId64"/>
    <hyperlink ref="F37" r:id="rId65"/>
    <hyperlink ref="S37" r:id="rId66"/>
    <hyperlink ref="X37" r:id="rId67"/>
    <hyperlink ref="AH37" r:id="rId68"/>
    <hyperlink ref="F38" r:id="rId69"/>
    <hyperlink ref="N38" r:id="rId70"/>
    <hyperlink ref="S38" r:id="rId71"/>
    <hyperlink ref="X38" r:id="rId72"/>
    <hyperlink ref="AC38" r:id="rId73"/>
    <hyperlink ref="AH38" r:id="rId74"/>
  </hyperlinks>
  <pageMargins left="0.7" right="0.7" top="0.75" bottom="0.75" header="0.3" footer="0.3"/>
  <legacyDrawing r:id="rId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ThermocoupleLogger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Pateman</cp:lastModifiedBy>
  <dcterms:created xsi:type="dcterms:W3CDTF">2019-09-20T16:33:20Z</dcterms:created>
  <dcterms:modified xsi:type="dcterms:W3CDTF">2019-09-24T08:04:08Z</dcterms:modified>
</cp:coreProperties>
</file>