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husadineni/Documents/Supply chain management/"/>
    </mc:Choice>
  </mc:AlternateContent>
  <xr:revisionPtr revIDLastSave="0" documentId="8_{E1862E2B-146C-3E4A-8B03-823811368010}" xr6:coauthVersionLast="47" xr6:coauthVersionMax="47" xr10:uidLastSave="{00000000-0000-0000-0000-000000000000}"/>
  <bookViews>
    <workbookView xWindow="0" yWindow="500" windowWidth="28800" windowHeight="16120" xr2:uid="{CEB7A471-C32E-7142-90F2-809C0CBC5C7A}"/>
  </bookViews>
  <sheets>
    <sheet name="Cost Calculations" sheetId="1" r:id="rId1"/>
  </sheets>
  <definedNames>
    <definedName name="solver_adj" localSheetId="0" hidden="1">'Cost Calculations'!$E$119:$E$140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'Cost Calculations'!$C$119</definedName>
    <definedName name="solver_lhs10" localSheetId="0" hidden="1">'Cost Calculations'!$C$128</definedName>
    <definedName name="solver_lhs11" localSheetId="0" hidden="1">'Cost Calculations'!$C$129</definedName>
    <definedName name="solver_lhs12" localSheetId="0" hidden="1">'Cost Calculations'!$C$130</definedName>
    <definedName name="solver_lhs13" localSheetId="0" hidden="1">'Cost Calculations'!$C$131</definedName>
    <definedName name="solver_lhs14" localSheetId="0" hidden="1">'Cost Calculations'!$C$132</definedName>
    <definedName name="solver_lhs2" localSheetId="0" hidden="1">'Cost Calculations'!$C$120</definedName>
    <definedName name="solver_lhs3" localSheetId="0" hidden="1">'Cost Calculations'!$C$121</definedName>
    <definedName name="solver_lhs4" localSheetId="0" hidden="1">'Cost Calculations'!$C$122</definedName>
    <definedName name="solver_lhs5" localSheetId="0" hidden="1">'Cost Calculations'!$C$123</definedName>
    <definedName name="solver_lhs6" localSheetId="0" hidden="1">'Cost Calculations'!$C$124</definedName>
    <definedName name="solver_lhs7" localSheetId="0" hidden="1">'Cost Calculations'!$C$125</definedName>
    <definedName name="solver_lhs8" localSheetId="0" hidden="1">'Cost Calculations'!$C$126</definedName>
    <definedName name="solver_lhs9" localSheetId="0" hidden="1">'Cost Calculations'!$C$127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opt" localSheetId="0" hidden="1">'Cost Calculations'!$C$134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125000</definedName>
    <definedName name="solver_rhs10" localSheetId="0" hidden="1">75000</definedName>
    <definedName name="solver_rhs11" localSheetId="0" hidden="1">115000</definedName>
    <definedName name="solver_rhs12" localSheetId="0" hidden="1">85000</definedName>
    <definedName name="solver_rhs13" localSheetId="0" hidden="1">69000</definedName>
    <definedName name="solver_rhs14" localSheetId="0" hidden="1">95000</definedName>
    <definedName name="solver_rhs2" localSheetId="0" hidden="1">100000</definedName>
    <definedName name="solver_rhs3" localSheetId="0" hidden="1">75000</definedName>
    <definedName name="solver_rhs4" localSheetId="0" hidden="1">75000</definedName>
    <definedName name="solver_rhs5" localSheetId="0" hidden="1">50000</definedName>
    <definedName name="solver_rhs6" localSheetId="0" hidden="1">75000</definedName>
    <definedName name="solver_rhs7" localSheetId="0" hidden="1">100000</definedName>
    <definedName name="solver_rhs8" localSheetId="0" hidden="1">50000</definedName>
    <definedName name="solver_rhs9" localSheetId="0" hidden="1">50000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9" i="1" s="1"/>
  <c r="F67" i="1" l="1"/>
  <c r="E67" i="1"/>
  <c r="G59" i="1"/>
  <c r="H59" i="1"/>
  <c r="B67" i="1" l="1"/>
  <c r="C54" i="1"/>
  <c r="I48" i="1" l="1"/>
  <c r="I49" i="1"/>
  <c r="I50" i="1"/>
  <c r="I51" i="1"/>
  <c r="I47" i="1"/>
  <c r="H48" i="1"/>
  <c r="H49" i="1"/>
  <c r="H50" i="1"/>
  <c r="H51" i="1"/>
  <c r="H47" i="1"/>
  <c r="G48" i="1"/>
  <c r="G49" i="1"/>
  <c r="G50" i="1"/>
  <c r="G51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 l="1"/>
  <c r="C100" i="1" l="1"/>
  <c r="C106" i="1"/>
  <c r="C105" i="1"/>
  <c r="C104" i="1"/>
  <c r="C103" i="1"/>
  <c r="C102" i="1"/>
  <c r="C101" i="1"/>
  <c r="C95" i="1"/>
  <c r="C93" i="1"/>
  <c r="C99" i="1"/>
  <c r="C98" i="1"/>
  <c r="C97" i="1"/>
  <c r="C96" i="1"/>
  <c r="C94" i="1"/>
  <c r="E41" i="1" l="1"/>
  <c r="B41" i="1"/>
  <c r="C73" i="1"/>
  <c r="E47" i="1" s="1"/>
  <c r="D73" i="1"/>
  <c r="E73" i="1"/>
  <c r="G47" i="1" s="1"/>
  <c r="C74" i="1"/>
  <c r="D74" i="1"/>
  <c r="C75" i="1"/>
  <c r="D75" i="1"/>
  <c r="C76" i="1"/>
  <c r="D76" i="1"/>
  <c r="C77" i="1"/>
  <c r="D77" i="1"/>
  <c r="F51" i="1" s="1"/>
  <c r="E51" i="1" l="1"/>
  <c r="B51" i="1"/>
  <c r="F47" i="1"/>
  <c r="C47" i="1"/>
  <c r="F48" i="1"/>
  <c r="C48" i="1"/>
  <c r="E50" i="1"/>
  <c r="B50" i="1"/>
  <c r="E48" i="1"/>
  <c r="B48" i="1"/>
  <c r="E49" i="1"/>
  <c r="B49" i="1"/>
  <c r="F50" i="1"/>
  <c r="C51" i="1"/>
  <c r="C50" i="1"/>
  <c r="B47" i="1"/>
  <c r="F49" i="1"/>
  <c r="C49" i="1"/>
  <c r="F11" i="1"/>
  <c r="F10" i="1"/>
  <c r="F9" i="1"/>
  <c r="F8" i="1"/>
  <c r="D36" i="1"/>
  <c r="D35" i="1"/>
  <c r="D34" i="1"/>
  <c r="D33" i="1"/>
  <c r="D32" i="1"/>
  <c r="D31" i="1"/>
  <c r="D30" i="1"/>
  <c r="D29" i="1"/>
  <c r="D28" i="1"/>
  <c r="D37" i="1"/>
  <c r="C37" i="1"/>
  <c r="C36" i="1"/>
  <c r="C35" i="1"/>
  <c r="C34" i="1"/>
  <c r="H65" i="1" s="1"/>
  <c r="H67" i="1" s="1"/>
  <c r="C33" i="1"/>
  <c r="C32" i="1"/>
  <c r="C31" i="1"/>
  <c r="C30" i="1"/>
  <c r="C29" i="1"/>
  <c r="C28" i="1"/>
  <c r="B43" i="1" s="1"/>
  <c r="C15" i="1"/>
  <c r="C14" i="1"/>
  <c r="C13" i="1"/>
  <c r="C12" i="1"/>
  <c r="C11" i="1"/>
  <c r="B15" i="1"/>
  <c r="B14" i="1"/>
  <c r="B13" i="1"/>
  <c r="I64" i="1" s="1"/>
  <c r="I67" i="1" s="1"/>
  <c r="B12" i="1"/>
  <c r="G65" i="1" l="1"/>
  <c r="C85" i="1"/>
  <c r="I83" i="1"/>
  <c r="I86" i="1"/>
  <c r="I84" i="1"/>
  <c r="I85" i="1"/>
  <c r="I82" i="1"/>
  <c r="L86" i="1"/>
  <c r="L84" i="1"/>
  <c r="L85" i="1"/>
  <c r="L83" i="1"/>
  <c r="L82" i="1"/>
  <c r="J82" i="1"/>
  <c r="J85" i="1"/>
  <c r="J86" i="1"/>
  <c r="J84" i="1"/>
  <c r="J83" i="1"/>
  <c r="E55" i="1"/>
  <c r="E59" i="1" s="1"/>
  <c r="E40" i="1"/>
  <c r="C84" i="1"/>
  <c r="C82" i="1"/>
  <c r="C86" i="1"/>
  <c r="K84" i="1"/>
  <c r="K85" i="1"/>
  <c r="K83" i="1"/>
  <c r="K82" i="1"/>
  <c r="K86" i="1"/>
  <c r="C83" i="1"/>
  <c r="E83" i="1"/>
  <c r="E82" i="1"/>
  <c r="E86" i="1"/>
  <c r="E84" i="1"/>
  <c r="E85" i="1"/>
  <c r="G66" i="1"/>
  <c r="F58" i="1" s="1"/>
  <c r="F54" i="1" s="1"/>
  <c r="F82" i="1"/>
  <c r="F85" i="1"/>
  <c r="F83" i="1"/>
  <c r="F86" i="1"/>
  <c r="F84" i="1"/>
  <c r="G84" i="1"/>
  <c r="G82" i="1"/>
  <c r="G86" i="1"/>
  <c r="G85" i="1"/>
  <c r="G83" i="1"/>
  <c r="E43" i="1"/>
  <c r="D86" i="1"/>
  <c r="D84" i="1"/>
  <c r="D85" i="1"/>
  <c r="D83" i="1"/>
  <c r="D82" i="1"/>
  <c r="H86" i="1"/>
  <c r="H82" i="1"/>
  <c r="H84" i="1"/>
  <c r="H85" i="1"/>
  <c r="H83" i="1"/>
  <c r="C20" i="1"/>
  <c r="C21" i="1"/>
  <c r="C22" i="1"/>
  <c r="C23" i="1"/>
  <c r="C19" i="1"/>
  <c r="B20" i="1"/>
  <c r="B21" i="1"/>
  <c r="C64" i="1" s="1"/>
  <c r="C67" i="1" s="1"/>
  <c r="B22" i="1"/>
  <c r="B57" i="1" s="1"/>
  <c r="B23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8" i="1"/>
  <c r="F28" i="1" s="1"/>
  <c r="G67" i="1" l="1"/>
  <c r="F59" i="1"/>
  <c r="I54" i="1"/>
  <c r="I59" i="1" s="1"/>
  <c r="B55" i="1"/>
  <c r="B40" i="1"/>
  <c r="F130" i="1"/>
  <c r="F104" i="1"/>
  <c r="F129" i="1"/>
  <c r="F103" i="1"/>
  <c r="F126" i="1"/>
  <c r="F100" i="1"/>
  <c r="F97" i="1"/>
  <c r="F123" i="1"/>
  <c r="F110" i="1"/>
  <c r="F136" i="1"/>
  <c r="F93" i="1"/>
  <c r="F119" i="1"/>
  <c r="F134" i="1"/>
  <c r="F108" i="1"/>
  <c r="F137" i="1"/>
  <c r="F111" i="1"/>
  <c r="F114" i="1"/>
  <c r="F140" i="1"/>
  <c r="F102" i="1"/>
  <c r="F128" i="1"/>
  <c r="F105" i="1"/>
  <c r="F131" i="1"/>
  <c r="F133" i="1"/>
  <c r="F107" i="1"/>
  <c r="F94" i="1"/>
  <c r="F120" i="1"/>
  <c r="F98" i="1"/>
  <c r="F124" i="1"/>
  <c r="F109" i="1"/>
  <c r="F135" i="1"/>
  <c r="F112" i="1"/>
  <c r="F138" i="1"/>
  <c r="F121" i="1"/>
  <c r="F95" i="1"/>
  <c r="F106" i="1"/>
  <c r="F132" i="1"/>
  <c r="F101" i="1"/>
  <c r="F127" i="1"/>
  <c r="F125" i="1"/>
  <c r="F99" i="1"/>
  <c r="F122" i="1"/>
  <c r="F96" i="1"/>
  <c r="F113" i="1"/>
  <c r="F139" i="1"/>
  <c r="E44" i="1" l="1"/>
  <c r="F16" i="1" s="1"/>
  <c r="C134" i="1"/>
  <c r="F18" i="1" s="1"/>
  <c r="F20" i="1" s="1"/>
  <c r="F24" i="1" s="1"/>
  <c r="C108" i="1"/>
  <c r="F17" i="1" s="1"/>
  <c r="B58" i="1"/>
  <c r="C58" i="1" s="1"/>
  <c r="C59" i="1" s="1"/>
  <c r="B59" i="1" l="1"/>
  <c r="B44" i="1" s="1"/>
  <c r="F15" i="1" s="1"/>
  <c r="F19" i="1" s="1"/>
  <c r="F23" i="1" s="1"/>
</calcChain>
</file>

<file path=xl/sharedStrings.xml><?xml version="1.0" encoding="utf-8"?>
<sst xmlns="http://schemas.openxmlformats.org/spreadsheetml/2006/main" count="301" uniqueCount="126">
  <si>
    <t>Area</t>
  </si>
  <si>
    <t>New York, NY</t>
  </si>
  <si>
    <t>Atlanta, GA</t>
  </si>
  <si>
    <t>San Francisco, CA</t>
  </si>
  <si>
    <t>Houston, TX</t>
  </si>
  <si>
    <t>Chicago, IL</t>
  </si>
  <si>
    <t>New Daily Tons</t>
  </si>
  <si>
    <t>Old Daily Tons</t>
  </si>
  <si>
    <t>Pomona, CA</t>
  </si>
  <si>
    <t>Reno, NV</t>
  </si>
  <si>
    <t>Casper, WY</t>
  </si>
  <si>
    <t>Dallas, TX</t>
  </si>
  <si>
    <t>Lebanon, KS</t>
  </si>
  <si>
    <t>Littlw Rock, AR</t>
  </si>
  <si>
    <t>Denver, CO</t>
  </si>
  <si>
    <t>Eugene, OR</t>
  </si>
  <si>
    <t>Albuquerque, NM</t>
  </si>
  <si>
    <t>Cedar Rapids, IA</t>
  </si>
  <si>
    <t>Truck</t>
  </si>
  <si>
    <t>Rail</t>
  </si>
  <si>
    <t>Air</t>
  </si>
  <si>
    <t>Water</t>
  </si>
  <si>
    <t>D1</t>
  </si>
  <si>
    <t>D2</t>
  </si>
  <si>
    <t>D3</t>
  </si>
  <si>
    <t>D4</t>
  </si>
  <si>
    <t>D5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</si>
  <si>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</si>
  <si>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</si>
  <si>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</si>
  <si>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</si>
  <si>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</si>
  <si>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</si>
  <si>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</si>
  <si>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</si>
  <si>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</si>
  <si>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</si>
  <si>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Little Rock, AR</t>
  </si>
  <si>
    <t>San Fransisco, CA</t>
  </si>
  <si>
    <t>Inequalities for Nodes</t>
  </si>
  <si>
    <t>Z</t>
  </si>
  <si>
    <t>Total Cost</t>
  </si>
  <si>
    <t>125000&gt;=X1</t>
  </si>
  <si>
    <t>100000&gt;=X2</t>
  </si>
  <si>
    <t>75000&gt;=X3+X4+X5</t>
  </si>
  <si>
    <t>75000&gt;=X6+X7+X8</t>
  </si>
  <si>
    <t>50000&gt;=X9+X10+X11</t>
  </si>
  <si>
    <t>75000&gt;=X12+X13+X14+X15</t>
  </si>
  <si>
    <t>100000&gt;=X16</t>
  </si>
  <si>
    <t>50000&gt;=X17+X18</t>
  </si>
  <si>
    <t>50000&gt;=X19+X20+X21+X22</t>
  </si>
  <si>
    <t>Location</t>
  </si>
  <si>
    <t>Zipcode</t>
  </si>
  <si>
    <t>Warehouse Capacity (Tons)</t>
  </si>
  <si>
    <t>Average Inventory Held</t>
  </si>
  <si>
    <t>Holding Cost</t>
  </si>
  <si>
    <t>Adam Neider</t>
  </si>
  <si>
    <t>Andrew Rowe</t>
  </si>
  <si>
    <t>Jared Bourgain</t>
  </si>
  <si>
    <t>Team Members:</t>
  </si>
  <si>
    <t>Total 24 Hour Demand Daily (New)</t>
  </si>
  <si>
    <t>Total Warehouses Needed to Meet Demand</t>
  </si>
  <si>
    <t>Total Supply Capacity of Warehouses</t>
  </si>
  <si>
    <t>Total Cost of Meeting Demand</t>
  </si>
  <si>
    <t>Pomona, CA &amp; Reno, NV</t>
  </si>
  <si>
    <t>Air Tons</t>
  </si>
  <si>
    <t>Total</t>
  </si>
  <si>
    <t>Trucking Tons</t>
  </si>
  <si>
    <t>37500=X12+X19</t>
  </si>
  <si>
    <t>57500=X6+X9+X13+X20</t>
  </si>
  <si>
    <t>42500=X1+X2+X3+X16+X17</t>
  </si>
  <si>
    <t>47500=X5+X8+X11+X15+X22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</si>
  <si>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</si>
  <si>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</si>
  <si>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</si>
  <si>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</si>
  <si>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</si>
  <si>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</si>
  <si>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</si>
  <si>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</si>
  <si>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</si>
  <si>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</si>
  <si>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</si>
  <si>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</si>
  <si>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</si>
  <si>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</si>
  <si>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</si>
  <si>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</si>
  <si>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</si>
  <si>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</si>
  <si>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</si>
  <si>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</si>
  <si>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</si>
  <si>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</si>
  <si>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Links and Costs on Netword Diagram (Trucking)</t>
  </si>
  <si>
    <t>Total Demand Daily (New)</t>
  </si>
  <si>
    <t>Pomona, CA/Reno,NV/Casper,WY/Denver,CO/Eugene,OR</t>
  </si>
  <si>
    <t>Supply &amp; Demand Distance (Miles)</t>
  </si>
  <si>
    <t>*Denver not included in either slover because all the links were over 1,000 miles away from their demanded locations and with their handling costs being double compared to a similar location with Capser,WY.</t>
  </si>
  <si>
    <t>Solver for 24 Hour Demand</t>
  </si>
  <si>
    <t>Solver for Total Demand</t>
  </si>
  <si>
    <t>34500=X4+X7+X10+X14+X18+X21</t>
  </si>
  <si>
    <t>95000=X5+X8+X11+X15+X22</t>
  </si>
  <si>
    <t>69000=X4+X7+X10+X14+X18+X21</t>
  </si>
  <si>
    <t>85000=X1+X2+X3+X16+X17</t>
  </si>
  <si>
    <t>115000=X6+X9+X13+X20</t>
  </si>
  <si>
    <t>75000=X12+X19</t>
  </si>
  <si>
    <t>Savings From Air to Truck Cost</t>
  </si>
  <si>
    <t>Cost of 24-Hour Demand Before Solver</t>
  </si>
  <si>
    <t>Cost of Total Demand Before Solver</t>
  </si>
  <si>
    <t>Cost of 24-Hour Demand After Solver</t>
  </si>
  <si>
    <t>Cost of Total Demand After Solver</t>
  </si>
  <si>
    <t>Savings of 24 Hour Demand After Solver</t>
  </si>
  <si>
    <t>Savings of Total Demand After Solver</t>
  </si>
  <si>
    <t>Cost</t>
  </si>
  <si>
    <t>Percentage of Savings</t>
  </si>
  <si>
    <t>Demand Requirements (Total)</t>
  </si>
  <si>
    <t>Demand Requirements (24 Hours)</t>
  </si>
  <si>
    <t>Costs (ton/mile)</t>
  </si>
  <si>
    <t>Location of Warehouses</t>
  </si>
  <si>
    <t>Warehouse handling dollars per ton</t>
  </si>
  <si>
    <t>Supply &amp; Demand Cost/Ton Matrix  from Trucking Costs (No holding Costs)</t>
  </si>
  <si>
    <t>Lucas Smagac</t>
  </si>
  <si>
    <t>24 Hour Demand</t>
  </si>
  <si>
    <t>Total Demand</t>
  </si>
  <si>
    <t>Sindhu Sadineni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</si>
</sst>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15" xfId="0" applyBorder="1"/>
    <xf numFmtId="0" fontId="3" fillId="0" borderId="5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3" fillId="0" borderId="3" xfId="0" applyFont="1" applyBorder="1"/>
    <xf numFmtId="0" fontId="3" fillId="0" borderId="4" xfId="0" applyFont="1" applyBorder="1"/>
    <xf numFmtId="0" fontId="0" fillId="0" borderId="17" xfId="0" applyBorder="1"/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6" xfId="0" applyFont="1" applyBorder="1"/>
    <xf numFmtId="0" fontId="1" fillId="2" borderId="12" xfId="3" applyBorder="1"/>
    <xf numFmtId="0" fontId="1" fillId="2" borderId="13" xfId="3" applyBorder="1"/>
    <xf numFmtId="0" fontId="1" fillId="2" borderId="14" xfId="3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right"/>
    </xf>
    <xf numFmtId="0" fontId="0" fillId="0" borderId="9" xfId="0" applyFont="1" applyBorder="1"/>
    <xf numFmtId="44" fontId="0" fillId="0" borderId="6" xfId="1" applyFont="1" applyBorder="1"/>
    <xf numFmtId="10" fontId="0" fillId="0" borderId="6" xfId="2" applyNumberFormat="1" applyFont="1" applyBorder="1"/>
    <xf numFmtId="10" fontId="0" fillId="0" borderId="15" xfId="2" applyNumberFormat="1" applyFont="1" applyBorder="1"/>
    <xf numFmtId="44" fontId="0" fillId="0" borderId="15" xfId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4" fontId="0" fillId="0" borderId="14" xfId="1" applyFont="1" applyBorder="1"/>
    <xf numFmtId="44" fontId="0" fillId="0" borderId="21" xfId="1" applyFont="1" applyBorder="1"/>
    <xf numFmtId="44" fontId="0" fillId="0" borderId="22" xfId="1" applyFont="1" applyBorder="1"/>
  </cellXfs>
  <cellStyles count="4">
    <cellStyle name="20% - Accent1" xfId="3" builtinId="30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77356</xdr:colOff>
      <xdr:row>91</xdr:row>
      <xdr:rowOff>114301</xdr:rowOff>
    </xdr:from>
    <xdr:to>
      <xdr:col>8</xdr:col>
      <xdr:colOff>715819</xdr:colOff>
      <xdr:row>95</xdr:row>
      <xdr:rowOff>80817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18FA8EE-93C7-0243-864E-D6B83ED28A4A}"/>
            </a:ext>
          </a:extLst>
        </xdr:cNvPr>
        <xdr:cNvSpPr/>
      </xdr:nvSpPr>
      <xdr:spPr>
        <a:xfrm>
          <a:off x="928256" y="520701"/>
          <a:ext cx="638463" cy="817416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13</xdr:col>
      <xdr:colOff>762000</xdr:colOff>
      <xdr:row>91</xdr:row>
      <xdr:rowOff>46182</xdr:rowOff>
    </xdr:from>
    <xdr:to>
      <xdr:col>15</xdr:col>
      <xdr:colOff>19166</xdr:colOff>
      <xdr:row>95</xdr:row>
      <xdr:rowOff>207817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1DD6701-3531-5941-AAC8-93C891C9ACFB}"/>
            </a:ext>
          </a:extLst>
        </xdr:cNvPr>
        <xdr:cNvSpPr/>
      </xdr:nvSpPr>
      <xdr:spPr>
        <a:xfrm>
          <a:off x="5867400" y="452582"/>
          <a:ext cx="958966" cy="101253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761999</xdr:colOff>
      <xdr:row>99</xdr:row>
      <xdr:rowOff>23092</xdr:rowOff>
    </xdr:from>
    <xdr:to>
      <xdr:col>14</xdr:col>
      <xdr:colOff>850440</xdr:colOff>
      <xdr:row>104</xdr:row>
      <xdr:rowOff>103908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A2CF23-92AC-0D45-B9B6-D12FE6785BD9}"/>
            </a:ext>
          </a:extLst>
        </xdr:cNvPr>
        <xdr:cNvSpPr/>
      </xdr:nvSpPr>
      <xdr:spPr>
        <a:xfrm>
          <a:off x="5867399" y="2131292"/>
          <a:ext cx="939341" cy="1096816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750458</xdr:colOff>
      <xdr:row>108</xdr:row>
      <xdr:rowOff>103908</xdr:rowOff>
    </xdr:from>
    <xdr:to>
      <xdr:col>15</xdr:col>
      <xdr:colOff>57729</xdr:colOff>
      <xdr:row>113</xdr:row>
      <xdr:rowOff>150090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32D27FC-7DCD-7F49-8101-0487EDDA6A36}"/>
            </a:ext>
          </a:extLst>
        </xdr:cNvPr>
        <xdr:cNvSpPr/>
      </xdr:nvSpPr>
      <xdr:spPr>
        <a:xfrm>
          <a:off x="5855858" y="4040908"/>
          <a:ext cx="1009071" cy="1062182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634996</xdr:colOff>
      <xdr:row>116</xdr:row>
      <xdr:rowOff>1</xdr:rowOff>
    </xdr:from>
    <xdr:to>
      <xdr:col>15</xdr:col>
      <xdr:colOff>11545</xdr:colOff>
      <xdr:row>121</xdr:row>
      <xdr:rowOff>161638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9ECF60D-0595-E84B-80B4-F615D62ED666}"/>
            </a:ext>
          </a:extLst>
        </xdr:cNvPr>
        <xdr:cNvSpPr/>
      </xdr:nvSpPr>
      <xdr:spPr>
        <a:xfrm>
          <a:off x="5740396" y="5562601"/>
          <a:ext cx="1078349" cy="117763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658092</xdr:colOff>
      <xdr:row>124</xdr:row>
      <xdr:rowOff>92367</xdr:rowOff>
    </xdr:from>
    <xdr:to>
      <xdr:col>15</xdr:col>
      <xdr:colOff>23092</xdr:colOff>
      <xdr:row>131</xdr:row>
      <xdr:rowOff>11547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0708C42-BFCD-C04F-94AA-FB9C65C755DA}"/>
            </a:ext>
          </a:extLst>
        </xdr:cNvPr>
        <xdr:cNvSpPr/>
      </xdr:nvSpPr>
      <xdr:spPr>
        <a:xfrm>
          <a:off x="5763492" y="7280567"/>
          <a:ext cx="1066800" cy="134158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69271</xdr:colOff>
      <xdr:row>96</xdr:row>
      <xdr:rowOff>196271</xdr:rowOff>
    </xdr:from>
    <xdr:to>
      <xdr:col>8</xdr:col>
      <xdr:colOff>762000</xdr:colOff>
      <xdr:row>101</xdr:row>
      <xdr:rowOff>103909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1F48801-2064-8D46-AD1C-094A3FA71033}"/>
            </a:ext>
          </a:extLst>
        </xdr:cNvPr>
        <xdr:cNvSpPr/>
      </xdr:nvSpPr>
      <xdr:spPr>
        <a:xfrm>
          <a:off x="920171" y="1694871"/>
          <a:ext cx="692729" cy="923638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46181</xdr:colOff>
      <xdr:row>103</xdr:row>
      <xdr:rowOff>173181</xdr:rowOff>
    </xdr:from>
    <xdr:to>
      <xdr:col>9</xdr:col>
      <xdr:colOff>0</xdr:colOff>
      <xdr:row>108</xdr:row>
      <xdr:rowOff>103909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C06332C-A560-6744-A236-95A6844FFA6E}"/>
            </a:ext>
          </a:extLst>
        </xdr:cNvPr>
        <xdr:cNvSpPr/>
      </xdr:nvSpPr>
      <xdr:spPr>
        <a:xfrm>
          <a:off x="897081" y="3094181"/>
          <a:ext cx="804719" cy="946728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15875</xdr:colOff>
      <xdr:row>110</xdr:row>
      <xdr:rowOff>57727</xdr:rowOff>
    </xdr:from>
    <xdr:to>
      <xdr:col>8</xdr:col>
      <xdr:colOff>785091</xdr:colOff>
      <xdr:row>114</xdr:row>
      <xdr:rowOff>190500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EE0BA9C-6821-0848-BA47-C96346D1F587}"/>
            </a:ext>
          </a:extLst>
        </xdr:cNvPr>
        <xdr:cNvSpPr/>
      </xdr:nvSpPr>
      <xdr:spPr>
        <a:xfrm>
          <a:off x="24225250" y="23441602"/>
          <a:ext cx="769216" cy="974148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34635</xdr:colOff>
      <xdr:row>116</xdr:row>
      <xdr:rowOff>126999</xdr:rowOff>
    </xdr:from>
    <xdr:to>
      <xdr:col>8</xdr:col>
      <xdr:colOff>738909</xdr:colOff>
      <xdr:row>121</xdr:row>
      <xdr:rowOff>103909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1AD74DA-949C-A648-A664-0C8E1B2EFA92}"/>
            </a:ext>
          </a:extLst>
        </xdr:cNvPr>
        <xdr:cNvSpPr/>
      </xdr:nvSpPr>
      <xdr:spPr>
        <a:xfrm>
          <a:off x="885535" y="5689599"/>
          <a:ext cx="704274" cy="99291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11544</xdr:colOff>
      <xdr:row>123</xdr:row>
      <xdr:rowOff>46182</xdr:rowOff>
    </xdr:from>
    <xdr:to>
      <xdr:col>8</xdr:col>
      <xdr:colOff>750453</xdr:colOff>
      <xdr:row>127</xdr:row>
      <xdr:rowOff>184728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3FD7C84-95B1-F44F-9A82-C75AFC019695}"/>
            </a:ext>
          </a:extLst>
        </xdr:cNvPr>
        <xdr:cNvSpPr/>
      </xdr:nvSpPr>
      <xdr:spPr>
        <a:xfrm>
          <a:off x="862444" y="7031182"/>
          <a:ext cx="738909" cy="951346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-1</xdr:colOff>
      <xdr:row>129</xdr:row>
      <xdr:rowOff>80816</xdr:rowOff>
    </xdr:from>
    <xdr:to>
      <xdr:col>8</xdr:col>
      <xdr:colOff>785091</xdr:colOff>
      <xdr:row>133</xdr:row>
      <xdr:rowOff>103908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814976A-52D5-314A-8042-197A9205DF44}"/>
            </a:ext>
          </a:extLst>
        </xdr:cNvPr>
        <xdr:cNvSpPr/>
      </xdr:nvSpPr>
      <xdr:spPr>
        <a:xfrm>
          <a:off x="850899" y="8285016"/>
          <a:ext cx="785092" cy="835892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2841625</xdr:colOff>
      <xdr:row>147</xdr:row>
      <xdr:rowOff>79375</xdr:rowOff>
    </xdr:from>
    <xdr:to>
      <xdr:col>8</xdr:col>
      <xdr:colOff>777875</xdr:colOff>
      <xdr:row>152</xdr:row>
      <xdr:rowOff>31750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234B3EA-C0F0-AB44-A7D7-DE1F3227FB88}"/>
            </a:ext>
          </a:extLst>
        </xdr:cNvPr>
        <xdr:cNvSpPr/>
      </xdr:nvSpPr>
      <xdr:spPr>
        <a:xfrm>
          <a:off x="24161750" y="31178500"/>
          <a:ext cx="825500" cy="9842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135</xdr:row>
      <xdr:rowOff>46183</xdr:rowOff>
    </xdr:from>
    <xdr:to>
      <xdr:col>8</xdr:col>
      <xdr:colOff>785091</xdr:colOff>
      <xdr:row>140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E729903-ABA9-6A4B-8B27-6BA8D7786DA5}"/>
            </a:ext>
          </a:extLst>
        </xdr:cNvPr>
        <xdr:cNvSpPr/>
      </xdr:nvSpPr>
      <xdr:spPr>
        <a:xfrm>
          <a:off x="24209375" y="28652933"/>
          <a:ext cx="785091" cy="1001567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2857500</xdr:colOff>
      <xdr:row>141</xdr:row>
      <xdr:rowOff>173179</xdr:rowOff>
    </xdr:from>
    <xdr:to>
      <xdr:col>8</xdr:col>
      <xdr:colOff>704271</xdr:colOff>
      <xdr:row>146</xdr:row>
      <xdr:rowOff>63500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209F2C8-7BFE-E046-B9FD-60B1ECD0BBCB}"/>
            </a:ext>
          </a:extLst>
        </xdr:cNvPr>
        <xdr:cNvSpPr/>
      </xdr:nvSpPr>
      <xdr:spPr>
        <a:xfrm>
          <a:off x="24177625" y="30034054"/>
          <a:ext cx="736021" cy="922196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-1</xdr:colOff>
      <xdr:row>89</xdr:row>
      <xdr:rowOff>184727</xdr:rowOff>
    </xdr:from>
    <xdr:ext cx="934487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4843805-71A3-7E48-A5E2-99B264C9FF5B}"/>
            </a:ext>
          </a:extLst>
        </xdr:cNvPr>
        <xdr:cNvSpPr txBox="1"/>
      </xdr:nvSpPr>
      <xdr:spPr>
        <a:xfrm>
          <a:off x="850899" y="184727"/>
          <a:ext cx="93448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[125000]</a:t>
          </a:r>
        </a:p>
      </xdr:txBody>
    </xdr:sp>
    <xdr:clientData/>
  </xdr:oneCellAnchor>
  <xdr:oneCellAnchor>
    <xdr:from>
      <xdr:col>7</xdr:col>
      <xdr:colOff>2815649</xdr:colOff>
      <xdr:row>95</xdr:row>
      <xdr:rowOff>86591</xdr:rowOff>
    </xdr:from>
    <xdr:ext cx="934487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A4753A-3482-1A49-9C2B-38EB67A87221}"/>
            </a:ext>
          </a:extLst>
        </xdr:cNvPr>
        <xdr:cNvSpPr txBox="1"/>
      </xdr:nvSpPr>
      <xdr:spPr>
        <a:xfrm>
          <a:off x="24135774" y="20343091"/>
          <a:ext cx="93448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[100000]</a:t>
          </a:r>
        </a:p>
      </xdr:txBody>
    </xdr:sp>
    <xdr:clientData/>
  </xdr:oneCellAnchor>
  <xdr:oneCellAnchor>
    <xdr:from>
      <xdr:col>8</xdr:col>
      <xdr:colOff>-1</xdr:colOff>
      <xdr:row>102</xdr:row>
      <xdr:rowOff>57729</xdr:rowOff>
    </xdr:from>
    <xdr:ext cx="830484" cy="342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BF95E6F-2829-5A42-8FC0-061FF9BFC193}"/>
            </a:ext>
          </a:extLst>
        </xdr:cNvPr>
        <xdr:cNvSpPr txBox="1"/>
      </xdr:nvSpPr>
      <xdr:spPr>
        <a:xfrm>
          <a:off x="850899" y="2775529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[75000]</a:t>
          </a:r>
        </a:p>
      </xdr:txBody>
    </xdr:sp>
    <xdr:clientData/>
  </xdr:oneCellAnchor>
  <xdr:oneCellAnchor>
    <xdr:from>
      <xdr:col>8</xdr:col>
      <xdr:colOff>46180</xdr:colOff>
      <xdr:row>108</xdr:row>
      <xdr:rowOff>161637</xdr:rowOff>
    </xdr:from>
    <xdr:ext cx="830484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65294F7-4649-244A-8D35-6D744CCAEB60}"/>
            </a:ext>
          </a:extLst>
        </xdr:cNvPr>
        <xdr:cNvSpPr txBox="1"/>
      </xdr:nvSpPr>
      <xdr:spPr>
        <a:xfrm>
          <a:off x="897080" y="4098637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[75000]</a:t>
          </a:r>
        </a:p>
      </xdr:txBody>
    </xdr:sp>
    <xdr:clientData/>
  </xdr:oneCellAnchor>
  <xdr:oneCellAnchor>
    <xdr:from>
      <xdr:col>8</xdr:col>
      <xdr:colOff>23091</xdr:colOff>
      <xdr:row>115</xdr:row>
      <xdr:rowOff>23091</xdr:rowOff>
    </xdr:from>
    <xdr:ext cx="830484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6DBAE65-46A9-F348-AC62-6ED94C6B2B4C}"/>
            </a:ext>
          </a:extLst>
        </xdr:cNvPr>
        <xdr:cNvSpPr txBox="1"/>
      </xdr:nvSpPr>
      <xdr:spPr>
        <a:xfrm>
          <a:off x="873991" y="5382491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[50000]</a:t>
          </a:r>
        </a:p>
      </xdr:txBody>
    </xdr:sp>
    <xdr:clientData/>
  </xdr:oneCellAnchor>
  <xdr:oneCellAnchor>
    <xdr:from>
      <xdr:col>8</xdr:col>
      <xdr:colOff>11545</xdr:colOff>
      <xdr:row>121</xdr:row>
      <xdr:rowOff>138546</xdr:rowOff>
    </xdr:from>
    <xdr:ext cx="830484" cy="34278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8B79458-A9E5-2745-81DF-4AC115725779}"/>
            </a:ext>
          </a:extLst>
        </xdr:cNvPr>
        <xdr:cNvSpPr txBox="1"/>
      </xdr:nvSpPr>
      <xdr:spPr>
        <a:xfrm>
          <a:off x="862445" y="6717146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[75000]</a:t>
          </a:r>
        </a:p>
      </xdr:txBody>
    </xdr:sp>
    <xdr:clientData/>
  </xdr:oneCellAnchor>
  <xdr:oneCellAnchor>
    <xdr:from>
      <xdr:col>8</xdr:col>
      <xdr:colOff>23090</xdr:colOff>
      <xdr:row>127</xdr:row>
      <xdr:rowOff>138546</xdr:rowOff>
    </xdr:from>
    <xdr:ext cx="830484" cy="342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0570153-B287-864B-AE3D-710DFA1A3210}"/>
            </a:ext>
          </a:extLst>
        </xdr:cNvPr>
        <xdr:cNvSpPr txBox="1"/>
      </xdr:nvSpPr>
      <xdr:spPr>
        <a:xfrm>
          <a:off x="873990" y="7936346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[50000]</a:t>
          </a:r>
        </a:p>
      </xdr:txBody>
    </xdr:sp>
    <xdr:clientData/>
  </xdr:oneCellAnchor>
  <xdr:oneCellAnchor>
    <xdr:from>
      <xdr:col>7</xdr:col>
      <xdr:colOff>2817090</xdr:colOff>
      <xdr:row>133</xdr:row>
      <xdr:rowOff>122670</xdr:rowOff>
    </xdr:from>
    <xdr:ext cx="934487" cy="342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30E252-905A-294C-AF9D-068C261B0828}"/>
            </a:ext>
          </a:extLst>
        </xdr:cNvPr>
        <xdr:cNvSpPr txBox="1"/>
      </xdr:nvSpPr>
      <xdr:spPr>
        <a:xfrm>
          <a:off x="24137215" y="28300795"/>
          <a:ext cx="93448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[100000]</a:t>
          </a:r>
        </a:p>
      </xdr:txBody>
    </xdr:sp>
    <xdr:clientData/>
  </xdr:oneCellAnchor>
  <xdr:oneCellAnchor>
    <xdr:from>
      <xdr:col>8</xdr:col>
      <xdr:colOff>11545</xdr:colOff>
      <xdr:row>140</xdr:row>
      <xdr:rowOff>57727</xdr:rowOff>
    </xdr:from>
    <xdr:ext cx="830484" cy="342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9EFB74-012C-1344-A847-182793449CCB}"/>
            </a:ext>
          </a:extLst>
        </xdr:cNvPr>
        <xdr:cNvSpPr txBox="1"/>
      </xdr:nvSpPr>
      <xdr:spPr>
        <a:xfrm>
          <a:off x="862445" y="10497127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[50000]</a:t>
          </a:r>
        </a:p>
      </xdr:txBody>
    </xdr:sp>
    <xdr:clientData/>
  </xdr:oneCellAnchor>
  <xdr:oneCellAnchor>
    <xdr:from>
      <xdr:col>7</xdr:col>
      <xdr:colOff>2843068</xdr:colOff>
      <xdr:row>146</xdr:row>
      <xdr:rowOff>27420</xdr:rowOff>
    </xdr:from>
    <xdr:ext cx="830484" cy="34278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54E9383-B250-FB49-9B11-FCCF7877E54E}"/>
            </a:ext>
          </a:extLst>
        </xdr:cNvPr>
        <xdr:cNvSpPr txBox="1"/>
      </xdr:nvSpPr>
      <xdr:spPr>
        <a:xfrm>
          <a:off x="24163193" y="30920170"/>
          <a:ext cx="830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[50000]</a:t>
          </a:r>
        </a:p>
      </xdr:txBody>
    </xdr:sp>
    <xdr:clientData/>
  </xdr:oneCellAnchor>
  <xdr:oneCellAnchor>
    <xdr:from>
      <xdr:col>13</xdr:col>
      <xdr:colOff>1145888</xdr:colOff>
      <xdr:row>89</xdr:row>
      <xdr:rowOff>92363</xdr:rowOff>
    </xdr:from>
    <xdr:ext cx="893321" cy="342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AE03F3A-3BD8-F544-8FC8-0F9D6280D4AF}"/>
            </a:ext>
          </a:extLst>
        </xdr:cNvPr>
        <xdr:cNvSpPr txBox="1"/>
      </xdr:nvSpPr>
      <xdr:spPr>
        <a:xfrm>
          <a:off x="33181638" y="19031238"/>
          <a:ext cx="8933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[-37500]</a:t>
          </a:r>
        </a:p>
      </xdr:txBody>
    </xdr:sp>
    <xdr:clientData/>
  </xdr:oneCellAnchor>
  <xdr:oneCellAnchor>
    <xdr:from>
      <xdr:col>13</xdr:col>
      <xdr:colOff>1069399</xdr:colOff>
      <xdr:row>97</xdr:row>
      <xdr:rowOff>122668</xdr:rowOff>
    </xdr:from>
    <xdr:ext cx="1027544" cy="34278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BFF8CC-0E62-8144-B0F8-010357EB6D84}"/>
            </a:ext>
          </a:extLst>
        </xdr:cNvPr>
        <xdr:cNvSpPr txBox="1"/>
      </xdr:nvSpPr>
      <xdr:spPr>
        <a:xfrm>
          <a:off x="33105149" y="20791918"/>
          <a:ext cx="102754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[-57500]</a:t>
          </a:r>
        </a:p>
      </xdr:txBody>
    </xdr:sp>
    <xdr:clientData/>
  </xdr:oneCellAnchor>
  <xdr:oneCellAnchor>
    <xdr:from>
      <xdr:col>13</xdr:col>
      <xdr:colOff>1132895</xdr:colOff>
      <xdr:row>107</xdr:row>
      <xdr:rowOff>21647</xdr:rowOff>
    </xdr:from>
    <xdr:ext cx="1039091" cy="342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E046FC5-6F95-EE4A-B6B0-62BC707747E4}"/>
            </a:ext>
          </a:extLst>
        </xdr:cNvPr>
        <xdr:cNvSpPr txBox="1"/>
      </xdr:nvSpPr>
      <xdr:spPr>
        <a:xfrm>
          <a:off x="33168645" y="22770522"/>
          <a:ext cx="103909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[-42500]</a:t>
          </a:r>
        </a:p>
      </xdr:txBody>
    </xdr:sp>
    <xdr:clientData/>
  </xdr:oneCellAnchor>
  <xdr:oneCellAnchor>
    <xdr:from>
      <xdr:col>13</xdr:col>
      <xdr:colOff>1039090</xdr:colOff>
      <xdr:row>114</xdr:row>
      <xdr:rowOff>134215</xdr:rowOff>
    </xdr:from>
    <xdr:ext cx="1177636" cy="34278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AD04838-1082-B84D-9054-02A3410F9C0B}"/>
            </a:ext>
          </a:extLst>
        </xdr:cNvPr>
        <xdr:cNvSpPr txBox="1"/>
      </xdr:nvSpPr>
      <xdr:spPr>
        <a:xfrm>
          <a:off x="33074840" y="24359465"/>
          <a:ext cx="11776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[-34500]</a:t>
          </a:r>
        </a:p>
      </xdr:txBody>
    </xdr:sp>
    <xdr:clientData/>
  </xdr:oneCellAnchor>
  <xdr:oneCellAnchor>
    <xdr:from>
      <xdr:col>13</xdr:col>
      <xdr:colOff>1047750</xdr:colOff>
      <xdr:row>123</xdr:row>
      <xdr:rowOff>8659</xdr:rowOff>
    </xdr:from>
    <xdr:ext cx="1004455" cy="34278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9B3A261-F12C-764F-9688-57B97F439BAB}"/>
            </a:ext>
          </a:extLst>
        </xdr:cNvPr>
        <xdr:cNvSpPr txBox="1"/>
      </xdr:nvSpPr>
      <xdr:spPr>
        <a:xfrm>
          <a:off x="33083500" y="26107159"/>
          <a:ext cx="100445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[-47500]</a:t>
          </a:r>
        </a:p>
      </xdr:txBody>
    </xdr:sp>
    <xdr:clientData/>
  </xdr:oneCellAnchor>
  <xdr:oneCellAnchor>
    <xdr:from>
      <xdr:col>8</xdr:col>
      <xdr:colOff>230909</xdr:colOff>
      <xdr:row>92</xdr:row>
      <xdr:rowOff>80818</xdr:rowOff>
    </xdr:from>
    <xdr:ext cx="358175" cy="311496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EC73FF9-096F-2A4A-9C0F-371C65CE8DDA}"/>
            </a:ext>
          </a:extLst>
        </xdr:cNvPr>
        <xdr:cNvSpPr txBox="1"/>
      </xdr:nvSpPr>
      <xdr:spPr>
        <a:xfrm>
          <a:off x="1081809" y="690418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S1</a:t>
          </a:r>
        </a:p>
      </xdr:txBody>
    </xdr:sp>
    <xdr:clientData/>
  </xdr:oneCellAnchor>
  <xdr:oneCellAnchor>
    <xdr:from>
      <xdr:col>8</xdr:col>
      <xdr:colOff>184728</xdr:colOff>
      <xdr:row>97</xdr:row>
      <xdr:rowOff>23089</xdr:rowOff>
    </xdr:from>
    <xdr:ext cx="358175" cy="31149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1CB1A8D-51C5-F842-80E0-F7A59C8EA1A0}"/>
            </a:ext>
          </a:extLst>
        </xdr:cNvPr>
        <xdr:cNvSpPr txBox="1"/>
      </xdr:nvSpPr>
      <xdr:spPr>
        <a:xfrm>
          <a:off x="1035628" y="1724889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S2</a:t>
          </a:r>
        </a:p>
      </xdr:txBody>
    </xdr:sp>
    <xdr:clientData/>
  </xdr:oneCellAnchor>
  <xdr:oneCellAnchor>
    <xdr:from>
      <xdr:col>8</xdr:col>
      <xdr:colOff>207818</xdr:colOff>
      <xdr:row>104</xdr:row>
      <xdr:rowOff>34635</xdr:rowOff>
    </xdr:from>
    <xdr:ext cx="358175" cy="31149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6898D93-8F44-AC4B-96D5-13568DC0357E}"/>
            </a:ext>
          </a:extLst>
        </xdr:cNvPr>
        <xdr:cNvSpPr txBox="1"/>
      </xdr:nvSpPr>
      <xdr:spPr>
        <a:xfrm>
          <a:off x="1058718" y="3158835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S3</a:t>
          </a:r>
        </a:p>
      </xdr:txBody>
    </xdr:sp>
    <xdr:clientData/>
  </xdr:oneCellAnchor>
  <xdr:oneCellAnchor>
    <xdr:from>
      <xdr:col>8</xdr:col>
      <xdr:colOff>219363</xdr:colOff>
      <xdr:row>110</xdr:row>
      <xdr:rowOff>115454</xdr:rowOff>
    </xdr:from>
    <xdr:ext cx="358175" cy="31149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D8642C-82C7-1D4F-9168-0F8745FA8E5D}"/>
            </a:ext>
          </a:extLst>
        </xdr:cNvPr>
        <xdr:cNvSpPr txBox="1"/>
      </xdr:nvSpPr>
      <xdr:spPr>
        <a:xfrm>
          <a:off x="1070263" y="4458854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S4</a:t>
          </a:r>
        </a:p>
      </xdr:txBody>
    </xdr:sp>
    <xdr:clientData/>
  </xdr:oneCellAnchor>
  <xdr:oneCellAnchor>
    <xdr:from>
      <xdr:col>8</xdr:col>
      <xdr:colOff>161637</xdr:colOff>
      <xdr:row>116</xdr:row>
      <xdr:rowOff>150092</xdr:rowOff>
    </xdr:from>
    <xdr:ext cx="358175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C64B230-3CD9-7E45-87A6-2EC55C242984}"/>
            </a:ext>
          </a:extLst>
        </xdr:cNvPr>
        <xdr:cNvSpPr txBox="1"/>
      </xdr:nvSpPr>
      <xdr:spPr>
        <a:xfrm>
          <a:off x="1012537" y="5712692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S5</a:t>
          </a:r>
        </a:p>
      </xdr:txBody>
    </xdr:sp>
    <xdr:clientData/>
  </xdr:oneCellAnchor>
  <xdr:oneCellAnchor>
    <xdr:from>
      <xdr:col>8</xdr:col>
      <xdr:colOff>161637</xdr:colOff>
      <xdr:row>123</xdr:row>
      <xdr:rowOff>23091</xdr:rowOff>
    </xdr:from>
    <xdr:ext cx="358175" cy="31149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A3157D2-1F1F-FA43-B67C-8B2DF4EC9664}"/>
            </a:ext>
          </a:extLst>
        </xdr:cNvPr>
        <xdr:cNvSpPr txBox="1"/>
      </xdr:nvSpPr>
      <xdr:spPr>
        <a:xfrm>
          <a:off x="1012537" y="7008091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S6</a:t>
          </a:r>
        </a:p>
      </xdr:txBody>
    </xdr:sp>
    <xdr:clientData/>
  </xdr:oneCellAnchor>
  <xdr:oneCellAnchor>
    <xdr:from>
      <xdr:col>8</xdr:col>
      <xdr:colOff>173182</xdr:colOff>
      <xdr:row>129</xdr:row>
      <xdr:rowOff>92363</xdr:rowOff>
    </xdr:from>
    <xdr:ext cx="358175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4841155-C7BA-324A-BCA1-33DE7077140C}"/>
            </a:ext>
          </a:extLst>
        </xdr:cNvPr>
        <xdr:cNvSpPr txBox="1"/>
      </xdr:nvSpPr>
      <xdr:spPr>
        <a:xfrm>
          <a:off x="1024082" y="8296563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S7</a:t>
          </a:r>
        </a:p>
      </xdr:txBody>
    </xdr:sp>
    <xdr:clientData/>
  </xdr:oneCellAnchor>
  <xdr:oneCellAnchor>
    <xdr:from>
      <xdr:col>8</xdr:col>
      <xdr:colOff>173182</xdr:colOff>
      <xdr:row>135</xdr:row>
      <xdr:rowOff>46181</xdr:rowOff>
    </xdr:from>
    <xdr:ext cx="358175" cy="31149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72DC783-02AA-F04E-A129-9CA2CDA413A1}"/>
            </a:ext>
          </a:extLst>
        </xdr:cNvPr>
        <xdr:cNvSpPr txBox="1"/>
      </xdr:nvSpPr>
      <xdr:spPr>
        <a:xfrm>
          <a:off x="1024082" y="9469581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S8</a:t>
          </a:r>
        </a:p>
      </xdr:txBody>
    </xdr:sp>
    <xdr:clientData/>
  </xdr:oneCellAnchor>
  <xdr:oneCellAnchor>
    <xdr:from>
      <xdr:col>8</xdr:col>
      <xdr:colOff>173182</xdr:colOff>
      <xdr:row>142</xdr:row>
      <xdr:rowOff>0</xdr:rowOff>
    </xdr:from>
    <xdr:ext cx="358175" cy="31149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628CFC8-01B6-FD45-B4E2-1225E242E081}"/>
            </a:ext>
          </a:extLst>
        </xdr:cNvPr>
        <xdr:cNvSpPr txBox="1"/>
      </xdr:nvSpPr>
      <xdr:spPr>
        <a:xfrm>
          <a:off x="1024082" y="10845800"/>
          <a:ext cx="358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S9</a:t>
          </a:r>
        </a:p>
      </xdr:txBody>
    </xdr:sp>
    <xdr:clientData/>
  </xdr:oneCellAnchor>
  <xdr:oneCellAnchor>
    <xdr:from>
      <xdr:col>8</xdr:col>
      <xdr:colOff>138545</xdr:colOff>
      <xdr:row>147</xdr:row>
      <xdr:rowOff>34637</xdr:rowOff>
    </xdr:from>
    <xdr:ext cx="449162" cy="31149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A3BC674-1F69-E44E-A7C0-B799328AF1B0}"/>
            </a:ext>
          </a:extLst>
        </xdr:cNvPr>
        <xdr:cNvSpPr txBox="1"/>
      </xdr:nvSpPr>
      <xdr:spPr>
        <a:xfrm>
          <a:off x="989445" y="11896437"/>
          <a:ext cx="44916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S10</a:t>
          </a:r>
        </a:p>
      </xdr:txBody>
    </xdr:sp>
    <xdr:clientData/>
  </xdr:oneCellAnchor>
  <xdr:oneCellAnchor>
    <xdr:from>
      <xdr:col>14</xdr:col>
      <xdr:colOff>242455</xdr:colOff>
      <xdr:row>92</xdr:row>
      <xdr:rowOff>57728</xdr:rowOff>
    </xdr:from>
    <xdr:ext cx="386131" cy="31149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2811D75-4DE5-644F-81E7-129E9FF5C211}"/>
            </a:ext>
          </a:extLst>
        </xdr:cNvPr>
        <xdr:cNvSpPr txBox="1"/>
      </xdr:nvSpPr>
      <xdr:spPr>
        <a:xfrm>
          <a:off x="6198755" y="667328"/>
          <a:ext cx="3861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D1</a:t>
          </a:r>
        </a:p>
      </xdr:txBody>
    </xdr:sp>
    <xdr:clientData/>
  </xdr:oneCellAnchor>
  <xdr:oneCellAnchor>
    <xdr:from>
      <xdr:col>14</xdr:col>
      <xdr:colOff>161637</xdr:colOff>
      <xdr:row>99</xdr:row>
      <xdr:rowOff>57726</xdr:rowOff>
    </xdr:from>
    <xdr:ext cx="386131" cy="31149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E6FA726-AD3E-7B45-9E35-ACCB127BB164}"/>
            </a:ext>
          </a:extLst>
        </xdr:cNvPr>
        <xdr:cNvSpPr txBox="1"/>
      </xdr:nvSpPr>
      <xdr:spPr>
        <a:xfrm>
          <a:off x="6117937" y="2165926"/>
          <a:ext cx="3861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D2</a:t>
          </a:r>
        </a:p>
      </xdr:txBody>
    </xdr:sp>
    <xdr:clientData/>
  </xdr:oneCellAnchor>
  <xdr:oneCellAnchor>
    <xdr:from>
      <xdr:col>14</xdr:col>
      <xdr:colOff>196273</xdr:colOff>
      <xdr:row>108</xdr:row>
      <xdr:rowOff>150091</xdr:rowOff>
    </xdr:from>
    <xdr:ext cx="386131" cy="31149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BA1FF98-BCA8-F340-A09D-ABE6C862489C}"/>
            </a:ext>
          </a:extLst>
        </xdr:cNvPr>
        <xdr:cNvSpPr txBox="1"/>
      </xdr:nvSpPr>
      <xdr:spPr>
        <a:xfrm>
          <a:off x="6152573" y="4087091"/>
          <a:ext cx="3861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D3</a:t>
          </a:r>
        </a:p>
      </xdr:txBody>
    </xdr:sp>
    <xdr:clientData/>
  </xdr:oneCellAnchor>
  <xdr:oneCellAnchor>
    <xdr:from>
      <xdr:col>14</xdr:col>
      <xdr:colOff>92364</xdr:colOff>
      <xdr:row>116</xdr:row>
      <xdr:rowOff>23092</xdr:rowOff>
    </xdr:from>
    <xdr:ext cx="386131" cy="31149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CCAD0AD-5DD4-A04E-96B0-317D5BE45B33}"/>
            </a:ext>
          </a:extLst>
        </xdr:cNvPr>
        <xdr:cNvSpPr txBox="1"/>
      </xdr:nvSpPr>
      <xdr:spPr>
        <a:xfrm>
          <a:off x="6048664" y="5585692"/>
          <a:ext cx="3861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D4</a:t>
          </a:r>
        </a:p>
      </xdr:txBody>
    </xdr:sp>
    <xdr:clientData/>
  </xdr:oneCellAnchor>
  <xdr:oneCellAnchor>
    <xdr:from>
      <xdr:col>14</xdr:col>
      <xdr:colOff>127001</xdr:colOff>
      <xdr:row>124</xdr:row>
      <xdr:rowOff>92364</xdr:rowOff>
    </xdr:from>
    <xdr:ext cx="386131" cy="38100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8174BCE-AFE2-974C-BF3F-436A06481B44}"/>
            </a:ext>
          </a:extLst>
        </xdr:cNvPr>
        <xdr:cNvSpPr txBox="1"/>
      </xdr:nvSpPr>
      <xdr:spPr>
        <a:xfrm>
          <a:off x="6083301" y="7280564"/>
          <a:ext cx="386131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/>
            <a:t>D5</a:t>
          </a:r>
        </a:p>
      </xdr:txBody>
    </xdr:sp>
    <xdr:clientData/>
  </xdr:oneCellAnchor>
  <xdr:twoCellAnchor>
    <xdr:from>
      <xdr:col>9</xdr:col>
      <xdr:colOff>34637</xdr:colOff>
      <xdr:row>100</xdr:row>
      <xdr:rowOff>46182</xdr:rowOff>
    </xdr:from>
    <xdr:to>
      <xdr:col>13</xdr:col>
      <xdr:colOff>611909</xdr:colOff>
      <xdr:row>111</xdr:row>
      <xdr:rowOff>23091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0EA7F04-77E5-854F-9804-F68AEAFB6521}"/>
            </a:ext>
          </a:extLst>
        </xdr:cNvPr>
        <xdr:cNvCxnSpPr/>
      </xdr:nvCxnSpPr>
      <xdr:spPr>
        <a:xfrm>
          <a:off x="1736437" y="2357582"/>
          <a:ext cx="3980872" cy="221210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127000</xdr:colOff>
      <xdr:row>101</xdr:row>
      <xdr:rowOff>69273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6E94D6E-0BAD-9846-B7B5-97A465C6AA72}"/>
            </a:ext>
          </a:extLst>
        </xdr:cNvPr>
        <xdr:cNvSpPr txBox="1"/>
      </xdr:nvSpPr>
      <xdr:spPr>
        <a:xfrm>
          <a:off x="2679700" y="25838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585130</xdr:colOff>
      <xdr:row>100</xdr:row>
      <xdr:rowOff>8659</xdr:rowOff>
    </xdr:from>
    <xdr:ext cx="333874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FFE6E2C-C68E-4849-81AD-24D34ABF450F}"/>
            </a:ext>
          </a:extLst>
        </xdr:cNvPr>
        <xdr:cNvSpPr txBox="1"/>
      </xdr:nvSpPr>
      <xdr:spPr>
        <a:xfrm rot="1982376">
          <a:off x="25651755" y="21297034"/>
          <a:ext cx="3338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X2</a:t>
          </a:r>
        </a:p>
      </xdr:txBody>
    </xdr:sp>
    <xdr:clientData/>
  </xdr:oneCellAnchor>
  <xdr:twoCellAnchor>
    <xdr:from>
      <xdr:col>9</xdr:col>
      <xdr:colOff>115455</xdr:colOff>
      <xdr:row>113</xdr:row>
      <xdr:rowOff>161637</xdr:rowOff>
    </xdr:from>
    <xdr:to>
      <xdr:col>13</xdr:col>
      <xdr:colOff>542636</xdr:colOff>
      <xdr:row>118</xdr:row>
      <xdr:rowOff>115454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FC8B150-D074-9B43-91A9-8147174F155E}"/>
            </a:ext>
          </a:extLst>
        </xdr:cNvPr>
        <xdr:cNvCxnSpPr/>
      </xdr:nvCxnSpPr>
      <xdr:spPr>
        <a:xfrm>
          <a:off x="1817255" y="5114637"/>
          <a:ext cx="3830781" cy="9698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528847</xdr:colOff>
      <xdr:row>113</xdr:row>
      <xdr:rowOff>46182</xdr:rowOff>
    </xdr:from>
    <xdr:ext cx="33387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8F28554-4FB5-EA4B-8F4A-D11CF6D24438}"/>
            </a:ext>
          </a:extLst>
        </xdr:cNvPr>
        <xdr:cNvSpPr txBox="1"/>
      </xdr:nvSpPr>
      <xdr:spPr>
        <a:xfrm rot="875285">
          <a:off x="2230647" y="4999182"/>
          <a:ext cx="3338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X7</a:t>
          </a:r>
        </a:p>
      </xdr:txBody>
    </xdr:sp>
    <xdr:clientData/>
  </xdr:oneCellAnchor>
  <xdr:twoCellAnchor>
    <xdr:from>
      <xdr:col>8</xdr:col>
      <xdr:colOff>831272</xdr:colOff>
      <xdr:row>103</xdr:row>
      <xdr:rowOff>150091</xdr:rowOff>
    </xdr:from>
    <xdr:to>
      <xdr:col>13</xdr:col>
      <xdr:colOff>727363</xdr:colOff>
      <xdr:row>120</xdr:row>
      <xdr:rowOff>11546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DAB48A5-CD6E-464D-A2A9-9A50FB4CFECF}"/>
            </a:ext>
          </a:extLst>
        </xdr:cNvPr>
        <xdr:cNvCxnSpPr/>
      </xdr:nvCxnSpPr>
      <xdr:spPr>
        <a:xfrm flipV="1">
          <a:off x="1682172" y="3071091"/>
          <a:ext cx="4150591" cy="331585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250313</xdr:colOff>
      <xdr:row>118</xdr:row>
      <xdr:rowOff>0</xdr:rowOff>
    </xdr:from>
    <xdr:ext cx="33387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38C780E-8829-7045-81D6-00D699DB88BA}"/>
            </a:ext>
          </a:extLst>
        </xdr:cNvPr>
        <xdr:cNvSpPr txBox="1"/>
      </xdr:nvSpPr>
      <xdr:spPr>
        <a:xfrm rot="19716422">
          <a:off x="25316938" y="25066625"/>
          <a:ext cx="3338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X9</a:t>
          </a:r>
        </a:p>
      </xdr:txBody>
    </xdr:sp>
    <xdr:clientData/>
  </xdr:oneCellAnchor>
  <xdr:twoCellAnchor>
    <xdr:from>
      <xdr:col>8</xdr:col>
      <xdr:colOff>842818</xdr:colOff>
      <xdr:row>120</xdr:row>
      <xdr:rowOff>69273</xdr:rowOff>
    </xdr:from>
    <xdr:to>
      <xdr:col>13</xdr:col>
      <xdr:colOff>565727</xdr:colOff>
      <xdr:row>126</xdr:row>
      <xdr:rowOff>184727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8DB6A7-AF3C-464D-9574-5A40B415D110}"/>
            </a:ext>
          </a:extLst>
        </xdr:cNvPr>
        <xdr:cNvCxnSpPr/>
      </xdr:nvCxnSpPr>
      <xdr:spPr>
        <a:xfrm>
          <a:off x="1693718" y="6444673"/>
          <a:ext cx="3977409" cy="133465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520207</xdr:colOff>
      <xdr:row>121</xdr:row>
      <xdr:rowOff>114508</xdr:rowOff>
    </xdr:from>
    <xdr:ext cx="531123" cy="626792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D52F7B3-FEAB-B24C-8E17-8AFE6E8AD90D}"/>
            </a:ext>
          </a:extLst>
        </xdr:cNvPr>
        <xdr:cNvSpPr txBox="1"/>
      </xdr:nvSpPr>
      <xdr:spPr>
        <a:xfrm rot="1543318">
          <a:off x="27206082" y="25800258"/>
          <a:ext cx="531123" cy="626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X11</a:t>
          </a:r>
        </a:p>
      </xdr:txBody>
    </xdr:sp>
    <xdr:clientData/>
  </xdr:oneCellAnchor>
  <xdr:twoCellAnchor>
    <xdr:from>
      <xdr:col>9</xdr:col>
      <xdr:colOff>23091</xdr:colOff>
      <xdr:row>95</xdr:row>
      <xdr:rowOff>150091</xdr:rowOff>
    </xdr:from>
    <xdr:to>
      <xdr:col>13</xdr:col>
      <xdr:colOff>750454</xdr:colOff>
      <xdr:row>126</xdr:row>
      <xdr:rowOff>57727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7564071-7BDD-084D-B56B-4C3C452C8B1E}"/>
            </a:ext>
          </a:extLst>
        </xdr:cNvPr>
        <xdr:cNvCxnSpPr/>
      </xdr:nvCxnSpPr>
      <xdr:spPr>
        <a:xfrm flipV="1">
          <a:off x="1724891" y="1407391"/>
          <a:ext cx="4130963" cy="6244936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1284120</xdr:colOff>
      <xdr:row>119</xdr:row>
      <xdr:rowOff>1752</xdr:rowOff>
    </xdr:from>
    <xdr:ext cx="264560" cy="40536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F71DAED-4AD8-7F4E-852D-46DD9020A46E}"/>
            </a:ext>
          </a:extLst>
        </xdr:cNvPr>
        <xdr:cNvSpPr txBox="1"/>
      </xdr:nvSpPr>
      <xdr:spPr>
        <a:xfrm rot="18227820">
          <a:off x="26280341" y="25345156"/>
          <a:ext cx="4053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X12</a:t>
          </a:r>
        </a:p>
      </xdr:txBody>
    </xdr:sp>
    <xdr:clientData/>
  </xdr:oneCellAnchor>
  <xdr:twoCellAnchor>
    <xdr:from>
      <xdr:col>9</xdr:col>
      <xdr:colOff>11546</xdr:colOff>
      <xdr:row>104</xdr:row>
      <xdr:rowOff>34636</xdr:rowOff>
    </xdr:from>
    <xdr:to>
      <xdr:col>13</xdr:col>
      <xdr:colOff>819727</xdr:colOff>
      <xdr:row>126</xdr:row>
      <xdr:rowOff>92363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0124B8C-BADA-EA42-93AD-A469DA8E47C0}"/>
            </a:ext>
          </a:extLst>
        </xdr:cNvPr>
        <xdr:cNvCxnSpPr/>
      </xdr:nvCxnSpPr>
      <xdr:spPr>
        <a:xfrm flipV="1">
          <a:off x="1713346" y="3158836"/>
          <a:ext cx="4211781" cy="4528127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526531</xdr:colOff>
      <xdr:row>117</xdr:row>
      <xdr:rowOff>118321</xdr:rowOff>
    </xdr:from>
    <xdr:ext cx="875427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20FAE4E-58DE-434B-B8AF-9B04FE629A3E}"/>
            </a:ext>
          </a:extLst>
        </xdr:cNvPr>
        <xdr:cNvSpPr txBox="1"/>
      </xdr:nvSpPr>
      <xdr:spPr>
        <a:xfrm rot="19094562">
          <a:off x="27212406" y="24978571"/>
          <a:ext cx="8754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X13</a:t>
          </a:r>
        </a:p>
      </xdr:txBody>
    </xdr:sp>
    <xdr:clientData/>
  </xdr:oneCellAnchor>
  <xdr:twoCellAnchor>
    <xdr:from>
      <xdr:col>9</xdr:col>
      <xdr:colOff>34637</xdr:colOff>
      <xdr:row>104</xdr:row>
      <xdr:rowOff>158750</xdr:rowOff>
    </xdr:from>
    <xdr:to>
      <xdr:col>13</xdr:col>
      <xdr:colOff>1000125</xdr:colOff>
      <xdr:row>148</xdr:row>
      <xdr:rowOff>115454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7BCA89F-4B09-EE4A-8C5B-A4CEFA13CAA5}"/>
            </a:ext>
          </a:extLst>
        </xdr:cNvPr>
        <xdr:cNvCxnSpPr/>
      </xdr:nvCxnSpPr>
      <xdr:spPr>
        <a:xfrm flipV="1">
          <a:off x="25101262" y="22272625"/>
          <a:ext cx="7934613" cy="9148329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810967</xdr:colOff>
      <xdr:row>140</xdr:row>
      <xdr:rowOff>121539</xdr:rowOff>
    </xdr:from>
    <xdr:ext cx="264560" cy="80280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3D03B4B-AB2B-9B49-B0DA-30F816343047}"/>
            </a:ext>
          </a:extLst>
        </xdr:cNvPr>
        <xdr:cNvSpPr txBox="1"/>
      </xdr:nvSpPr>
      <xdr:spPr>
        <a:xfrm rot="17854704">
          <a:off x="25608468" y="30045163"/>
          <a:ext cx="8028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X19</a:t>
          </a:r>
        </a:p>
      </xdr:txBody>
    </xdr:sp>
    <xdr:clientData/>
  </xdr:oneCellAnchor>
  <xdr:twoCellAnchor>
    <xdr:from>
      <xdr:col>9</xdr:col>
      <xdr:colOff>34635</xdr:colOff>
      <xdr:row>130</xdr:row>
      <xdr:rowOff>47625</xdr:rowOff>
    </xdr:from>
    <xdr:to>
      <xdr:col>13</xdr:col>
      <xdr:colOff>587375</xdr:colOff>
      <xdr:row>149</xdr:row>
      <xdr:rowOff>23092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D6487-2BFC-1543-9AF2-FCB3185B8FDF}"/>
            </a:ext>
          </a:extLst>
        </xdr:cNvPr>
        <xdr:cNvCxnSpPr/>
      </xdr:nvCxnSpPr>
      <xdr:spPr>
        <a:xfrm flipV="1">
          <a:off x="25101260" y="27590750"/>
          <a:ext cx="7521865" cy="3944217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1117644</xdr:colOff>
      <xdr:row>144</xdr:row>
      <xdr:rowOff>125450</xdr:rowOff>
    </xdr:from>
    <xdr:ext cx="745449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8F9303-5036-654C-A434-714C9E01F736}"/>
            </a:ext>
          </a:extLst>
        </xdr:cNvPr>
        <xdr:cNvSpPr txBox="1"/>
      </xdr:nvSpPr>
      <xdr:spPr>
        <a:xfrm rot="19128665">
          <a:off x="26184269" y="30605450"/>
          <a:ext cx="74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X22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AA3B-6CC7-B041-B09F-6260F4448BBB}">
  <dimension ref="A1:Y140"/>
  <sheetViews>
    <sheetView tabSelected="1" zoomScale="75" zoomScaleNormal="80" workbookViewId="0">
      <selection activeCell="N146" sqref="N146"/>
    </sheetView>
  </sheetViews>
  <sheetFormatPr baseColWidth="10" defaultColWidth="11.1640625" defaultRowHeight="16" x14ac:dyDescent="0.2"/>
  <cols>
    <col min="1" max="1" width="40.1640625" customWidth="1"/>
    <col min="2" max="2" width="49.1640625" bestFit="1" customWidth="1"/>
    <col min="3" max="3" width="26.83203125" bestFit="1" customWidth="1"/>
    <col min="4" max="4" width="42.33203125" bestFit="1" customWidth="1"/>
    <col min="5" max="5" width="49.1640625" bestFit="1" customWidth="1"/>
    <col min="6" max="6" width="18.33203125" bestFit="1" customWidth="1"/>
    <col min="7" max="7" width="53.83203125" customWidth="1"/>
    <col min="8" max="8" width="38" bestFit="1" customWidth="1"/>
    <col min="10" max="10" width="21.1640625" bestFit="1" customWidth="1"/>
    <col min="11" max="11" width="16.83203125" bestFit="1" customWidth="1"/>
    <col min="12" max="12" width="35" customWidth="1"/>
    <col min="13" max="13" width="18.33203125" bestFit="1" customWidth="1"/>
    <col min="14" max="14" width="20" bestFit="1" customWidth="1"/>
    <col min="20" max="20" width="13" bestFit="1" customWidth="1"/>
    <col min="23" max="23" width="15.5" bestFit="1" customWidth="1"/>
    <col min="24" max="24" width="14.5" bestFit="1" customWidth="1"/>
  </cols>
  <sheetData>
    <row r="1" spans="1:6" ht="17" thickBot="1" x14ac:dyDescent="0.25">
      <c r="A1" s="19" t="s">
        <v>59</v>
      </c>
    </row>
    <row r="2" spans="1:6" x14ac:dyDescent="0.2">
      <c r="A2" s="3" t="s">
        <v>56</v>
      </c>
      <c r="B2" s="28" t="s">
        <v>125</v>
      </c>
    </row>
    <row r="3" spans="1:6" x14ac:dyDescent="0.2">
      <c r="A3" s="7" t="s">
        <v>57</v>
      </c>
      <c r="B3" s="6" t="s">
        <v>122</v>
      </c>
    </row>
    <row r="4" spans="1:6" ht="17" thickBot="1" x14ac:dyDescent="0.25">
      <c r="A4" s="9" t="s">
        <v>58</v>
      </c>
      <c r="B4" s="16"/>
    </row>
    <row r="5" spans="1:6" x14ac:dyDescent="0.2">
      <c r="A5" s="15"/>
    </row>
    <row r="6" spans="1:6" ht="17" thickBot="1" x14ac:dyDescent="0.25">
      <c r="A6" s="15"/>
    </row>
    <row r="7" spans="1:6" ht="17" thickBot="1" x14ac:dyDescent="0.25">
      <c r="E7" s="21" t="s">
        <v>118</v>
      </c>
      <c r="F7" s="12"/>
    </row>
    <row r="8" spans="1:6" ht="17" thickBot="1" x14ac:dyDescent="0.25">
      <c r="E8" s="24" t="s">
        <v>18</v>
      </c>
      <c r="F8" s="43">
        <f>0.37</f>
        <v>0.37</v>
      </c>
    </row>
    <row r="9" spans="1:6" ht="17" thickBot="1" x14ac:dyDescent="0.25">
      <c r="A9" s="21" t="s">
        <v>116</v>
      </c>
      <c r="B9" s="11"/>
      <c r="C9" s="12"/>
      <c r="E9" s="25" t="s">
        <v>19</v>
      </c>
      <c r="F9" s="43">
        <f>0.03</f>
        <v>0.03</v>
      </c>
    </row>
    <row r="10" spans="1:6" ht="17" thickBot="1" x14ac:dyDescent="0.25">
      <c r="A10" s="21" t="s">
        <v>0</v>
      </c>
      <c r="B10" s="22" t="s">
        <v>6</v>
      </c>
      <c r="C10" s="23" t="s">
        <v>7</v>
      </c>
      <c r="E10" s="25" t="s">
        <v>20</v>
      </c>
      <c r="F10" s="43">
        <f>4.63</f>
        <v>4.63</v>
      </c>
    </row>
    <row r="11" spans="1:6" ht="17" thickBot="1" x14ac:dyDescent="0.25">
      <c r="A11" s="24" t="s">
        <v>1</v>
      </c>
      <c r="B11" s="15">
        <f>75000</f>
        <v>75000</v>
      </c>
      <c r="C11" s="6">
        <f>23000</f>
        <v>23000</v>
      </c>
      <c r="E11" s="26" t="s">
        <v>21</v>
      </c>
      <c r="F11" s="46">
        <f>0.1</f>
        <v>0.1</v>
      </c>
    </row>
    <row r="12" spans="1:6" ht="17" thickBot="1" x14ac:dyDescent="0.25">
      <c r="A12" s="25" t="s">
        <v>2</v>
      </c>
      <c r="B12" s="15">
        <f>115000</f>
        <v>115000</v>
      </c>
      <c r="C12" s="6">
        <f>65000</f>
        <v>65000</v>
      </c>
    </row>
    <row r="13" spans="1:6" ht="17" thickBot="1" x14ac:dyDescent="0.25">
      <c r="A13" s="25" t="s">
        <v>3</v>
      </c>
      <c r="B13" s="15">
        <f>85000</f>
        <v>85000</v>
      </c>
      <c r="C13" s="6">
        <f>105000</f>
        <v>105000</v>
      </c>
      <c r="E13" s="21" t="s">
        <v>107</v>
      </c>
      <c r="F13" s="12"/>
    </row>
    <row r="14" spans="1:6" ht="17" thickBot="1" x14ac:dyDescent="0.25">
      <c r="A14" s="25" t="s">
        <v>4</v>
      </c>
      <c r="B14" s="15">
        <f>69000</f>
        <v>69000</v>
      </c>
      <c r="C14" s="6">
        <f>45000</f>
        <v>45000</v>
      </c>
      <c r="E14" s="21"/>
      <c r="F14" s="23" t="s">
        <v>114</v>
      </c>
    </row>
    <row r="15" spans="1:6" ht="17" thickBot="1" x14ac:dyDescent="0.25">
      <c r="A15" s="26" t="s">
        <v>5</v>
      </c>
      <c r="B15" s="10">
        <f>95000</f>
        <v>95000</v>
      </c>
      <c r="C15" s="16">
        <f>1050000</f>
        <v>1050000</v>
      </c>
      <c r="E15" s="34" t="s">
        <v>108</v>
      </c>
      <c r="F15" s="43">
        <f>B44</f>
        <v>1716860670</v>
      </c>
    </row>
    <row r="16" spans="1:6" ht="17" thickBot="1" x14ac:dyDescent="0.25">
      <c r="A16" s="36"/>
      <c r="B16" s="37"/>
      <c r="C16" s="38"/>
      <c r="E16" s="34" t="s">
        <v>109</v>
      </c>
      <c r="F16" s="43">
        <f>E44</f>
        <v>2483469180</v>
      </c>
    </row>
    <row r="17" spans="1:6" ht="17" thickBot="1" x14ac:dyDescent="0.25">
      <c r="A17" s="17" t="s">
        <v>117</v>
      </c>
      <c r="B17" s="15"/>
      <c r="C17" s="6"/>
      <c r="E17" s="34" t="s">
        <v>110</v>
      </c>
      <c r="F17" s="43">
        <f>C108</f>
        <v>41608050</v>
      </c>
    </row>
    <row r="18" spans="1:6" ht="17" thickBot="1" x14ac:dyDescent="0.25">
      <c r="A18" s="21" t="s">
        <v>0</v>
      </c>
      <c r="B18" s="22" t="s">
        <v>6</v>
      </c>
      <c r="C18" s="23" t="s">
        <v>7</v>
      </c>
      <c r="E18" s="34" t="s">
        <v>111</v>
      </c>
      <c r="F18" s="43">
        <f>C134</f>
        <v>119436350.00008753</v>
      </c>
    </row>
    <row r="19" spans="1:6" x14ac:dyDescent="0.2">
      <c r="A19" s="24" t="s">
        <v>1</v>
      </c>
      <c r="B19" s="15">
        <f t="shared" ref="B19:C23" si="0">B11/2</f>
        <v>37500</v>
      </c>
      <c r="C19" s="6">
        <f t="shared" si="0"/>
        <v>11500</v>
      </c>
      <c r="E19" s="34" t="s">
        <v>112</v>
      </c>
      <c r="F19" s="43">
        <f>F15-F17</f>
        <v>1675252620</v>
      </c>
    </row>
    <row r="20" spans="1:6" x14ac:dyDescent="0.2">
      <c r="A20" s="25" t="s">
        <v>2</v>
      </c>
      <c r="B20" s="15">
        <f t="shared" si="0"/>
        <v>57500</v>
      </c>
      <c r="C20" s="6">
        <f t="shared" si="0"/>
        <v>32500</v>
      </c>
      <c r="E20" s="34" t="s">
        <v>113</v>
      </c>
      <c r="F20" s="43">
        <f>F16-F18</f>
        <v>2364032829.9999123</v>
      </c>
    </row>
    <row r="21" spans="1:6" x14ac:dyDescent="0.2">
      <c r="A21" s="25" t="s">
        <v>3</v>
      </c>
      <c r="B21" s="15">
        <f t="shared" si="0"/>
        <v>42500</v>
      </c>
      <c r="C21" s="6">
        <f t="shared" si="0"/>
        <v>52500</v>
      </c>
      <c r="E21" s="34"/>
      <c r="F21" s="6"/>
    </row>
    <row r="22" spans="1:6" x14ac:dyDescent="0.2">
      <c r="A22" s="25" t="s">
        <v>4</v>
      </c>
      <c r="B22" s="15">
        <f t="shared" si="0"/>
        <v>34500</v>
      </c>
      <c r="C22" s="6">
        <f t="shared" si="0"/>
        <v>22500</v>
      </c>
      <c r="E22" s="34" t="s">
        <v>115</v>
      </c>
      <c r="F22" s="6"/>
    </row>
    <row r="23" spans="1:6" ht="17" thickBot="1" x14ac:dyDescent="0.25">
      <c r="A23" s="26" t="s">
        <v>5</v>
      </c>
      <c r="B23" s="10">
        <f t="shared" si="0"/>
        <v>47500</v>
      </c>
      <c r="C23" s="16">
        <f t="shared" si="0"/>
        <v>525000</v>
      </c>
      <c r="E23" s="34" t="s">
        <v>123</v>
      </c>
      <c r="F23" s="44">
        <f>F19/F15</f>
        <v>0.97576503980372498</v>
      </c>
    </row>
    <row r="24" spans="1:6" ht="17" thickBot="1" x14ac:dyDescent="0.25">
      <c r="E24" s="35" t="s">
        <v>124</v>
      </c>
      <c r="F24" s="45">
        <f>F20/F16</f>
        <v>0.9519074563268437</v>
      </c>
    </row>
    <row r="26" spans="1:6" ht="17" thickBot="1" x14ac:dyDescent="0.25"/>
    <row r="27" spans="1:6" ht="17" thickBot="1" x14ac:dyDescent="0.25">
      <c r="A27" s="30" t="s">
        <v>51</v>
      </c>
      <c r="B27" s="31" t="s">
        <v>52</v>
      </c>
      <c r="C27" s="31" t="s">
        <v>53</v>
      </c>
      <c r="D27" s="31" t="s">
        <v>120</v>
      </c>
      <c r="E27" s="31" t="s">
        <v>54</v>
      </c>
      <c r="F27" s="23" t="s">
        <v>55</v>
      </c>
    </row>
    <row r="28" spans="1:6" x14ac:dyDescent="0.2">
      <c r="A28" s="24" t="s">
        <v>8</v>
      </c>
      <c r="B28" s="8">
        <v>91768</v>
      </c>
      <c r="C28" s="8">
        <f>125000</f>
        <v>125000</v>
      </c>
      <c r="D28" s="8">
        <f>10</f>
        <v>10</v>
      </c>
      <c r="E28" s="8">
        <f>C28/2</f>
        <v>62500</v>
      </c>
      <c r="F28" s="6">
        <f>E28</f>
        <v>62500</v>
      </c>
    </row>
    <row r="29" spans="1:6" x14ac:dyDescent="0.2">
      <c r="A29" s="25" t="s">
        <v>9</v>
      </c>
      <c r="B29" s="2">
        <v>89501</v>
      </c>
      <c r="C29" s="2">
        <f>100000</f>
        <v>100000</v>
      </c>
      <c r="D29" s="2">
        <f>6.5</f>
        <v>6.5</v>
      </c>
      <c r="E29" s="2">
        <f t="shared" ref="E29:E37" si="1">C29/2</f>
        <v>50000</v>
      </c>
      <c r="F29" s="6">
        <f t="shared" ref="F29:F37" si="2">E29</f>
        <v>50000</v>
      </c>
    </row>
    <row r="30" spans="1:6" x14ac:dyDescent="0.2">
      <c r="A30" s="25" t="s">
        <v>10</v>
      </c>
      <c r="B30" s="2">
        <v>82601</v>
      </c>
      <c r="C30" s="2">
        <f>75000</f>
        <v>75000</v>
      </c>
      <c r="D30" s="2">
        <f>4.25</f>
        <v>4.25</v>
      </c>
      <c r="E30" s="2">
        <f t="shared" si="1"/>
        <v>37500</v>
      </c>
      <c r="F30" s="6">
        <f t="shared" si="2"/>
        <v>37500</v>
      </c>
    </row>
    <row r="31" spans="1:6" x14ac:dyDescent="0.2">
      <c r="A31" s="25" t="s">
        <v>11</v>
      </c>
      <c r="B31" s="2">
        <v>75201</v>
      </c>
      <c r="C31" s="2">
        <f>75000</f>
        <v>75000</v>
      </c>
      <c r="D31" s="2">
        <f>8</f>
        <v>8</v>
      </c>
      <c r="E31" s="2">
        <f t="shared" si="1"/>
        <v>37500</v>
      </c>
      <c r="F31" s="6">
        <f t="shared" si="2"/>
        <v>37500</v>
      </c>
    </row>
    <row r="32" spans="1:6" x14ac:dyDescent="0.2">
      <c r="A32" s="25" t="s">
        <v>12</v>
      </c>
      <c r="B32" s="2">
        <v>66952</v>
      </c>
      <c r="C32" s="2">
        <f>50000</f>
        <v>50000</v>
      </c>
      <c r="D32" s="2">
        <f>4.25</f>
        <v>4.25</v>
      </c>
      <c r="E32" s="2">
        <f t="shared" si="1"/>
        <v>25000</v>
      </c>
      <c r="F32" s="6">
        <f t="shared" si="2"/>
        <v>25000</v>
      </c>
    </row>
    <row r="33" spans="1:9" x14ac:dyDescent="0.2">
      <c r="A33" s="25" t="s">
        <v>13</v>
      </c>
      <c r="B33" s="2">
        <v>72201</v>
      </c>
      <c r="C33" s="2">
        <f>75000</f>
        <v>75000</v>
      </c>
      <c r="D33" s="2">
        <f>5.5</f>
        <v>5.5</v>
      </c>
      <c r="E33" s="2">
        <f t="shared" si="1"/>
        <v>37500</v>
      </c>
      <c r="F33" s="6">
        <f t="shared" si="2"/>
        <v>37500</v>
      </c>
    </row>
    <row r="34" spans="1:9" x14ac:dyDescent="0.2">
      <c r="A34" s="25" t="s">
        <v>14</v>
      </c>
      <c r="B34" s="2">
        <v>80201</v>
      </c>
      <c r="C34" s="2">
        <f>50000</f>
        <v>50000</v>
      </c>
      <c r="D34" s="2">
        <f>8</f>
        <v>8</v>
      </c>
      <c r="E34" s="2">
        <f t="shared" si="1"/>
        <v>25000</v>
      </c>
      <c r="F34" s="6">
        <f t="shared" si="2"/>
        <v>25000</v>
      </c>
    </row>
    <row r="35" spans="1:9" x14ac:dyDescent="0.2">
      <c r="A35" s="25" t="s">
        <v>15</v>
      </c>
      <c r="B35" s="2">
        <v>97401</v>
      </c>
      <c r="C35" s="2">
        <f>100000</f>
        <v>100000</v>
      </c>
      <c r="D35" s="2">
        <f>7</f>
        <v>7</v>
      </c>
      <c r="E35" s="2">
        <f t="shared" si="1"/>
        <v>50000</v>
      </c>
      <c r="F35" s="6">
        <f t="shared" si="2"/>
        <v>50000</v>
      </c>
    </row>
    <row r="36" spans="1:9" x14ac:dyDescent="0.2">
      <c r="A36" s="25" t="s">
        <v>16</v>
      </c>
      <c r="B36" s="2">
        <v>87104</v>
      </c>
      <c r="C36" s="2">
        <f>50000</f>
        <v>50000</v>
      </c>
      <c r="D36" s="2">
        <f>6.5</f>
        <v>6.5</v>
      </c>
      <c r="E36" s="2">
        <f t="shared" si="1"/>
        <v>25000</v>
      </c>
      <c r="F36" s="6">
        <f t="shared" si="2"/>
        <v>25000</v>
      </c>
    </row>
    <row r="37" spans="1:9" ht="17" thickBot="1" x14ac:dyDescent="0.25">
      <c r="A37" s="26" t="s">
        <v>17</v>
      </c>
      <c r="B37" s="29">
        <v>52401</v>
      </c>
      <c r="C37" s="29">
        <f>50000</f>
        <v>50000</v>
      </c>
      <c r="D37" s="29">
        <f>5.5</f>
        <v>5.5</v>
      </c>
      <c r="E37" s="29">
        <f t="shared" si="1"/>
        <v>25000</v>
      </c>
      <c r="F37" s="16">
        <f t="shared" si="2"/>
        <v>25000</v>
      </c>
    </row>
    <row r="38" spans="1:9" x14ac:dyDescent="0.2">
      <c r="E38" s="4"/>
    </row>
    <row r="39" spans="1:9" ht="17" thickBot="1" x14ac:dyDescent="0.25"/>
    <row r="40" spans="1:9" x14ac:dyDescent="0.2">
      <c r="A40" s="33" t="s">
        <v>60</v>
      </c>
      <c r="B40" s="39">
        <f>SUM(B19:B23)</f>
        <v>219500</v>
      </c>
      <c r="C40" s="5"/>
      <c r="D40" s="33" t="s">
        <v>95</v>
      </c>
      <c r="E40" s="39">
        <f>SUM(B11:B15)</f>
        <v>439000</v>
      </c>
      <c r="F40" s="4"/>
      <c r="G40" s="4"/>
      <c r="H40" s="4"/>
      <c r="I40" s="5"/>
    </row>
    <row r="41" spans="1:9" x14ac:dyDescent="0.2">
      <c r="A41" s="34" t="s">
        <v>61</v>
      </c>
      <c r="B41" s="40">
        <f>2</f>
        <v>2</v>
      </c>
      <c r="C41" s="6"/>
      <c r="D41" s="34" t="s">
        <v>61</v>
      </c>
      <c r="E41" s="40">
        <f>5</f>
        <v>5</v>
      </c>
      <c r="F41" s="15"/>
      <c r="G41" s="15"/>
      <c r="H41" s="15"/>
      <c r="I41" s="6"/>
    </row>
    <row r="42" spans="1:9" x14ac:dyDescent="0.2">
      <c r="A42" s="34" t="s">
        <v>119</v>
      </c>
      <c r="B42" s="41" t="s">
        <v>64</v>
      </c>
      <c r="C42" s="6"/>
      <c r="D42" s="34" t="s">
        <v>119</v>
      </c>
      <c r="E42" s="41" t="s">
        <v>96</v>
      </c>
      <c r="F42" s="15"/>
      <c r="G42" s="15"/>
      <c r="H42" s="15"/>
      <c r="I42" s="6"/>
    </row>
    <row r="43" spans="1:9" x14ac:dyDescent="0.2">
      <c r="A43" s="34" t="s">
        <v>62</v>
      </c>
      <c r="B43" s="40">
        <f>C28+C29</f>
        <v>225000</v>
      </c>
      <c r="C43" s="6"/>
      <c r="D43" s="34" t="s">
        <v>62</v>
      </c>
      <c r="E43" s="40">
        <f>C28+C29+C30+C34+C35</f>
        <v>450000</v>
      </c>
      <c r="F43" s="15"/>
      <c r="G43" s="15"/>
      <c r="H43" s="15"/>
      <c r="I43" s="6"/>
    </row>
    <row r="44" spans="1:9" ht="17" thickBot="1" x14ac:dyDescent="0.25">
      <c r="A44" s="34" t="s">
        <v>63</v>
      </c>
      <c r="B44" s="51">
        <f>(B59*D28)+(C59*D29)+(C67*D29)+F28+F29+(B55*B48*F10)+(B57*B50*F10)+(B58*B51*F10)+(C54*C47*F10)+(C58*C51*F10)+(C64*C49*F8)</f>
        <v>1716860670</v>
      </c>
      <c r="C44" s="6"/>
      <c r="D44" s="35" t="s">
        <v>63</v>
      </c>
      <c r="E44" s="52">
        <f>(E59*D28)+(F59*D29)+(G67*D30)+(H67*D34)+((I59+I67)*D35)+E28+E29+E30+E34+E35+(E55*E48*F10)+(F54*F47*F10)+(F58*F51*F10)+(I54*I47*F10)+(G65*G50*F8)+(H65*H50*F8)+(I64*I49*F8)</f>
        <v>2483469180</v>
      </c>
      <c r="F44" s="10"/>
      <c r="G44" s="15"/>
      <c r="H44" s="15"/>
      <c r="I44" s="6"/>
    </row>
    <row r="45" spans="1:9" ht="17" thickBot="1" x14ac:dyDescent="0.25">
      <c r="A45" s="36"/>
      <c r="B45" s="37"/>
      <c r="C45" s="38"/>
      <c r="D45" s="36"/>
      <c r="E45" s="37"/>
      <c r="F45" s="37"/>
      <c r="G45" s="37"/>
      <c r="H45" s="37"/>
      <c r="I45" s="38"/>
    </row>
    <row r="46" spans="1:9" x14ac:dyDescent="0.2">
      <c r="A46" s="33"/>
      <c r="B46" s="27" t="s">
        <v>8</v>
      </c>
      <c r="C46" s="28" t="s">
        <v>9</v>
      </c>
      <c r="D46" s="33"/>
      <c r="E46" s="27" t="s">
        <v>8</v>
      </c>
      <c r="F46" s="27" t="s">
        <v>9</v>
      </c>
      <c r="G46" s="27" t="s">
        <v>10</v>
      </c>
      <c r="H46" s="27" t="s">
        <v>14</v>
      </c>
      <c r="I46" s="28" t="s">
        <v>15</v>
      </c>
    </row>
    <row r="47" spans="1:9" x14ac:dyDescent="0.2">
      <c r="A47" s="42" t="s">
        <v>1</v>
      </c>
      <c r="B47" s="15">
        <f t="shared" ref="B47:C50" si="3">C73</f>
        <v>2762</v>
      </c>
      <c r="C47" s="6">
        <f t="shared" si="3"/>
        <v>2686</v>
      </c>
      <c r="D47" s="42" t="s">
        <v>1</v>
      </c>
      <c r="E47" s="15">
        <f t="shared" ref="E47:G51" si="4">C73</f>
        <v>2762</v>
      </c>
      <c r="F47" s="15">
        <f t="shared" si="4"/>
        <v>2686</v>
      </c>
      <c r="G47" s="15">
        <f t="shared" si="4"/>
        <v>1867</v>
      </c>
      <c r="H47" s="15">
        <f t="shared" ref="H47:I51" si="5">I73</f>
        <v>1779</v>
      </c>
      <c r="I47" s="6">
        <f t="shared" si="5"/>
        <v>2910</v>
      </c>
    </row>
    <row r="48" spans="1:9" x14ac:dyDescent="0.2">
      <c r="A48" s="42" t="s">
        <v>2</v>
      </c>
      <c r="B48" s="15">
        <f t="shared" si="3"/>
        <v>2146</v>
      </c>
      <c r="C48" s="6">
        <f t="shared" si="3"/>
        <v>2424</v>
      </c>
      <c r="D48" s="42" t="s">
        <v>2</v>
      </c>
      <c r="E48" s="15">
        <f t="shared" si="4"/>
        <v>2146</v>
      </c>
      <c r="F48" s="15">
        <f t="shared" si="4"/>
        <v>2424</v>
      </c>
      <c r="G48" s="15">
        <f t="shared" si="4"/>
        <v>1583</v>
      </c>
      <c r="H48" s="15">
        <f t="shared" si="5"/>
        <v>1403</v>
      </c>
      <c r="I48" s="6">
        <f t="shared" si="5"/>
        <v>2648</v>
      </c>
    </row>
    <row r="49" spans="1:9" x14ac:dyDescent="0.2">
      <c r="A49" s="42" t="s">
        <v>38</v>
      </c>
      <c r="B49" s="15">
        <f t="shared" si="3"/>
        <v>409</v>
      </c>
      <c r="C49" s="6">
        <f t="shared" si="3"/>
        <v>219</v>
      </c>
      <c r="D49" s="42" t="s">
        <v>38</v>
      </c>
      <c r="E49" s="15">
        <f t="shared" si="4"/>
        <v>409</v>
      </c>
      <c r="F49" s="15">
        <f t="shared" si="4"/>
        <v>219</v>
      </c>
      <c r="G49" s="15">
        <f t="shared" si="4"/>
        <v>1138</v>
      </c>
      <c r="H49" s="15">
        <f t="shared" si="5"/>
        <v>1250</v>
      </c>
      <c r="I49" s="6">
        <f t="shared" si="5"/>
        <v>530</v>
      </c>
    </row>
    <row r="50" spans="1:9" x14ac:dyDescent="0.2">
      <c r="A50" s="42" t="s">
        <v>4</v>
      </c>
      <c r="B50" s="15">
        <f t="shared" si="3"/>
        <v>1520</v>
      </c>
      <c r="C50" s="6">
        <f t="shared" si="3"/>
        <v>1895</v>
      </c>
      <c r="D50" s="42" t="s">
        <v>4</v>
      </c>
      <c r="E50" s="15">
        <f t="shared" si="4"/>
        <v>1520</v>
      </c>
      <c r="F50" s="15">
        <f t="shared" si="4"/>
        <v>1895</v>
      </c>
      <c r="G50" s="15">
        <f t="shared" si="4"/>
        <v>1307</v>
      </c>
      <c r="H50" s="15">
        <f t="shared" si="5"/>
        <v>1030</v>
      </c>
      <c r="I50" s="6">
        <f t="shared" si="5"/>
        <v>2256</v>
      </c>
    </row>
    <row r="51" spans="1:9" x14ac:dyDescent="0.2">
      <c r="A51" s="42" t="s">
        <v>5</v>
      </c>
      <c r="B51" s="15">
        <f>C77</f>
        <v>1988</v>
      </c>
      <c r="C51" s="6">
        <f>D76</f>
        <v>1895</v>
      </c>
      <c r="D51" s="42" t="s">
        <v>5</v>
      </c>
      <c r="E51" s="15">
        <f t="shared" si="4"/>
        <v>1988</v>
      </c>
      <c r="F51" s="15">
        <f t="shared" si="4"/>
        <v>1912</v>
      </c>
      <c r="G51" s="15">
        <f t="shared" si="4"/>
        <v>1093</v>
      </c>
      <c r="H51" s="15">
        <f t="shared" si="5"/>
        <v>1005</v>
      </c>
      <c r="I51" s="6">
        <f t="shared" si="5"/>
        <v>2136</v>
      </c>
    </row>
    <row r="52" spans="1:9" x14ac:dyDescent="0.2">
      <c r="A52" s="34"/>
      <c r="B52" s="15"/>
      <c r="C52" s="6"/>
      <c r="D52" s="34"/>
      <c r="E52" s="15"/>
      <c r="F52" s="15"/>
      <c r="G52" s="15"/>
      <c r="H52" s="15"/>
      <c r="I52" s="6"/>
    </row>
    <row r="53" spans="1:9" x14ac:dyDescent="0.2">
      <c r="A53" s="34" t="s">
        <v>65</v>
      </c>
      <c r="B53" s="19" t="s">
        <v>8</v>
      </c>
      <c r="C53" s="20" t="s">
        <v>9</v>
      </c>
      <c r="D53" s="34" t="s">
        <v>65</v>
      </c>
      <c r="E53" s="19" t="s">
        <v>8</v>
      </c>
      <c r="F53" s="19" t="s">
        <v>9</v>
      </c>
      <c r="G53" s="19" t="s">
        <v>10</v>
      </c>
      <c r="H53" s="19" t="s">
        <v>14</v>
      </c>
      <c r="I53" s="20" t="s">
        <v>15</v>
      </c>
    </row>
    <row r="54" spans="1:9" x14ac:dyDescent="0.2">
      <c r="A54" s="42" t="s">
        <v>1</v>
      </c>
      <c r="B54" s="15"/>
      <c r="C54" s="6">
        <f>B19</f>
        <v>37500</v>
      </c>
      <c r="D54" s="42" t="s">
        <v>1</v>
      </c>
      <c r="E54" s="15"/>
      <c r="F54" s="15">
        <f>C29-F58</f>
        <v>61000</v>
      </c>
      <c r="G54" s="15"/>
      <c r="H54" s="15"/>
      <c r="I54" s="6">
        <f>B11-F54</f>
        <v>14000</v>
      </c>
    </row>
    <row r="55" spans="1:9" x14ac:dyDescent="0.2">
      <c r="A55" s="42" t="s">
        <v>2</v>
      </c>
      <c r="B55" s="15">
        <f>B20</f>
        <v>57500</v>
      </c>
      <c r="C55" s="6"/>
      <c r="D55" s="42" t="s">
        <v>2</v>
      </c>
      <c r="E55" s="15">
        <f>B12</f>
        <v>115000</v>
      </c>
      <c r="F55" s="15"/>
      <c r="G55" s="15"/>
      <c r="H55" s="15"/>
      <c r="I55" s="6"/>
    </row>
    <row r="56" spans="1:9" x14ac:dyDescent="0.2">
      <c r="A56" s="42" t="s">
        <v>38</v>
      </c>
      <c r="B56" s="15"/>
      <c r="C56" s="6"/>
      <c r="D56" s="42" t="s">
        <v>38</v>
      </c>
      <c r="E56" s="15"/>
      <c r="F56" s="15"/>
      <c r="G56" s="15"/>
      <c r="H56" s="15"/>
      <c r="I56" s="6"/>
    </row>
    <row r="57" spans="1:9" x14ac:dyDescent="0.2">
      <c r="A57" s="42" t="s">
        <v>4</v>
      </c>
      <c r="B57" s="15">
        <f>B22</f>
        <v>34500</v>
      </c>
      <c r="C57" s="6"/>
      <c r="D57" s="42" t="s">
        <v>4</v>
      </c>
      <c r="E57" s="15"/>
      <c r="F57" s="15"/>
      <c r="G57" s="15"/>
      <c r="H57" s="15"/>
      <c r="I57" s="6"/>
    </row>
    <row r="58" spans="1:9" ht="17" thickBot="1" x14ac:dyDescent="0.25">
      <c r="A58" s="42" t="s">
        <v>5</v>
      </c>
      <c r="B58" s="15">
        <f>C28-B55-B57</f>
        <v>33000</v>
      </c>
      <c r="C58" s="6">
        <f>B23-B58</f>
        <v>14500</v>
      </c>
      <c r="D58" s="42" t="s">
        <v>5</v>
      </c>
      <c r="E58" s="15"/>
      <c r="F58" s="15">
        <f>B15-G66</f>
        <v>39000</v>
      </c>
      <c r="G58" s="15"/>
      <c r="H58" s="15"/>
      <c r="I58" s="6"/>
    </row>
    <row r="59" spans="1:9" ht="17" thickBot="1" x14ac:dyDescent="0.25">
      <c r="A59" s="30" t="s">
        <v>66</v>
      </c>
      <c r="B59" s="11">
        <f>SUM(B54:B58)</f>
        <v>125000</v>
      </c>
      <c r="C59" s="12">
        <f>SUM(C54:C58)</f>
        <v>52000</v>
      </c>
      <c r="D59" s="30" t="s">
        <v>66</v>
      </c>
      <c r="E59" s="11">
        <f>SUM(E54:E58)</f>
        <v>115000</v>
      </c>
      <c r="F59" s="11">
        <f>SUM(F54:F58)</f>
        <v>100000</v>
      </c>
      <c r="G59" s="11">
        <f>SUM(G54:G58)</f>
        <v>0</v>
      </c>
      <c r="H59" s="11">
        <f>SUM(H54:H58)</f>
        <v>0</v>
      </c>
      <c r="I59" s="12">
        <f>SUM(I54:I58)</f>
        <v>14000</v>
      </c>
    </row>
    <row r="60" spans="1:9" x14ac:dyDescent="0.2">
      <c r="A60" s="34"/>
      <c r="B60" s="15"/>
      <c r="C60" s="6"/>
      <c r="D60" s="34"/>
      <c r="E60" s="15"/>
      <c r="F60" s="15"/>
      <c r="G60" s="15"/>
      <c r="H60" s="15"/>
      <c r="I60" s="6"/>
    </row>
    <row r="61" spans="1:9" x14ac:dyDescent="0.2">
      <c r="A61" s="34" t="s">
        <v>67</v>
      </c>
      <c r="B61" s="19" t="s">
        <v>8</v>
      </c>
      <c r="C61" s="20" t="s">
        <v>9</v>
      </c>
      <c r="D61" s="34" t="s">
        <v>67</v>
      </c>
      <c r="E61" s="19" t="s">
        <v>8</v>
      </c>
      <c r="F61" s="19" t="s">
        <v>9</v>
      </c>
      <c r="G61" s="19" t="s">
        <v>10</v>
      </c>
      <c r="H61" s="19" t="s">
        <v>14</v>
      </c>
      <c r="I61" s="20" t="s">
        <v>15</v>
      </c>
    </row>
    <row r="62" spans="1:9" x14ac:dyDescent="0.2">
      <c r="A62" s="42" t="s">
        <v>1</v>
      </c>
      <c r="B62" s="15"/>
      <c r="C62" s="6"/>
      <c r="D62" s="42" t="s">
        <v>1</v>
      </c>
      <c r="E62" s="15"/>
      <c r="F62" s="15"/>
      <c r="G62" s="15"/>
      <c r="H62" s="15"/>
      <c r="I62" s="6"/>
    </row>
    <row r="63" spans="1:9" x14ac:dyDescent="0.2">
      <c r="A63" s="42" t="s">
        <v>2</v>
      </c>
      <c r="B63" s="15"/>
      <c r="C63" s="6"/>
      <c r="D63" s="42" t="s">
        <v>2</v>
      </c>
      <c r="E63" s="15"/>
      <c r="F63" s="15"/>
      <c r="G63" s="15"/>
      <c r="H63" s="15"/>
      <c r="I63" s="6"/>
    </row>
    <row r="64" spans="1:9" x14ac:dyDescent="0.2">
      <c r="A64" s="42" t="s">
        <v>38</v>
      </c>
      <c r="B64" s="15"/>
      <c r="C64" s="6">
        <f>B21</f>
        <v>42500</v>
      </c>
      <c r="D64" s="42" t="s">
        <v>38</v>
      </c>
      <c r="E64" s="15"/>
      <c r="F64" s="15"/>
      <c r="G64" s="15"/>
      <c r="H64" s="15"/>
      <c r="I64" s="6">
        <f>B13</f>
        <v>85000</v>
      </c>
    </row>
    <row r="65" spans="1:25" x14ac:dyDescent="0.2">
      <c r="A65" s="42" t="s">
        <v>4</v>
      </c>
      <c r="B65" s="15"/>
      <c r="C65" s="6"/>
      <c r="D65" s="42" t="s">
        <v>4</v>
      </c>
      <c r="E65" s="15"/>
      <c r="F65" s="15"/>
      <c r="G65" s="15">
        <f>B14-C34</f>
        <v>19000</v>
      </c>
      <c r="H65" s="15">
        <f>C34</f>
        <v>50000</v>
      </c>
      <c r="I65" s="6"/>
    </row>
    <row r="66" spans="1:25" ht="17" thickBot="1" x14ac:dyDescent="0.25">
      <c r="A66" s="42" t="s">
        <v>5</v>
      </c>
      <c r="B66" s="15"/>
      <c r="C66" s="6"/>
      <c r="D66" s="42" t="s">
        <v>5</v>
      </c>
      <c r="E66" s="15"/>
      <c r="F66" s="15"/>
      <c r="G66" s="15">
        <f>C30-G65</f>
        <v>56000</v>
      </c>
      <c r="H66" s="15"/>
      <c r="I66" s="6"/>
    </row>
    <row r="67" spans="1:25" ht="17" thickBot="1" x14ac:dyDescent="0.25">
      <c r="A67" s="30" t="s">
        <v>66</v>
      </c>
      <c r="B67" s="11">
        <f>SUM(B62:B66)</f>
        <v>0</v>
      </c>
      <c r="C67" s="12">
        <f>SUM(C62:C66)</f>
        <v>42500</v>
      </c>
      <c r="D67" s="30" t="s">
        <v>66</v>
      </c>
      <c r="E67" s="11">
        <f>SUM(E62:E66)</f>
        <v>0</v>
      </c>
      <c r="F67" s="11">
        <f>SUM(F62:F66)</f>
        <v>0</v>
      </c>
      <c r="G67" s="11">
        <f>SUM(G62:G66)</f>
        <v>75000</v>
      </c>
      <c r="H67" s="11">
        <f>SUM(H62:H66)</f>
        <v>50000</v>
      </c>
      <c r="I67" s="12">
        <f>SUM(I62:I66)</f>
        <v>85000</v>
      </c>
    </row>
    <row r="69" spans="1:25" ht="17" thickBot="1" x14ac:dyDescent="0.25"/>
    <row r="70" spans="1:25" ht="17" thickBot="1" x14ac:dyDescent="0.25">
      <c r="A70" s="21" t="s">
        <v>97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</row>
    <row r="71" spans="1:25" s="1" customFormat="1" x14ac:dyDescent="0.2">
      <c r="A71" s="17"/>
      <c r="B71" s="19"/>
      <c r="C71" s="19" t="s">
        <v>27</v>
      </c>
      <c r="D71" s="19" t="s">
        <v>28</v>
      </c>
      <c r="E71" s="19" t="s">
        <v>29</v>
      </c>
      <c r="F71" s="19" t="s">
        <v>30</v>
      </c>
      <c r="G71" s="19" t="s">
        <v>31</v>
      </c>
      <c r="H71" s="19" t="s">
        <v>32</v>
      </c>
      <c r="I71" s="19" t="s">
        <v>33</v>
      </c>
      <c r="J71" s="19" t="s">
        <v>34</v>
      </c>
      <c r="K71" s="19" t="s">
        <v>35</v>
      </c>
      <c r="L71" s="20" t="s">
        <v>36</v>
      </c>
    </row>
    <row r="72" spans="1:25" x14ac:dyDescent="0.2">
      <c r="A72" s="7"/>
      <c r="B72" s="15"/>
      <c r="C72" s="15" t="s">
        <v>8</v>
      </c>
      <c r="D72" s="15" t="s">
        <v>9</v>
      </c>
      <c r="E72" s="15" t="s">
        <v>10</v>
      </c>
      <c r="F72" s="15" t="s">
        <v>11</v>
      </c>
      <c r="G72" s="15" t="s">
        <v>12</v>
      </c>
      <c r="H72" s="15" t="s">
        <v>37</v>
      </c>
      <c r="I72" s="15" t="s">
        <v>14</v>
      </c>
      <c r="J72" s="15" t="s">
        <v>15</v>
      </c>
      <c r="K72" s="15" t="s">
        <v>16</v>
      </c>
      <c r="L72" s="6" t="s">
        <v>17</v>
      </c>
    </row>
    <row r="73" spans="1:25" x14ac:dyDescent="0.2">
      <c r="A73" s="17" t="s">
        <v>22</v>
      </c>
      <c r="B73" s="15" t="s">
        <v>1</v>
      </c>
      <c r="C73" s="15">
        <f>2762</f>
        <v>2762</v>
      </c>
      <c r="D73" s="15">
        <f>2686</f>
        <v>2686</v>
      </c>
      <c r="E73" s="15">
        <f>1867</f>
        <v>1867</v>
      </c>
      <c r="F73" s="15">
        <v>1549</v>
      </c>
      <c r="G73" s="15">
        <v>1412</v>
      </c>
      <c r="H73" s="15">
        <v>1234</v>
      </c>
      <c r="I73" s="15">
        <v>1779</v>
      </c>
      <c r="J73" s="15">
        <v>2910</v>
      </c>
      <c r="K73" s="15">
        <v>1993</v>
      </c>
      <c r="L73" s="6">
        <v>1023</v>
      </c>
    </row>
    <row r="74" spans="1:25" x14ac:dyDescent="0.2">
      <c r="A74" s="17" t="s">
        <v>23</v>
      </c>
      <c r="B74" s="15" t="s">
        <v>2</v>
      </c>
      <c r="C74" s="15">
        <f>2146</f>
        <v>2146</v>
      </c>
      <c r="D74" s="15">
        <f>2424</f>
        <v>2424</v>
      </c>
      <c r="E74" s="15">
        <v>1583</v>
      </c>
      <c r="F74" s="15">
        <v>782</v>
      </c>
      <c r="G74" s="15">
        <v>1060</v>
      </c>
      <c r="H74" s="15">
        <v>518</v>
      </c>
      <c r="I74" s="15">
        <v>1403</v>
      </c>
      <c r="J74" s="15">
        <v>2648</v>
      </c>
      <c r="K74" s="15">
        <v>1389</v>
      </c>
      <c r="L74" s="6">
        <v>838</v>
      </c>
    </row>
    <row r="75" spans="1:25" x14ac:dyDescent="0.2">
      <c r="A75" s="17" t="s">
        <v>24</v>
      </c>
      <c r="B75" s="15" t="s">
        <v>3</v>
      </c>
      <c r="C75" s="15">
        <f>409</f>
        <v>409</v>
      </c>
      <c r="D75" s="15">
        <f>219</f>
        <v>219</v>
      </c>
      <c r="E75" s="15">
        <v>1138</v>
      </c>
      <c r="F75" s="15">
        <v>1733</v>
      </c>
      <c r="G75" s="15">
        <v>1574</v>
      </c>
      <c r="H75" s="15">
        <v>1965</v>
      </c>
      <c r="I75" s="15">
        <v>1250</v>
      </c>
      <c r="J75" s="15">
        <v>530</v>
      </c>
      <c r="K75" s="15">
        <v>1086</v>
      </c>
      <c r="L75" s="6">
        <v>1924</v>
      </c>
    </row>
    <row r="76" spans="1:25" x14ac:dyDescent="0.2">
      <c r="A76" s="17" t="s">
        <v>25</v>
      </c>
      <c r="B76" s="15" t="s">
        <v>4</v>
      </c>
      <c r="C76" s="15">
        <f>1520</f>
        <v>1520</v>
      </c>
      <c r="D76" s="15">
        <f>1895</f>
        <v>1895</v>
      </c>
      <c r="E76" s="15">
        <v>1307</v>
      </c>
      <c r="F76" s="15">
        <v>240</v>
      </c>
      <c r="G76" s="15">
        <v>797</v>
      </c>
      <c r="H76" s="15">
        <v>434</v>
      </c>
      <c r="I76" s="15">
        <v>1030</v>
      </c>
      <c r="J76" s="15">
        <v>2256</v>
      </c>
      <c r="K76" s="15">
        <v>884</v>
      </c>
      <c r="L76" s="6">
        <v>1061</v>
      </c>
    </row>
    <row r="77" spans="1:25" x14ac:dyDescent="0.2">
      <c r="A77" s="17" t="s">
        <v>26</v>
      </c>
      <c r="B77" s="15" t="s">
        <v>5</v>
      </c>
      <c r="C77" s="15">
        <f>1988</f>
        <v>1988</v>
      </c>
      <c r="D77" s="15">
        <f>1912</f>
        <v>1912</v>
      </c>
      <c r="E77" s="15">
        <v>1093</v>
      </c>
      <c r="F77" s="15">
        <v>967</v>
      </c>
      <c r="G77" s="15">
        <v>686</v>
      </c>
      <c r="H77" s="15">
        <v>652</v>
      </c>
      <c r="I77" s="15">
        <v>1005</v>
      </c>
      <c r="J77" s="15">
        <v>2136</v>
      </c>
      <c r="K77" s="15">
        <v>1337</v>
      </c>
      <c r="L77" s="6">
        <v>249</v>
      </c>
    </row>
    <row r="78" spans="1:25" ht="17" thickBot="1" x14ac:dyDescent="0.25">
      <c r="A78" s="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6"/>
    </row>
    <row r="79" spans="1:25" ht="17" thickBot="1" x14ac:dyDescent="0.25">
      <c r="A79" s="21" t="s">
        <v>121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2"/>
    </row>
    <row r="80" spans="1:25" s="1" customFormat="1" ht="21" x14ac:dyDescent="0.25">
      <c r="A80" s="17"/>
      <c r="B80" s="19"/>
      <c r="C80" s="19" t="s">
        <v>27</v>
      </c>
      <c r="D80" s="19" t="s">
        <v>28</v>
      </c>
      <c r="E80" s="19" t="s">
        <v>29</v>
      </c>
      <c r="F80" s="19" t="s">
        <v>30</v>
      </c>
      <c r="G80" s="19" t="s">
        <v>31</v>
      </c>
      <c r="H80" s="19" t="s">
        <v>32</v>
      </c>
      <c r="I80" s="19" t="s">
        <v>33</v>
      </c>
      <c r="J80" s="19" t="s">
        <v>34</v>
      </c>
      <c r="K80" s="19" t="s">
        <v>35</v>
      </c>
      <c r="L80" s="20" t="s">
        <v>36</v>
      </c>
      <c r="Y80" s="13"/>
    </row>
    <row r="81" spans="1:12" x14ac:dyDescent="0.2">
      <c r="A81" s="7"/>
      <c r="B81" s="15"/>
      <c r="C81" s="15" t="s">
        <v>8</v>
      </c>
      <c r="D81" s="15" t="s">
        <v>9</v>
      </c>
      <c r="E81" s="15" t="s">
        <v>10</v>
      </c>
      <c r="F81" s="15" t="s">
        <v>11</v>
      </c>
      <c r="G81" s="15" t="s">
        <v>12</v>
      </c>
      <c r="H81" s="15" t="s">
        <v>37</v>
      </c>
      <c r="I81" s="15" t="s">
        <v>14</v>
      </c>
      <c r="J81" s="15" t="s">
        <v>15</v>
      </c>
      <c r="K81" s="15" t="s">
        <v>16</v>
      </c>
      <c r="L81" s="6" t="s">
        <v>17</v>
      </c>
    </row>
    <row r="82" spans="1:12" x14ac:dyDescent="0.2">
      <c r="A82" s="17" t="s">
        <v>22</v>
      </c>
      <c r="B82" s="15" t="s">
        <v>1</v>
      </c>
      <c r="C82" s="15">
        <f>$D$28+(C73*$F$8)</f>
        <v>1031.94</v>
      </c>
      <c r="D82" s="15">
        <f>$D$29+(D73*$F$8)</f>
        <v>1000.3199999999999</v>
      </c>
      <c r="E82" s="15">
        <f>$D$30+(E73*$F$8)</f>
        <v>695.04</v>
      </c>
      <c r="F82" s="15">
        <f>$D$31+(F73*$F$8)</f>
        <v>581.13</v>
      </c>
      <c r="G82" s="15">
        <f>$D$32+(G73*$F$8)</f>
        <v>526.68999999999994</v>
      </c>
      <c r="H82" s="15">
        <f>$D$33+(H73*$F$8)</f>
        <v>462.08</v>
      </c>
      <c r="I82" s="15">
        <f>$D$34+(I73*$F$8)</f>
        <v>666.23</v>
      </c>
      <c r="J82" s="15">
        <f>$D$35+(J73*$F$8)</f>
        <v>1083.7</v>
      </c>
      <c r="K82" s="15">
        <f>$D$36+(K73*$F$8)</f>
        <v>743.91</v>
      </c>
      <c r="L82" s="6">
        <f>$D$37+(L73*$F$8)</f>
        <v>384.01</v>
      </c>
    </row>
    <row r="83" spans="1:12" x14ac:dyDescent="0.2">
      <c r="A83" s="17" t="s">
        <v>23</v>
      </c>
      <c r="B83" s="15" t="s">
        <v>2</v>
      </c>
      <c r="C83" s="15">
        <f>$D$28+(C74*$F$8)</f>
        <v>804.02</v>
      </c>
      <c r="D83" s="15">
        <f>$D$29+(D74*$F$8)</f>
        <v>903.38</v>
      </c>
      <c r="E83" s="15">
        <f>$D$30+(E74*$F$8)</f>
        <v>589.96</v>
      </c>
      <c r="F83" s="15">
        <f>$D$31+(F74*$F$8)</f>
        <v>297.33999999999997</v>
      </c>
      <c r="G83" s="15">
        <f>$D$32+(G74*$F$8)</f>
        <v>396.45</v>
      </c>
      <c r="H83" s="15">
        <f>$D$33+(H74*$F$8)</f>
        <v>197.16</v>
      </c>
      <c r="I83" s="15">
        <f>$D$34+(I74*$F$8)</f>
        <v>527.11</v>
      </c>
      <c r="J83" s="15">
        <f>$D$35+(J74*$F$8)</f>
        <v>986.76</v>
      </c>
      <c r="K83" s="15">
        <f>$D$36+(K74*$F$8)</f>
        <v>520.42999999999995</v>
      </c>
      <c r="L83" s="6">
        <f>$D$37+(L74*$F$8)</f>
        <v>315.56</v>
      </c>
    </row>
    <row r="84" spans="1:12" x14ac:dyDescent="0.2">
      <c r="A84" s="17" t="s">
        <v>24</v>
      </c>
      <c r="B84" s="15" t="s">
        <v>38</v>
      </c>
      <c r="C84" s="15">
        <f>$D$28+(C75*$F$8)</f>
        <v>161.32999999999998</v>
      </c>
      <c r="D84" s="15">
        <f>$D$29+(D75*$F$8)</f>
        <v>87.53</v>
      </c>
      <c r="E84" s="15">
        <f>$D$30+(E75*$F$8)</f>
        <v>425.31</v>
      </c>
      <c r="F84" s="15">
        <f>$D$31+(F75*$F$8)</f>
        <v>649.21</v>
      </c>
      <c r="G84" s="15">
        <f>$D$32+(G75*$F$8)</f>
        <v>586.63</v>
      </c>
      <c r="H84" s="15">
        <f>$D$33+(H75*$F$8)</f>
        <v>732.55</v>
      </c>
      <c r="I84" s="15">
        <f>$D$34+(I75*$F$8)</f>
        <v>470.5</v>
      </c>
      <c r="J84" s="15">
        <f>$D$35+(J75*$F$8)</f>
        <v>203.1</v>
      </c>
      <c r="K84" s="15">
        <f>$D$36+(K75*$F$8)</f>
        <v>408.32</v>
      </c>
      <c r="L84" s="6">
        <f>$D$37+(L75*$F$8)</f>
        <v>717.38</v>
      </c>
    </row>
    <row r="85" spans="1:12" x14ac:dyDescent="0.2">
      <c r="A85" s="17" t="s">
        <v>25</v>
      </c>
      <c r="B85" s="15" t="s">
        <v>4</v>
      </c>
      <c r="C85" s="15">
        <f>$D$28+(C76*$F$8)</f>
        <v>572.4</v>
      </c>
      <c r="D85" s="15">
        <f>$D$29+(D76*$F$8)</f>
        <v>707.65</v>
      </c>
      <c r="E85" s="15">
        <f>$D$30+(E76*$F$8)</f>
        <v>487.84</v>
      </c>
      <c r="F85" s="15">
        <f>$D$31+(F76*$F$8)</f>
        <v>96.8</v>
      </c>
      <c r="G85" s="15">
        <f>$D$32+(G76*$F$8)</f>
        <v>299.14</v>
      </c>
      <c r="H85" s="15">
        <f>$D$33+(H76*$F$8)</f>
        <v>166.07999999999998</v>
      </c>
      <c r="I85" s="15">
        <f>$D$34+(I76*$F$8)</f>
        <v>389.1</v>
      </c>
      <c r="J85" s="15">
        <f>$D$35+(J76*$F$8)</f>
        <v>841.72</v>
      </c>
      <c r="K85" s="15">
        <f>$D$36+(K76*$F$8)</f>
        <v>333.58</v>
      </c>
      <c r="L85" s="6">
        <f>$D$37+(L76*$F$8)</f>
        <v>398.07</v>
      </c>
    </row>
    <row r="86" spans="1:12" ht="17" thickBot="1" x14ac:dyDescent="0.25">
      <c r="A86" s="32" t="s">
        <v>26</v>
      </c>
      <c r="B86" s="10" t="s">
        <v>5</v>
      </c>
      <c r="C86" s="10">
        <f>$D$28+(C77*$F$8)</f>
        <v>745.56</v>
      </c>
      <c r="D86" s="10">
        <f>$D$29+(D77*$F$8)</f>
        <v>713.93999999999994</v>
      </c>
      <c r="E86" s="10">
        <f>$D$30+(E77*$F$8)</f>
        <v>408.65999999999997</v>
      </c>
      <c r="F86" s="10">
        <f>$D$31+(F77*$F$8)</f>
        <v>365.79</v>
      </c>
      <c r="G86" s="10">
        <f>$D$32+(G77*$F$8)</f>
        <v>258.07</v>
      </c>
      <c r="H86" s="10">
        <f>$D$33+(H77*$F$8)</f>
        <v>246.74</v>
      </c>
      <c r="I86" s="10">
        <f>$D$34+(I77*$F$8)</f>
        <v>379.85</v>
      </c>
      <c r="J86" s="10">
        <f>$D$35+(J77*$F$8)</f>
        <v>797.31999999999994</v>
      </c>
      <c r="K86" s="10">
        <f>$D$36+(K77*$F$8)</f>
        <v>501.19</v>
      </c>
      <c r="L86" s="16">
        <f>$D$37+(L77*$F$8)</f>
        <v>97.63</v>
      </c>
    </row>
    <row r="89" spans="1:12" ht="17" thickBot="1" x14ac:dyDescent="0.25"/>
    <row r="90" spans="1:12" x14ac:dyDescent="0.2">
      <c r="A90" s="18" t="s">
        <v>99</v>
      </c>
      <c r="B90" s="4"/>
      <c r="C90" s="4"/>
      <c r="D90" s="4"/>
      <c r="E90" s="4"/>
      <c r="F90" s="5"/>
    </row>
    <row r="91" spans="1:12" ht="17" thickBot="1" x14ac:dyDescent="0.25">
      <c r="A91" s="9" t="s">
        <v>98</v>
      </c>
      <c r="B91" s="10"/>
      <c r="C91" s="10"/>
      <c r="D91" s="10"/>
      <c r="E91" s="10"/>
      <c r="F91" s="16"/>
    </row>
    <row r="92" spans="1:12" ht="17" thickBot="1" x14ac:dyDescent="0.25">
      <c r="A92" s="32" t="s">
        <v>39</v>
      </c>
      <c r="B92" s="15"/>
      <c r="C92" s="16"/>
      <c r="D92" s="32" t="s">
        <v>94</v>
      </c>
      <c r="E92" s="10"/>
      <c r="F92" s="16"/>
    </row>
    <row r="93" spans="1:12" x14ac:dyDescent="0.2">
      <c r="A93" s="24" t="s">
        <v>27</v>
      </c>
      <c r="B93" s="49" t="s">
        <v>42</v>
      </c>
      <c r="C93" s="6">
        <f>E93</f>
        <v>0</v>
      </c>
      <c r="D93" s="24" t="s">
        <v>72</v>
      </c>
      <c r="E93" s="15">
        <v>0</v>
      </c>
      <c r="F93" s="6">
        <f>$C$84</f>
        <v>161.32999999999998</v>
      </c>
    </row>
    <row r="94" spans="1:12" ht="19" x14ac:dyDescent="0.25">
      <c r="A94" s="25" t="s">
        <v>28</v>
      </c>
      <c r="B94" s="47" t="s">
        <v>43</v>
      </c>
      <c r="C94" s="6">
        <f>E94</f>
        <v>42500</v>
      </c>
      <c r="D94" s="25" t="s">
        <v>73</v>
      </c>
      <c r="E94" s="15">
        <v>42500</v>
      </c>
      <c r="F94" s="6">
        <f>$D$84</f>
        <v>87.53</v>
      </c>
      <c r="J94" s="14"/>
    </row>
    <row r="95" spans="1:12" x14ac:dyDescent="0.2">
      <c r="A95" s="25" t="s">
        <v>29</v>
      </c>
      <c r="B95" s="47" t="s">
        <v>44</v>
      </c>
      <c r="C95" s="6">
        <f>E95+E96+E97</f>
        <v>0</v>
      </c>
      <c r="D95" s="25" t="s">
        <v>74</v>
      </c>
      <c r="E95" s="15">
        <v>0</v>
      </c>
      <c r="F95" s="6">
        <f>$E$84</f>
        <v>425.31</v>
      </c>
    </row>
    <row r="96" spans="1:12" x14ac:dyDescent="0.2">
      <c r="A96" s="25" t="s">
        <v>30</v>
      </c>
      <c r="B96" s="47" t="s">
        <v>45</v>
      </c>
      <c r="C96" s="6">
        <f>E98+E99+E100</f>
        <v>34500</v>
      </c>
      <c r="D96" s="25" t="s">
        <v>75</v>
      </c>
      <c r="E96" s="15">
        <v>0</v>
      </c>
      <c r="F96" s="6">
        <f>$E$85</f>
        <v>487.84</v>
      </c>
    </row>
    <row r="97" spans="1:6" x14ac:dyDescent="0.2">
      <c r="A97" s="25" t="s">
        <v>31</v>
      </c>
      <c r="B97" s="47" t="s">
        <v>46</v>
      </c>
      <c r="C97" s="6">
        <f>E101+E102+E103</f>
        <v>17500.000000000007</v>
      </c>
      <c r="D97" s="25" t="s">
        <v>76</v>
      </c>
      <c r="E97" s="15">
        <v>0</v>
      </c>
      <c r="F97" s="6">
        <f>$E$86</f>
        <v>408.65999999999997</v>
      </c>
    </row>
    <row r="98" spans="1:6" x14ac:dyDescent="0.2">
      <c r="A98" s="25" t="s">
        <v>32</v>
      </c>
      <c r="B98" s="47" t="s">
        <v>47</v>
      </c>
      <c r="C98" s="6">
        <f>E104+E105+E106+E107</f>
        <v>75000</v>
      </c>
      <c r="D98" s="25" t="s">
        <v>77</v>
      </c>
      <c r="E98" s="15">
        <v>0</v>
      </c>
      <c r="F98" s="6">
        <f>$F$83</f>
        <v>297.33999999999997</v>
      </c>
    </row>
    <row r="99" spans="1:6" x14ac:dyDescent="0.2">
      <c r="A99" s="25" t="s">
        <v>34</v>
      </c>
      <c r="B99" s="47" t="s">
        <v>48</v>
      </c>
      <c r="C99" s="6">
        <f>E108</f>
        <v>0</v>
      </c>
      <c r="D99" s="25" t="s">
        <v>78</v>
      </c>
      <c r="E99" s="15">
        <v>34500</v>
      </c>
      <c r="F99" s="6">
        <f>$F$85</f>
        <v>96.8</v>
      </c>
    </row>
    <row r="100" spans="1:6" x14ac:dyDescent="0.2">
      <c r="A100" s="25" t="s">
        <v>35</v>
      </c>
      <c r="B100" s="47" t="s">
        <v>49</v>
      </c>
      <c r="C100" s="6">
        <f>E109+E110</f>
        <v>0</v>
      </c>
      <c r="D100" s="25" t="s">
        <v>79</v>
      </c>
      <c r="E100" s="15">
        <v>0</v>
      </c>
      <c r="F100" s="6">
        <f>$F$86</f>
        <v>365.79</v>
      </c>
    </row>
    <row r="101" spans="1:6" x14ac:dyDescent="0.2">
      <c r="A101" s="25" t="s">
        <v>36</v>
      </c>
      <c r="B101" s="47" t="s">
        <v>50</v>
      </c>
      <c r="C101" s="6">
        <f>E111+E112+E113+E114</f>
        <v>50000</v>
      </c>
      <c r="D101" s="25" t="s">
        <v>80</v>
      </c>
      <c r="E101" s="15">
        <v>-4.5474735088646412E-13</v>
      </c>
      <c r="F101" s="6">
        <f>$G$83</f>
        <v>396.45</v>
      </c>
    </row>
    <row r="102" spans="1:6" x14ac:dyDescent="0.2">
      <c r="A102" s="25" t="s">
        <v>22</v>
      </c>
      <c r="B102" s="47" t="s">
        <v>68</v>
      </c>
      <c r="C102" s="6">
        <f>E104+E111</f>
        <v>37500</v>
      </c>
      <c r="D102" s="25" t="s">
        <v>81</v>
      </c>
      <c r="E102" s="15">
        <v>0</v>
      </c>
      <c r="F102" s="6">
        <f>$G$85</f>
        <v>299.14</v>
      </c>
    </row>
    <row r="103" spans="1:6" x14ac:dyDescent="0.2">
      <c r="A103" s="25" t="s">
        <v>23</v>
      </c>
      <c r="B103" s="47" t="s">
        <v>69</v>
      </c>
      <c r="C103" s="6">
        <f>E98+E101+E105+E112</f>
        <v>57500</v>
      </c>
      <c r="D103" s="25" t="s">
        <v>82</v>
      </c>
      <c r="E103" s="15">
        <v>17500.000000000007</v>
      </c>
      <c r="F103" s="6">
        <f>$G$86</f>
        <v>258.07</v>
      </c>
    </row>
    <row r="104" spans="1:6" x14ac:dyDescent="0.2">
      <c r="A104" s="25" t="s">
        <v>24</v>
      </c>
      <c r="B104" s="47" t="s">
        <v>70</v>
      </c>
      <c r="C104" s="6">
        <f>E93+E94+E95+E108+E109</f>
        <v>42500</v>
      </c>
      <c r="D104" s="25" t="s">
        <v>83</v>
      </c>
      <c r="E104" s="15">
        <v>17499.999999999993</v>
      </c>
      <c r="F104" s="6">
        <f>$H$82</f>
        <v>462.08</v>
      </c>
    </row>
    <row r="105" spans="1:6" x14ac:dyDescent="0.2">
      <c r="A105" s="25" t="s">
        <v>25</v>
      </c>
      <c r="B105" s="47" t="s">
        <v>101</v>
      </c>
      <c r="C105" s="6">
        <f>E96+E99+E102+E106+E110+E113</f>
        <v>34500</v>
      </c>
      <c r="D105" s="25" t="s">
        <v>84</v>
      </c>
      <c r="E105" s="15">
        <v>57500</v>
      </c>
      <c r="F105" s="6">
        <f>$H$83</f>
        <v>197.16</v>
      </c>
    </row>
    <row r="106" spans="1:6" x14ac:dyDescent="0.2">
      <c r="A106" s="25" t="s">
        <v>26</v>
      </c>
      <c r="B106" s="47" t="s">
        <v>71</v>
      </c>
      <c r="C106" s="6">
        <f>E97+E100+E103+E107+E114</f>
        <v>47500</v>
      </c>
      <c r="D106" s="25" t="s">
        <v>85</v>
      </c>
      <c r="E106" s="15">
        <v>0</v>
      </c>
      <c r="F106" s="6">
        <f>$H$85</f>
        <v>166.07999999999998</v>
      </c>
    </row>
    <row r="107" spans="1:6" ht="17" thickBot="1" x14ac:dyDescent="0.25">
      <c r="A107" s="25"/>
      <c r="B107" s="48"/>
      <c r="C107" s="6"/>
      <c r="D107" s="25" t="s">
        <v>86</v>
      </c>
      <c r="E107" s="15">
        <v>0</v>
      </c>
      <c r="F107" s="6">
        <f>$H$86</f>
        <v>246.74</v>
      </c>
    </row>
    <row r="108" spans="1:6" ht="17" thickBot="1" x14ac:dyDescent="0.25">
      <c r="A108" s="9" t="s">
        <v>40</v>
      </c>
      <c r="B108" s="21" t="s">
        <v>41</v>
      </c>
      <c r="C108" s="50">
        <f>SUMPRODUCT(E93:E114,F93:F114)</f>
        <v>41608050</v>
      </c>
      <c r="D108" s="25" t="s">
        <v>87</v>
      </c>
      <c r="E108" s="15">
        <v>0</v>
      </c>
      <c r="F108" s="6">
        <f>$J$84</f>
        <v>203.1</v>
      </c>
    </row>
    <row r="109" spans="1:6" x14ac:dyDescent="0.2">
      <c r="A109" s="7"/>
      <c r="B109" s="15"/>
      <c r="C109" s="15"/>
      <c r="D109" s="25" t="s">
        <v>88</v>
      </c>
      <c r="E109" s="15">
        <v>0</v>
      </c>
      <c r="F109" s="6">
        <f>$K$84</f>
        <v>408.32</v>
      </c>
    </row>
    <row r="110" spans="1:6" x14ac:dyDescent="0.2">
      <c r="A110" s="7"/>
      <c r="B110" s="15"/>
      <c r="C110" s="15"/>
      <c r="D110" s="25" t="s">
        <v>89</v>
      </c>
      <c r="E110" s="15">
        <v>0</v>
      </c>
      <c r="F110" s="6">
        <f>$K$85</f>
        <v>333.58</v>
      </c>
    </row>
    <row r="111" spans="1:6" x14ac:dyDescent="0.2">
      <c r="A111" s="7"/>
      <c r="B111" s="15"/>
      <c r="C111" s="15"/>
      <c r="D111" s="25" t="s">
        <v>90</v>
      </c>
      <c r="E111" s="15">
        <v>20000.000000000007</v>
      </c>
      <c r="F111" s="6">
        <f>$L$82</f>
        <v>384.01</v>
      </c>
    </row>
    <row r="112" spans="1:6" x14ac:dyDescent="0.2">
      <c r="A112" s="7"/>
      <c r="B112" s="15"/>
      <c r="C112" s="15"/>
      <c r="D112" s="25" t="s">
        <v>91</v>
      </c>
      <c r="E112" s="15">
        <v>0</v>
      </c>
      <c r="F112" s="6">
        <f>$L$83</f>
        <v>315.56</v>
      </c>
    </row>
    <row r="113" spans="1:6" x14ac:dyDescent="0.2">
      <c r="A113" s="7"/>
      <c r="B113" s="15"/>
      <c r="C113" s="15"/>
      <c r="D113" s="25" t="s">
        <v>92</v>
      </c>
      <c r="E113" s="15">
        <v>0</v>
      </c>
      <c r="F113" s="6">
        <f>$L$85</f>
        <v>398.07</v>
      </c>
    </row>
    <row r="114" spans="1:6" ht="17" thickBot="1" x14ac:dyDescent="0.25">
      <c r="A114" s="7"/>
      <c r="B114" s="15"/>
      <c r="C114" s="15"/>
      <c r="D114" s="26" t="s">
        <v>93</v>
      </c>
      <c r="E114" s="10">
        <v>29999.999999999993</v>
      </c>
      <c r="F114" s="16">
        <f>$L$86</f>
        <v>97.63</v>
      </c>
    </row>
    <row r="115" spans="1:6" ht="17" thickBot="1" x14ac:dyDescent="0.25">
      <c r="A115" s="7"/>
      <c r="B115" s="15"/>
      <c r="C115" s="15"/>
      <c r="D115" s="15"/>
      <c r="E115" s="15"/>
      <c r="F115" s="6"/>
    </row>
    <row r="116" spans="1:6" x14ac:dyDescent="0.2">
      <c r="A116" s="18" t="s">
        <v>100</v>
      </c>
      <c r="B116" s="4"/>
      <c r="C116" s="4"/>
      <c r="D116" s="4"/>
      <c r="E116" s="4"/>
      <c r="F116" s="5"/>
    </row>
    <row r="117" spans="1:6" ht="17" thickBot="1" x14ac:dyDescent="0.25">
      <c r="A117" s="9" t="s">
        <v>98</v>
      </c>
      <c r="B117" s="10"/>
      <c r="C117" s="10"/>
      <c r="D117" s="10"/>
      <c r="E117" s="10"/>
      <c r="F117" s="16"/>
    </row>
    <row r="118" spans="1:6" x14ac:dyDescent="0.2">
      <c r="A118" s="7"/>
      <c r="B118" s="19" t="s">
        <v>39</v>
      </c>
      <c r="C118" s="6"/>
      <c r="D118" s="17" t="s">
        <v>94</v>
      </c>
      <c r="E118" s="15"/>
      <c r="F118" s="6"/>
    </row>
    <row r="119" spans="1:6" x14ac:dyDescent="0.2">
      <c r="A119" s="7" t="s">
        <v>27</v>
      </c>
      <c r="B119" s="15" t="s">
        <v>42</v>
      </c>
      <c r="C119" s="6">
        <f>E119</f>
        <v>0</v>
      </c>
      <c r="D119" s="7" t="s">
        <v>72</v>
      </c>
      <c r="E119" s="15">
        <v>0</v>
      </c>
      <c r="F119" s="6">
        <f>$C$84</f>
        <v>161.32999999999998</v>
      </c>
    </row>
    <row r="120" spans="1:6" x14ac:dyDescent="0.2">
      <c r="A120" s="7" t="s">
        <v>28</v>
      </c>
      <c r="B120" s="15" t="s">
        <v>43</v>
      </c>
      <c r="C120" s="6">
        <f>E120</f>
        <v>85000.000000999979</v>
      </c>
      <c r="D120" s="7" t="s">
        <v>73</v>
      </c>
      <c r="E120" s="15">
        <v>85000.000000999979</v>
      </c>
      <c r="F120" s="6">
        <f>$D$84</f>
        <v>87.53</v>
      </c>
    </row>
    <row r="121" spans="1:6" x14ac:dyDescent="0.2">
      <c r="A121" s="7" t="s">
        <v>29</v>
      </c>
      <c r="B121" s="15" t="s">
        <v>44</v>
      </c>
      <c r="C121" s="6">
        <f>E121+E122+E123</f>
        <v>54000.000000000007</v>
      </c>
      <c r="D121" s="7" t="s">
        <v>74</v>
      </c>
      <c r="E121" s="15">
        <v>0</v>
      </c>
      <c r="F121" s="6">
        <f>$E$84</f>
        <v>425.31</v>
      </c>
    </row>
    <row r="122" spans="1:6" x14ac:dyDescent="0.2">
      <c r="A122" s="7" t="s">
        <v>30</v>
      </c>
      <c r="B122" s="15" t="s">
        <v>45</v>
      </c>
      <c r="C122" s="6">
        <f>E124+E125+E126</f>
        <v>75000</v>
      </c>
      <c r="D122" s="7" t="s">
        <v>75</v>
      </c>
      <c r="E122" s="15">
        <v>0</v>
      </c>
      <c r="F122" s="6">
        <f>$E$85</f>
        <v>487.84</v>
      </c>
    </row>
    <row r="123" spans="1:6" x14ac:dyDescent="0.2">
      <c r="A123" s="7" t="s">
        <v>31</v>
      </c>
      <c r="B123" s="15" t="s">
        <v>46</v>
      </c>
      <c r="C123" s="6">
        <f>E127+E128+E129</f>
        <v>50000.000000000015</v>
      </c>
      <c r="D123" s="7" t="s">
        <v>76</v>
      </c>
      <c r="E123" s="15">
        <v>54000.000000000007</v>
      </c>
      <c r="F123" s="6">
        <f>$E$86</f>
        <v>408.65999999999997</v>
      </c>
    </row>
    <row r="124" spans="1:6" x14ac:dyDescent="0.2">
      <c r="A124" s="7" t="s">
        <v>32</v>
      </c>
      <c r="B124" s="15" t="s">
        <v>47</v>
      </c>
      <c r="C124" s="6">
        <f>E130+E131+E132+E133</f>
        <v>75000</v>
      </c>
      <c r="D124" s="7" t="s">
        <v>77</v>
      </c>
      <c r="E124" s="15">
        <v>56000</v>
      </c>
      <c r="F124" s="6">
        <f>$F$83</f>
        <v>297.33999999999997</v>
      </c>
    </row>
    <row r="125" spans="1:6" x14ac:dyDescent="0.2">
      <c r="A125" s="7" t="s">
        <v>34</v>
      </c>
      <c r="B125" s="15" t="s">
        <v>48</v>
      </c>
      <c r="C125" s="6">
        <f>E134</f>
        <v>0</v>
      </c>
      <c r="D125" s="7" t="s">
        <v>78</v>
      </c>
      <c r="E125" s="15">
        <v>19000</v>
      </c>
      <c r="F125" s="6">
        <f>$F$85</f>
        <v>96.8</v>
      </c>
    </row>
    <row r="126" spans="1:6" x14ac:dyDescent="0.2">
      <c r="A126" s="7" t="s">
        <v>35</v>
      </c>
      <c r="B126" s="15" t="s">
        <v>49</v>
      </c>
      <c r="C126" s="6">
        <f>E135+E136</f>
        <v>50000</v>
      </c>
      <c r="D126" s="7" t="s">
        <v>79</v>
      </c>
      <c r="E126" s="15">
        <v>0</v>
      </c>
      <c r="F126" s="6">
        <f>$F$86</f>
        <v>365.79</v>
      </c>
    </row>
    <row r="127" spans="1:6" x14ac:dyDescent="0.2">
      <c r="A127" s="7" t="s">
        <v>36</v>
      </c>
      <c r="B127" s="15" t="s">
        <v>50</v>
      </c>
      <c r="C127" s="6">
        <f>E137+E138+E139+E140</f>
        <v>50000</v>
      </c>
      <c r="D127" s="7" t="s">
        <v>80</v>
      </c>
      <c r="E127" s="15">
        <v>9000.0000000000036</v>
      </c>
      <c r="F127" s="6">
        <f>$G$83</f>
        <v>396.45</v>
      </c>
    </row>
    <row r="128" spans="1:6" x14ac:dyDescent="0.2">
      <c r="A128" s="7" t="s">
        <v>22</v>
      </c>
      <c r="B128" s="15" t="s">
        <v>106</v>
      </c>
      <c r="C128" s="6">
        <f>E130+E137</f>
        <v>75000</v>
      </c>
      <c r="D128" s="7" t="s">
        <v>81</v>
      </c>
      <c r="E128" s="15">
        <v>0</v>
      </c>
      <c r="F128" s="6">
        <f>$G$85</f>
        <v>299.14</v>
      </c>
    </row>
    <row r="129" spans="1:6" x14ac:dyDescent="0.2">
      <c r="A129" s="7" t="s">
        <v>23</v>
      </c>
      <c r="B129" s="15" t="s">
        <v>105</v>
      </c>
      <c r="C129" s="6">
        <f>E124+E127+E131+E138</f>
        <v>114999.99999999999</v>
      </c>
      <c r="D129" s="7" t="s">
        <v>82</v>
      </c>
      <c r="E129" s="15">
        <v>41000.000000000007</v>
      </c>
      <c r="F129" s="6">
        <f>$G$86</f>
        <v>258.07</v>
      </c>
    </row>
    <row r="130" spans="1:6" x14ac:dyDescent="0.2">
      <c r="A130" s="7" t="s">
        <v>24</v>
      </c>
      <c r="B130" s="15" t="s">
        <v>104</v>
      </c>
      <c r="C130" s="6">
        <f>E119+E120+E121+E134+E135</f>
        <v>85000.000000999979</v>
      </c>
      <c r="D130" s="7" t="s">
        <v>83</v>
      </c>
      <c r="E130" s="15">
        <v>25000.000000000007</v>
      </c>
      <c r="F130" s="6">
        <f>$H$82</f>
        <v>462.08</v>
      </c>
    </row>
    <row r="131" spans="1:6" x14ac:dyDescent="0.2">
      <c r="A131" s="7" t="s">
        <v>25</v>
      </c>
      <c r="B131" s="15" t="s">
        <v>103</v>
      </c>
      <c r="C131" s="6">
        <f>E122+E125+E128+E132+E136+E139</f>
        <v>69000</v>
      </c>
      <c r="D131" s="7" t="s">
        <v>84</v>
      </c>
      <c r="E131" s="15">
        <v>49999.999999999985</v>
      </c>
      <c r="F131" s="6">
        <f>$H$83</f>
        <v>197.16</v>
      </c>
    </row>
    <row r="132" spans="1:6" x14ac:dyDescent="0.2">
      <c r="A132" s="7" t="s">
        <v>26</v>
      </c>
      <c r="B132" s="15" t="s">
        <v>102</v>
      </c>
      <c r="C132" s="6">
        <f>E123+E126+E129+E133+E140</f>
        <v>95000.000000000015</v>
      </c>
      <c r="D132" s="7" t="s">
        <v>85</v>
      </c>
      <c r="E132" s="15">
        <v>0</v>
      </c>
      <c r="F132" s="6">
        <f>$H$85</f>
        <v>166.07999999999998</v>
      </c>
    </row>
    <row r="133" spans="1:6" ht="17" thickBot="1" x14ac:dyDescent="0.25">
      <c r="A133" s="7"/>
      <c r="B133" s="15"/>
      <c r="C133" s="6"/>
      <c r="D133" s="7" t="s">
        <v>86</v>
      </c>
      <c r="E133" s="15">
        <v>0</v>
      </c>
      <c r="F133" s="6">
        <f>$H$86</f>
        <v>246.74</v>
      </c>
    </row>
    <row r="134" spans="1:6" ht="17" thickBot="1" x14ac:dyDescent="0.25">
      <c r="A134" s="7" t="s">
        <v>40</v>
      </c>
      <c r="B134" s="21" t="s">
        <v>41</v>
      </c>
      <c r="C134" s="50">
        <f>SUMPRODUCT(E119:E140,F119:F140)</f>
        <v>119436350.00008753</v>
      </c>
      <c r="D134" s="7" t="s">
        <v>87</v>
      </c>
      <c r="E134" s="15">
        <v>0</v>
      </c>
      <c r="F134" s="6">
        <f>$J$84</f>
        <v>203.1</v>
      </c>
    </row>
    <row r="135" spans="1:6" x14ac:dyDescent="0.2">
      <c r="A135" s="7"/>
      <c r="B135" s="15"/>
      <c r="C135" s="6"/>
      <c r="D135" s="7" t="s">
        <v>88</v>
      </c>
      <c r="E135" s="15">
        <v>0</v>
      </c>
      <c r="F135" s="6">
        <f>$K$84</f>
        <v>408.32</v>
      </c>
    </row>
    <row r="136" spans="1:6" x14ac:dyDescent="0.2">
      <c r="A136" s="7"/>
      <c r="B136" s="15"/>
      <c r="C136" s="6"/>
      <c r="D136" s="7" t="s">
        <v>89</v>
      </c>
      <c r="E136" s="15">
        <v>50000</v>
      </c>
      <c r="F136" s="6">
        <f>$K$85</f>
        <v>333.58</v>
      </c>
    </row>
    <row r="137" spans="1:6" x14ac:dyDescent="0.2">
      <c r="A137" s="7"/>
      <c r="B137" s="15"/>
      <c r="C137" s="6"/>
      <c r="D137" s="7" t="s">
        <v>90</v>
      </c>
      <c r="E137" s="15">
        <v>50000</v>
      </c>
      <c r="F137" s="6">
        <f>$L$82</f>
        <v>384.01</v>
      </c>
    </row>
    <row r="138" spans="1:6" x14ac:dyDescent="0.2">
      <c r="A138" s="7"/>
      <c r="B138" s="15"/>
      <c r="C138" s="6"/>
      <c r="D138" s="7" t="s">
        <v>91</v>
      </c>
      <c r="E138" s="15">
        <v>0</v>
      </c>
      <c r="F138" s="6">
        <f>$L$83</f>
        <v>315.56</v>
      </c>
    </row>
    <row r="139" spans="1:6" x14ac:dyDescent="0.2">
      <c r="A139" s="7"/>
      <c r="B139" s="15"/>
      <c r="C139" s="6"/>
      <c r="D139" s="7" t="s">
        <v>92</v>
      </c>
      <c r="E139" s="15">
        <v>0</v>
      </c>
      <c r="F139" s="6">
        <f>$L$85</f>
        <v>398.07</v>
      </c>
    </row>
    <row r="140" spans="1:6" ht="17" thickBot="1" x14ac:dyDescent="0.25">
      <c r="A140" s="9"/>
      <c r="B140" s="10"/>
      <c r="C140" s="16"/>
      <c r="D140" s="9" t="s">
        <v>93</v>
      </c>
      <c r="E140" s="10">
        <v>0</v>
      </c>
      <c r="F140" s="16">
        <f>$L$86</f>
        <v>97.63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Sindhu Sadineni</cp:lastModifiedBy>
  <dcterms:created xsi:type="dcterms:W3CDTF">2019-03-25T06:53:17Z</dcterms:created>
  <dcterms:modified xsi:type="dcterms:W3CDTF">2021-08-24T23:30:23Z</dcterms:modified>
  <cp:category/>
</cp:coreProperties>
</file>