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11.xml" ContentType="application/vnd.openxmlformats-officedocument.spreadsheetml.pivotTable+xml"/>
  <Override PartName="/xl/drawings/drawing1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3.xml" ContentType="application/vnd.openxmlformats-officedocument.spreadsheetml.pivotTable+xml"/>
  <Override PartName="/xl/drawings/drawing14.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pivotTables/pivotTable14.xml" ContentType="application/vnd.openxmlformats-officedocument.spreadsheetml.pivotTable+xml"/>
  <Override PartName="/xl/drawings/drawing1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pivotTables/pivotTable15.xml" ContentType="application/vnd.openxmlformats-officedocument.spreadsheetml.pivotTable+xml"/>
  <Override PartName="/xl/drawings/drawing1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codeName="ThisWorkbook" hidePivotFieldList="1"/>
  <mc:AlternateContent xmlns:mc="http://schemas.openxmlformats.org/markup-compatibility/2006">
    <mc:Choice Requires="x15">
      <x15ac:absPath xmlns:x15ac="http://schemas.microsoft.com/office/spreadsheetml/2010/11/ac" url="E:\TRISEMESTER 1\FRA\Finance Project 1\"/>
    </mc:Choice>
  </mc:AlternateContent>
  <xr:revisionPtr revIDLastSave="0" documentId="13_ncr:1_{4E533DE4-E8AF-4660-A04C-29C6E8889BF6}" xr6:coauthVersionLast="36" xr6:coauthVersionMax="47" xr10:uidLastSave="{00000000-0000-0000-0000-000000000000}"/>
  <bookViews>
    <workbookView xWindow="0" yWindow="0" windowWidth="19200" windowHeight="8010" tabRatio="825" activeTab="6" xr2:uid="{00000000-000D-0000-FFFF-FFFF00000000}"/>
  </bookViews>
  <sheets>
    <sheet name="IS Analysis" sheetId="24" r:id="rId1"/>
    <sheet name="BS And Ratio Analysis" sheetId="25" r:id="rId2"/>
    <sheet name="CFS" sheetId="26" r:id="rId3"/>
    <sheet name="Profit &amp; Loss" sheetId="1" state="hidden" r:id="rId4"/>
    <sheet name="Balance Sheet" sheetId="2" state="hidden" r:id="rId5"/>
    <sheet name="Cash Flow" sheetId="4" state="hidden" r:id="rId6"/>
    <sheet name="Data" sheetId="7" r:id="rId7"/>
    <sheet name="Dashboard" sheetId="23" r:id="rId8"/>
    <sheet name="Sales GR" sheetId="8" r:id="rId9"/>
    <sheet name="OP GR" sheetId="9" r:id="rId10"/>
    <sheet name="Dividend Payout" sheetId="10" r:id="rId11"/>
    <sheet name="OPM" sheetId="11" r:id="rId12"/>
    <sheet name="NPM" sheetId="12" r:id="rId13"/>
    <sheet name="Interest Coverage Ratio" sheetId="13" r:id="rId14"/>
    <sheet name="Inventory Turnover" sheetId="14" r:id="rId15"/>
    <sheet name="Return on Equity" sheetId="15" r:id="rId16"/>
    <sheet name="Invetory Conversion period" sheetId="16" r:id="rId17"/>
    <sheet name="Debtor Conversion Period" sheetId="17" r:id="rId18"/>
    <sheet name="Reserves as total Capital %" sheetId="18" r:id="rId19"/>
    <sheet name="YOY_CFO" sheetId="19" r:id="rId20"/>
    <sheet name="YOY_CFI" sheetId="20" r:id="rId21"/>
    <sheet name="CFO_MARGIN" sheetId="21" r:id="rId22"/>
    <sheet name="CFO INTEREST" sheetId="22" r:id="rId23"/>
    <sheet name="Quarters" sheetId="3" state="hidden" r:id="rId24"/>
    <sheet name="Customization" sheetId="5" state="hidden" r:id="rId25"/>
    <sheet name="Data Sheet" sheetId="6" state="hidden" r:id="rId26"/>
  </sheets>
  <externalReferences>
    <externalReference r:id="rId27"/>
  </externalReferences>
  <definedNames>
    <definedName name="Slicer_Company">#N/A</definedName>
    <definedName name="Slicer_Years">#N/A</definedName>
    <definedName name="UPDATE">'Data Sheet'!$E$1</definedName>
  </definedNames>
  <calcPr calcId="191029"/>
  <pivotCaches>
    <pivotCache cacheId="0" r:id="rId28"/>
  </pivotCaches>
  <extLst>
    <ext xmlns:x14="http://schemas.microsoft.com/office/spreadsheetml/2009/9/main" uri="{BBE1A952-AA13-448e-AADC-164F8A28A991}">
      <x14:slicerCaches>
        <x14:slicerCache r:id="rId29"/>
        <x14:slicerCache r:id="rId30"/>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8" i="1" l="1"/>
  <c r="M8" i="1"/>
  <c r="N8" i="1"/>
  <c r="L5" i="1"/>
  <c r="M5" i="1"/>
  <c r="N5" i="1"/>
  <c r="G12" i="26" l="1"/>
  <c r="F12" i="26"/>
  <c r="E12" i="26"/>
  <c r="D12" i="26"/>
  <c r="C12" i="26"/>
  <c r="G11" i="26"/>
  <c r="F11" i="26"/>
  <c r="E11" i="26"/>
  <c r="D11" i="26"/>
  <c r="C11" i="26"/>
  <c r="G10" i="26"/>
  <c r="F10" i="26"/>
  <c r="E10" i="26"/>
  <c r="D10" i="26"/>
  <c r="G9" i="26"/>
  <c r="F9" i="26"/>
  <c r="E9" i="26"/>
  <c r="D9" i="26"/>
  <c r="G80" i="25"/>
  <c r="F80" i="25"/>
  <c r="E80" i="25"/>
  <c r="D80" i="25"/>
  <c r="C80" i="25"/>
  <c r="G79" i="25"/>
  <c r="F79" i="25"/>
  <c r="E79" i="25"/>
  <c r="D79" i="25"/>
  <c r="C79" i="25"/>
  <c r="G78" i="25"/>
  <c r="F78" i="25"/>
  <c r="E78" i="25"/>
  <c r="D78" i="25"/>
  <c r="C78" i="25"/>
  <c r="G77" i="25"/>
  <c r="F77" i="25"/>
  <c r="E77" i="25"/>
  <c r="D77" i="25"/>
  <c r="C77" i="25"/>
  <c r="G76" i="25"/>
  <c r="F76" i="25"/>
  <c r="E76" i="25"/>
  <c r="D76" i="25"/>
  <c r="C76" i="25"/>
  <c r="G73" i="25"/>
  <c r="F73" i="25"/>
  <c r="E73" i="25"/>
  <c r="D73" i="25"/>
  <c r="C73" i="25"/>
  <c r="G72" i="25"/>
  <c r="F72" i="25"/>
  <c r="E72" i="25"/>
  <c r="D72" i="25"/>
  <c r="C72" i="25"/>
  <c r="G71" i="25"/>
  <c r="F71" i="25"/>
  <c r="E71" i="25"/>
  <c r="D71" i="25"/>
  <c r="G114" i="25"/>
  <c r="F114" i="25"/>
  <c r="E114" i="25"/>
  <c r="D114" i="25"/>
  <c r="C114" i="25"/>
  <c r="G113" i="25"/>
  <c r="F113" i="25"/>
  <c r="E113" i="25"/>
  <c r="D113" i="25"/>
  <c r="C113" i="25"/>
  <c r="G110" i="25"/>
  <c r="F110" i="25"/>
  <c r="E110" i="25"/>
  <c r="D110" i="25"/>
  <c r="C110" i="25"/>
  <c r="G109" i="25"/>
  <c r="F109" i="25"/>
  <c r="E109" i="25"/>
  <c r="D109" i="25"/>
  <c r="C109" i="25"/>
  <c r="G108" i="25"/>
  <c r="F108" i="25"/>
  <c r="E108" i="25"/>
  <c r="D108" i="25"/>
  <c r="C108" i="25"/>
  <c r="G105" i="25"/>
  <c r="F105" i="25"/>
  <c r="E105" i="25"/>
  <c r="D105" i="25"/>
  <c r="C105" i="25"/>
  <c r="G104" i="25"/>
  <c r="F104" i="25"/>
  <c r="E104" i="25"/>
  <c r="D104" i="25"/>
  <c r="C104" i="25"/>
  <c r="G101" i="25"/>
  <c r="F101" i="25"/>
  <c r="E101" i="25"/>
  <c r="D101" i="25"/>
  <c r="G100" i="25"/>
  <c r="F100" i="25"/>
  <c r="E100" i="25"/>
  <c r="D100" i="25"/>
  <c r="G99" i="25"/>
  <c r="F99" i="25"/>
  <c r="E99" i="25"/>
  <c r="D99" i="25"/>
  <c r="G98" i="25"/>
  <c r="F98" i="25"/>
  <c r="E98" i="25"/>
  <c r="D98" i="25"/>
  <c r="G94" i="25"/>
  <c r="F94" i="25"/>
  <c r="E94" i="25"/>
  <c r="D94" i="25"/>
  <c r="C94" i="25"/>
  <c r="G93" i="25"/>
  <c r="F93" i="25"/>
  <c r="E93" i="25"/>
  <c r="D93" i="25"/>
  <c r="G92" i="25"/>
  <c r="F92" i="25"/>
  <c r="E92" i="25"/>
  <c r="D92" i="25"/>
  <c r="G91" i="25"/>
  <c r="F91" i="25"/>
  <c r="E91" i="25"/>
  <c r="D91" i="25"/>
  <c r="C91" i="25"/>
  <c r="G88" i="25"/>
  <c r="F88" i="25"/>
  <c r="E88" i="25"/>
  <c r="D88" i="25"/>
  <c r="C88" i="25"/>
  <c r="O56" i="25"/>
  <c r="N56" i="25"/>
  <c r="M56" i="25"/>
  <c r="L56" i="25"/>
  <c r="O53" i="25"/>
  <c r="N53" i="25"/>
  <c r="M53" i="25"/>
  <c r="L53" i="25"/>
  <c r="O50" i="25"/>
  <c r="N50" i="25"/>
  <c r="M50" i="25"/>
  <c r="L50" i="25"/>
  <c r="O48" i="25"/>
  <c r="N48" i="25"/>
  <c r="M48" i="25"/>
  <c r="L48" i="25"/>
  <c r="O111" i="25"/>
  <c r="N111" i="25"/>
  <c r="M111" i="25"/>
  <c r="L111" i="25"/>
  <c r="K111" i="25"/>
  <c r="O45" i="25"/>
  <c r="N45" i="25"/>
  <c r="M45" i="25"/>
  <c r="L45" i="25"/>
  <c r="O110" i="25"/>
  <c r="N110" i="25"/>
  <c r="M110" i="25"/>
  <c r="L110" i="25"/>
  <c r="K110" i="25"/>
  <c r="O44" i="25"/>
  <c r="N44" i="25"/>
  <c r="M44" i="25"/>
  <c r="L44" i="25"/>
  <c r="O109" i="25"/>
  <c r="N109" i="25"/>
  <c r="M109" i="25"/>
  <c r="L109" i="25"/>
  <c r="K109" i="25"/>
  <c r="O43" i="25"/>
  <c r="N43" i="25"/>
  <c r="M43" i="25"/>
  <c r="L43" i="25"/>
  <c r="O108" i="25"/>
  <c r="N108" i="25"/>
  <c r="M108" i="25"/>
  <c r="L108" i="25"/>
  <c r="K108" i="25"/>
  <c r="O42" i="25"/>
  <c r="N42" i="25"/>
  <c r="M42" i="25"/>
  <c r="L42" i="25"/>
  <c r="O107" i="25"/>
  <c r="N107" i="25"/>
  <c r="M107" i="25"/>
  <c r="L107" i="25"/>
  <c r="K107" i="25"/>
  <c r="O41" i="25"/>
  <c r="N41" i="25"/>
  <c r="M41" i="25"/>
  <c r="L41" i="25"/>
  <c r="O106" i="25"/>
  <c r="N106" i="25"/>
  <c r="M106" i="25"/>
  <c r="L106" i="25"/>
  <c r="K106" i="25"/>
  <c r="O40" i="25"/>
  <c r="N40" i="25"/>
  <c r="M40" i="25"/>
  <c r="L40" i="25"/>
  <c r="O105" i="25"/>
  <c r="N105" i="25"/>
  <c r="M105" i="25"/>
  <c r="L105" i="25"/>
  <c r="K105" i="25"/>
  <c r="O39" i="25"/>
  <c r="N39" i="25"/>
  <c r="M39" i="25"/>
  <c r="L39" i="25"/>
  <c r="O104" i="25"/>
  <c r="N104" i="25"/>
  <c r="M104" i="25"/>
  <c r="L104" i="25"/>
  <c r="K104" i="25"/>
  <c r="O38" i="25"/>
  <c r="N38" i="25"/>
  <c r="M38" i="25"/>
  <c r="L38" i="25"/>
  <c r="O103" i="25"/>
  <c r="N103" i="25"/>
  <c r="M103" i="25"/>
  <c r="L103" i="25"/>
  <c r="K103" i="25"/>
  <c r="O102" i="25"/>
  <c r="N102" i="25"/>
  <c r="M102" i="25"/>
  <c r="L102" i="25"/>
  <c r="K102" i="25"/>
  <c r="O36" i="25"/>
  <c r="N36" i="25"/>
  <c r="M36" i="25"/>
  <c r="L36" i="25"/>
  <c r="O101" i="25"/>
  <c r="N101" i="25"/>
  <c r="M101" i="25"/>
  <c r="L101" i="25"/>
  <c r="K101" i="25"/>
  <c r="O35" i="25"/>
  <c r="N35" i="25"/>
  <c r="M35" i="25"/>
  <c r="L35" i="25"/>
  <c r="O100" i="25"/>
  <c r="N100" i="25"/>
  <c r="M100" i="25"/>
  <c r="L100" i="25"/>
  <c r="K100" i="25"/>
  <c r="O34" i="25"/>
  <c r="N34" i="25"/>
  <c r="M34" i="25"/>
  <c r="L34" i="25"/>
  <c r="O99" i="25"/>
  <c r="N99" i="25"/>
  <c r="M99" i="25"/>
  <c r="L99" i="25"/>
  <c r="K99" i="25"/>
  <c r="O33" i="25"/>
  <c r="N33" i="25"/>
  <c r="M33" i="25"/>
  <c r="L33" i="25"/>
  <c r="O98" i="25"/>
  <c r="N98" i="25"/>
  <c r="M98" i="25"/>
  <c r="L98" i="25"/>
  <c r="K98" i="25"/>
  <c r="O32" i="25"/>
  <c r="N32" i="25"/>
  <c r="M32" i="25"/>
  <c r="L32" i="25"/>
  <c r="O97" i="25"/>
  <c r="N97" i="25"/>
  <c r="M97" i="25"/>
  <c r="L97" i="25"/>
  <c r="K97" i="25"/>
  <c r="O31" i="25"/>
  <c r="N31" i="25"/>
  <c r="M31" i="25"/>
  <c r="L31" i="25"/>
  <c r="O96" i="25"/>
  <c r="N96" i="25"/>
  <c r="M96" i="25"/>
  <c r="L96" i="25"/>
  <c r="K96" i="25"/>
  <c r="O30" i="25"/>
  <c r="N30" i="25"/>
  <c r="M30" i="25"/>
  <c r="L30" i="25"/>
  <c r="O95" i="25"/>
  <c r="N95" i="25"/>
  <c r="M95" i="25"/>
  <c r="L95" i="25"/>
  <c r="K95" i="25"/>
  <c r="O29" i="25"/>
  <c r="N29" i="25"/>
  <c r="M29" i="25"/>
  <c r="L29" i="25"/>
  <c r="O94" i="25"/>
  <c r="N94" i="25"/>
  <c r="M94" i="25"/>
  <c r="L94" i="25"/>
  <c r="K94" i="25"/>
  <c r="O28" i="25"/>
  <c r="N28" i="25"/>
  <c r="M28" i="25"/>
  <c r="L28" i="25"/>
  <c r="O91" i="25"/>
  <c r="N91" i="25"/>
  <c r="M91" i="25"/>
  <c r="L91" i="25"/>
  <c r="K91" i="25"/>
  <c r="O25" i="25"/>
  <c r="N25" i="25"/>
  <c r="M25" i="25"/>
  <c r="L25" i="25"/>
  <c r="O90" i="25"/>
  <c r="N90" i="25"/>
  <c r="M90" i="25"/>
  <c r="L90" i="25"/>
  <c r="K90" i="25"/>
  <c r="O24" i="25"/>
  <c r="N24" i="25"/>
  <c r="M24" i="25"/>
  <c r="L24" i="25"/>
  <c r="O89" i="25"/>
  <c r="N89" i="25"/>
  <c r="M89" i="25"/>
  <c r="L89" i="25"/>
  <c r="K89" i="25"/>
  <c r="O23" i="25"/>
  <c r="N23" i="25"/>
  <c r="M23" i="25"/>
  <c r="L23" i="25"/>
  <c r="O88" i="25"/>
  <c r="N88" i="25"/>
  <c r="M88" i="25"/>
  <c r="L88" i="25"/>
  <c r="K88" i="25"/>
  <c r="O22" i="25"/>
  <c r="N22" i="25"/>
  <c r="M22" i="25"/>
  <c r="L22" i="25"/>
  <c r="O87" i="25"/>
  <c r="N87" i="25"/>
  <c r="M87" i="25"/>
  <c r="L87" i="25"/>
  <c r="K87" i="25"/>
  <c r="O21" i="25"/>
  <c r="N21" i="25"/>
  <c r="M21" i="25"/>
  <c r="L21" i="25"/>
  <c r="O86" i="25"/>
  <c r="N86" i="25"/>
  <c r="M86" i="25"/>
  <c r="L86" i="25"/>
  <c r="K86" i="25"/>
  <c r="O20" i="25"/>
  <c r="N20" i="25"/>
  <c r="M20" i="25"/>
  <c r="L20" i="25"/>
  <c r="O85" i="25"/>
  <c r="N85" i="25"/>
  <c r="M85" i="25"/>
  <c r="L85" i="25"/>
  <c r="K85" i="25"/>
  <c r="O84" i="25"/>
  <c r="N84" i="25"/>
  <c r="M84" i="25"/>
  <c r="L84" i="25"/>
  <c r="K84" i="25"/>
  <c r="O18" i="25"/>
  <c r="N18" i="25"/>
  <c r="M18" i="25"/>
  <c r="L18" i="25"/>
  <c r="O83" i="25"/>
  <c r="N83" i="25"/>
  <c r="M83" i="25"/>
  <c r="L83" i="25"/>
  <c r="K83" i="25"/>
  <c r="O17" i="25"/>
  <c r="N17" i="25"/>
  <c r="M17" i="25"/>
  <c r="L17" i="25"/>
  <c r="O81" i="25"/>
  <c r="N81" i="25"/>
  <c r="M81" i="25"/>
  <c r="L81" i="25"/>
  <c r="K81" i="25"/>
  <c r="O16" i="25"/>
  <c r="N16" i="25"/>
  <c r="M16" i="25"/>
  <c r="L16" i="25"/>
  <c r="O80" i="25"/>
  <c r="N80" i="25"/>
  <c r="M80" i="25"/>
  <c r="L80" i="25"/>
  <c r="K80" i="25"/>
  <c r="O15" i="25"/>
  <c r="N15" i="25"/>
  <c r="M15" i="25"/>
  <c r="L15" i="25"/>
  <c r="O79" i="25"/>
  <c r="N79" i="25"/>
  <c r="M79" i="25"/>
  <c r="L79" i="25"/>
  <c r="K79" i="25"/>
  <c r="O14" i="25"/>
  <c r="N14" i="25"/>
  <c r="M14" i="25"/>
  <c r="L14" i="25"/>
  <c r="O78" i="25"/>
  <c r="N78" i="25"/>
  <c r="M78" i="25"/>
  <c r="L78" i="25"/>
  <c r="K78" i="25"/>
  <c r="O77" i="25"/>
  <c r="N77" i="25"/>
  <c r="M77" i="25"/>
  <c r="L77" i="25"/>
  <c r="K77" i="25"/>
  <c r="O12" i="25"/>
  <c r="N12" i="25"/>
  <c r="M12" i="25"/>
  <c r="L12" i="25"/>
  <c r="O76" i="25"/>
  <c r="N76" i="25"/>
  <c r="M76" i="25"/>
  <c r="L76" i="25"/>
  <c r="K76" i="25"/>
  <c r="O11" i="25"/>
  <c r="N11" i="25"/>
  <c r="M11" i="25"/>
  <c r="L11" i="25"/>
  <c r="O75" i="25"/>
  <c r="N75" i="25"/>
  <c r="M75" i="25"/>
  <c r="L75" i="25"/>
  <c r="K75" i="25"/>
  <c r="O10" i="25"/>
  <c r="N10" i="25"/>
  <c r="M10" i="25"/>
  <c r="L10" i="25"/>
  <c r="O74" i="25"/>
  <c r="N74" i="25"/>
  <c r="M74" i="25"/>
  <c r="L74" i="25"/>
  <c r="K74" i="25"/>
  <c r="O9" i="25"/>
  <c r="N9" i="25"/>
  <c r="M9" i="25"/>
  <c r="L9" i="25"/>
  <c r="O73" i="25"/>
  <c r="N73" i="25"/>
  <c r="M73" i="25"/>
  <c r="L73" i="25"/>
  <c r="K73" i="25"/>
  <c r="O8" i="25"/>
  <c r="N8" i="25"/>
  <c r="M8" i="25"/>
  <c r="L8" i="25"/>
  <c r="O72" i="25"/>
  <c r="N72" i="25"/>
  <c r="M72" i="25"/>
  <c r="L72" i="25"/>
  <c r="K72" i="25"/>
  <c r="O7" i="25"/>
  <c r="N7" i="25"/>
  <c r="M7" i="25"/>
  <c r="L7" i="25"/>
  <c r="O16" i="24"/>
  <c r="N16" i="24"/>
  <c r="M16" i="24"/>
  <c r="L16" i="24"/>
  <c r="K16" i="24"/>
  <c r="O14" i="24"/>
  <c r="N14" i="24"/>
  <c r="M14" i="24"/>
  <c r="L14" i="24"/>
  <c r="K14" i="24"/>
  <c r="O12" i="24"/>
  <c r="N12" i="24"/>
  <c r="M12" i="24"/>
  <c r="L12" i="24"/>
  <c r="K12" i="24"/>
  <c r="O10" i="24"/>
  <c r="N10" i="24"/>
  <c r="M10" i="24"/>
  <c r="L10" i="24"/>
  <c r="K10" i="24"/>
  <c r="O8" i="24"/>
  <c r="N8" i="24"/>
  <c r="M8" i="24"/>
  <c r="L8" i="24"/>
  <c r="K8" i="24"/>
  <c r="O6" i="24"/>
  <c r="N6" i="24"/>
  <c r="M6" i="24"/>
  <c r="L6" i="24"/>
  <c r="K6" i="24"/>
  <c r="O4" i="24"/>
  <c r="N4" i="24"/>
  <c r="M4" i="24"/>
  <c r="L4" i="24"/>
  <c r="K4" i="24"/>
  <c r="O3" i="24"/>
  <c r="N3" i="24"/>
  <c r="M3" i="24"/>
  <c r="V21" i="24" s="1"/>
  <c r="L3" i="24"/>
  <c r="U21" i="24" s="1"/>
  <c r="K3" i="24"/>
  <c r="W28" i="24" l="1"/>
  <c r="U4" i="24"/>
  <c r="V10" i="24"/>
  <c r="W34" i="24"/>
  <c r="V12" i="24"/>
  <c r="W30" i="24"/>
  <c r="W22" i="24"/>
  <c r="X4" i="24"/>
  <c r="W14" i="24"/>
  <c r="W3" i="24"/>
  <c r="U22" i="24"/>
  <c r="T21" i="24"/>
  <c r="V22" i="24"/>
  <c r="W26" i="24"/>
  <c r="U28" i="24"/>
  <c r="V6" i="24"/>
  <c r="N5" i="24"/>
  <c r="W23" i="24" s="1"/>
  <c r="W6" i="24"/>
  <c r="U12" i="24"/>
  <c r="O5" i="24"/>
  <c r="O7" i="24" s="1"/>
  <c r="X16" i="24"/>
  <c r="X30" i="24"/>
  <c r="W21" i="24"/>
  <c r="U24" i="24"/>
  <c r="U10" i="24"/>
  <c r="V4" i="24"/>
  <c r="U6" i="24"/>
  <c r="X28" i="24"/>
  <c r="M22" i="24"/>
  <c r="T26" i="24"/>
  <c r="U34" i="24"/>
  <c r="T22" i="24"/>
  <c r="U26" i="24"/>
  <c r="V16" i="24"/>
  <c r="X32" i="24"/>
  <c r="X34" i="24"/>
  <c r="U16" i="24"/>
  <c r="O22" i="24"/>
  <c r="X22" i="24"/>
  <c r="W8" i="24"/>
  <c r="T28" i="24"/>
  <c r="X8" i="24"/>
  <c r="U32" i="24"/>
  <c r="W16" i="24"/>
  <c r="V8" i="24"/>
  <c r="X10" i="24"/>
  <c r="X21" i="24"/>
  <c r="T32" i="24"/>
  <c r="V26" i="24"/>
  <c r="V28" i="24"/>
  <c r="V14" i="24"/>
  <c r="W10" i="24"/>
  <c r="T34" i="24"/>
  <c r="L22" i="24"/>
  <c r="X26" i="24"/>
  <c r="X14" i="24"/>
  <c r="V32" i="24"/>
  <c r="V34" i="24"/>
  <c r="N22" i="24"/>
  <c r="W4" i="24"/>
  <c r="X24" i="24"/>
  <c r="U30" i="24"/>
  <c r="W32" i="24"/>
  <c r="D81" i="25"/>
  <c r="F81" i="25"/>
  <c r="G81" i="25"/>
  <c r="E81" i="25"/>
  <c r="C81" i="25"/>
  <c r="W12" i="24"/>
  <c r="T30" i="24"/>
  <c r="K5" i="24"/>
  <c r="X6" i="24"/>
  <c r="X12" i="24"/>
  <c r="T24" i="24"/>
  <c r="U8" i="24"/>
  <c r="U14" i="24"/>
  <c r="U3" i="24"/>
  <c r="L5" i="24"/>
  <c r="V24" i="24"/>
  <c r="V30" i="24"/>
  <c r="V3" i="24"/>
  <c r="M5" i="24"/>
  <c r="W24" i="24"/>
  <c r="X3" i="24"/>
  <c r="X23" i="24" l="1"/>
  <c r="Q22" i="24"/>
  <c r="X5" i="24"/>
  <c r="N7" i="24"/>
  <c r="W25" i="24" s="1"/>
  <c r="U23" i="24"/>
  <c r="L7" i="24"/>
  <c r="U5" i="24"/>
  <c r="V5" i="24"/>
  <c r="V23" i="24"/>
  <c r="M7" i="24"/>
  <c r="O9" i="24"/>
  <c r="X25" i="24"/>
  <c r="K7" i="24"/>
  <c r="W5" i="24"/>
  <c r="T23" i="24"/>
  <c r="N9" i="24"/>
  <c r="T25" i="24" l="1"/>
  <c r="K9" i="24"/>
  <c r="X9" i="24" s="1"/>
  <c r="X7" i="24"/>
  <c r="O11" i="24"/>
  <c r="O25" i="24"/>
  <c r="X27" i="24"/>
  <c r="V25" i="24"/>
  <c r="V7" i="24"/>
  <c r="M9" i="24"/>
  <c r="W7" i="24"/>
  <c r="N11" i="24"/>
  <c r="N25" i="24"/>
  <c r="W27" i="24"/>
  <c r="U7" i="24"/>
  <c r="U25" i="24"/>
  <c r="L9" i="24"/>
  <c r="K11" i="24" l="1"/>
  <c r="X11" i="24" s="1"/>
  <c r="K25" i="24"/>
  <c r="T27" i="24"/>
  <c r="W9" i="24"/>
  <c r="N13" i="24"/>
  <c r="N26" i="24"/>
  <c r="W29" i="24"/>
  <c r="V27" i="24"/>
  <c r="M11" i="24"/>
  <c r="N23" i="24" s="1"/>
  <c r="V9" i="24"/>
  <c r="M25" i="24"/>
  <c r="O26" i="24"/>
  <c r="O23" i="24"/>
  <c r="X29" i="24"/>
  <c r="O13" i="24"/>
  <c r="U27" i="24"/>
  <c r="L11" i="24"/>
  <c r="U9" i="24"/>
  <c r="L25" i="24"/>
  <c r="Q25" i="24" l="1"/>
  <c r="K13" i="24"/>
  <c r="X13" i="24" s="1"/>
  <c r="T29" i="24"/>
  <c r="K26" i="24"/>
  <c r="V11" i="24"/>
  <c r="M26" i="24"/>
  <c r="V29" i="24"/>
  <c r="M13" i="24"/>
  <c r="M23" i="24"/>
  <c r="W11" i="24"/>
  <c r="U11" i="24"/>
  <c r="L23" i="24"/>
  <c r="L13" i="24"/>
  <c r="L26" i="24"/>
  <c r="U29" i="24"/>
  <c r="O28" i="24"/>
  <c r="O15" i="24"/>
  <c r="X31" i="24"/>
  <c r="W31" i="24"/>
  <c r="N28" i="24"/>
  <c r="N15" i="24"/>
  <c r="Q23" i="24" l="1"/>
  <c r="Q26" i="24"/>
  <c r="T31" i="24"/>
  <c r="K28" i="24"/>
  <c r="K15" i="24"/>
  <c r="X15" i="24" s="1"/>
  <c r="L15" i="24"/>
  <c r="U31" i="24"/>
  <c r="U13" i="24"/>
  <c r="L28" i="24"/>
  <c r="W13" i="24"/>
  <c r="V31" i="24"/>
  <c r="V13" i="24"/>
  <c r="M28" i="24"/>
  <c r="M15" i="24"/>
  <c r="O17" i="24"/>
  <c r="X33" i="24"/>
  <c r="N17" i="24"/>
  <c r="W33" i="24"/>
  <c r="Q28" i="24" l="1"/>
  <c r="U33" i="24"/>
  <c r="L17" i="24"/>
  <c r="U15" i="24"/>
  <c r="N24" i="24"/>
  <c r="N27" i="24"/>
  <c r="W35" i="24"/>
  <c r="T33" i="24"/>
  <c r="K17" i="24"/>
  <c r="W17" i="24" s="1"/>
  <c r="O24" i="24"/>
  <c r="O27" i="24"/>
  <c r="X35" i="24"/>
  <c r="V33" i="24"/>
  <c r="M17" i="24"/>
  <c r="V15" i="24"/>
  <c r="W15" i="24"/>
  <c r="X17" i="24" l="1"/>
  <c r="V17" i="24"/>
  <c r="M24" i="24"/>
  <c r="V35" i="24"/>
  <c r="M27" i="24"/>
  <c r="L27" i="24"/>
  <c r="L24" i="24"/>
  <c r="U35" i="24"/>
  <c r="U17" i="24"/>
  <c r="T35" i="24"/>
  <c r="K27" i="24"/>
  <c r="Q27" i="24" l="1"/>
  <c r="Q24" i="24"/>
  <c r="C11" i="4" l="1"/>
  <c r="C27" i="2"/>
  <c r="D27" i="2"/>
  <c r="E27" i="2"/>
  <c r="F27" i="2"/>
  <c r="G27" i="2"/>
  <c r="H27" i="2"/>
  <c r="I27" i="2"/>
  <c r="J27" i="2"/>
  <c r="K27" i="2"/>
  <c r="B27" i="2"/>
  <c r="B26" i="2"/>
  <c r="B23" i="1"/>
  <c r="D11" i="4" l="1"/>
  <c r="E11" i="4"/>
  <c r="F11" i="4"/>
  <c r="G11" i="4"/>
  <c r="H11" i="4"/>
  <c r="I11" i="4"/>
  <c r="J11" i="4"/>
  <c r="K11" i="4"/>
  <c r="C13" i="4"/>
  <c r="D13" i="4"/>
  <c r="E13" i="4"/>
  <c r="F13" i="4"/>
  <c r="G13" i="4"/>
  <c r="H13" i="4"/>
  <c r="I13" i="4"/>
  <c r="J13" i="4"/>
  <c r="K13" i="4"/>
  <c r="B13" i="4"/>
  <c r="C12" i="4"/>
  <c r="D12" i="4"/>
  <c r="E12" i="4"/>
  <c r="F12" i="4"/>
  <c r="G12" i="4"/>
  <c r="H12" i="4"/>
  <c r="I12" i="4"/>
  <c r="J12" i="4"/>
  <c r="K12" i="4"/>
  <c r="D10" i="4"/>
  <c r="E10" i="4"/>
  <c r="F10" i="4"/>
  <c r="G10" i="4"/>
  <c r="H10" i="4"/>
  <c r="I10" i="4"/>
  <c r="J10" i="4"/>
  <c r="K10" i="4"/>
  <c r="B12" i="4"/>
  <c r="C10" i="4"/>
  <c r="C25" i="2"/>
  <c r="D25" i="2"/>
  <c r="E25" i="2"/>
  <c r="F25" i="2"/>
  <c r="G25" i="2"/>
  <c r="H25" i="2"/>
  <c r="I25" i="2"/>
  <c r="J25" i="2"/>
  <c r="K25" i="2"/>
  <c r="C26" i="2"/>
  <c r="D26" i="2"/>
  <c r="E26" i="2"/>
  <c r="F26" i="2"/>
  <c r="G26" i="2"/>
  <c r="H26" i="2"/>
  <c r="I26" i="2"/>
  <c r="J26" i="2"/>
  <c r="K26" i="2"/>
  <c r="B25" i="2"/>
  <c r="D5" i="1"/>
  <c r="E5" i="1"/>
  <c r="F5" i="1"/>
  <c r="G5" i="1"/>
  <c r="H5" i="1"/>
  <c r="I5" i="1"/>
  <c r="J5" i="1"/>
  <c r="K5" i="1"/>
  <c r="D8" i="1"/>
  <c r="E8" i="1"/>
  <c r="F8" i="1"/>
  <c r="G8" i="1"/>
  <c r="H8" i="1"/>
  <c r="I8" i="1"/>
  <c r="J8" i="1"/>
  <c r="K8" i="1"/>
  <c r="C23" i="1"/>
  <c r="D23" i="1"/>
  <c r="E23" i="1"/>
  <c r="F23" i="1"/>
  <c r="G23" i="1"/>
  <c r="H23" i="1"/>
  <c r="I23" i="1"/>
  <c r="J23" i="1"/>
  <c r="K23" i="1"/>
  <c r="I22" i="1"/>
  <c r="J22" i="1"/>
  <c r="K22" i="1"/>
  <c r="C22" i="1"/>
  <c r="D22" i="1"/>
  <c r="E22" i="1"/>
  <c r="F22" i="1"/>
  <c r="G22" i="1"/>
  <c r="H22" i="1"/>
  <c r="B22" i="1"/>
  <c r="C8" i="1"/>
  <c r="C6" i="3" l="1"/>
  <c r="D6" i="3"/>
  <c r="E6" i="3"/>
  <c r="F6" i="3"/>
  <c r="G6" i="3"/>
  <c r="H6" i="3"/>
  <c r="I6" i="3"/>
  <c r="J6" i="3"/>
  <c r="K6" i="3"/>
  <c r="B6" i="3"/>
  <c r="C6" i="1"/>
  <c r="D6" i="1"/>
  <c r="E6" i="1"/>
  <c r="F6" i="1"/>
  <c r="G6" i="1"/>
  <c r="H6" i="1"/>
  <c r="I6" i="1"/>
  <c r="J6" i="1"/>
  <c r="K6" i="1"/>
  <c r="B6" i="1"/>
  <c r="B6" i="6"/>
  <c r="C17" i="2"/>
  <c r="D17" i="2"/>
  <c r="E17" i="2"/>
  <c r="F17" i="2"/>
  <c r="G17" i="2"/>
  <c r="H17" i="2"/>
  <c r="I17" i="2"/>
  <c r="J17" i="2"/>
  <c r="K17" i="2"/>
  <c r="C18" i="2"/>
  <c r="D18" i="2"/>
  <c r="E18" i="2"/>
  <c r="F18" i="2"/>
  <c r="G18" i="2"/>
  <c r="H18" i="2"/>
  <c r="I18" i="2"/>
  <c r="J18" i="2"/>
  <c r="K18" i="2"/>
  <c r="B17" i="2"/>
  <c r="C4" i="2"/>
  <c r="D4" i="2"/>
  <c r="E4" i="2"/>
  <c r="E5" i="2"/>
  <c r="F4" i="2"/>
  <c r="G4" i="2"/>
  <c r="H4" i="2"/>
  <c r="I4" i="2"/>
  <c r="I5" i="2"/>
  <c r="J4" i="2"/>
  <c r="J5" i="2"/>
  <c r="J23" i="2" s="1"/>
  <c r="K4" i="2"/>
  <c r="K23" i="2" s="1"/>
  <c r="C5" i="2"/>
  <c r="D5" i="2"/>
  <c r="F5" i="2"/>
  <c r="G5" i="2"/>
  <c r="H5" i="2"/>
  <c r="K5" i="2"/>
  <c r="C6" i="2"/>
  <c r="D6" i="2"/>
  <c r="E6" i="2"/>
  <c r="F6" i="2"/>
  <c r="G6" i="2"/>
  <c r="H6" i="2"/>
  <c r="I6" i="2"/>
  <c r="J6" i="2"/>
  <c r="K6" i="2"/>
  <c r="C7" i="2"/>
  <c r="D7" i="2"/>
  <c r="E7" i="2"/>
  <c r="F7" i="2"/>
  <c r="G7" i="2"/>
  <c r="H7" i="2"/>
  <c r="I7" i="2"/>
  <c r="I16" i="2" s="1"/>
  <c r="J7" i="2"/>
  <c r="K7" i="2"/>
  <c r="K16" i="2" s="1"/>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E16" i="2" s="1"/>
  <c r="F13" i="2"/>
  <c r="F16" i="2" s="1"/>
  <c r="G13" i="2"/>
  <c r="H13" i="2"/>
  <c r="I13" i="2"/>
  <c r="J13" i="2"/>
  <c r="K13" i="2"/>
  <c r="C14" i="2"/>
  <c r="D14" i="2"/>
  <c r="E14" i="2"/>
  <c r="F14" i="2"/>
  <c r="G14" i="2"/>
  <c r="H14" i="2"/>
  <c r="I14" i="2"/>
  <c r="J14" i="2"/>
  <c r="K14" i="2"/>
  <c r="B14" i="2"/>
  <c r="B5" i="2"/>
  <c r="B4" i="2"/>
  <c r="C4" i="4"/>
  <c r="D4" i="4"/>
  <c r="E4" i="4"/>
  <c r="F4" i="4"/>
  <c r="G4" i="4"/>
  <c r="H4" i="4"/>
  <c r="I4" i="4"/>
  <c r="J4" i="4"/>
  <c r="K4" i="4"/>
  <c r="C5" i="4"/>
  <c r="D5" i="4"/>
  <c r="E5" i="4"/>
  <c r="F5" i="4"/>
  <c r="G5" i="4"/>
  <c r="H5" i="4"/>
  <c r="I5" i="4"/>
  <c r="J5" i="4"/>
  <c r="K5" i="4"/>
  <c r="C6" i="4"/>
  <c r="D6" i="4"/>
  <c r="E6" i="4"/>
  <c r="F6" i="4"/>
  <c r="G6" i="4"/>
  <c r="H6" i="4"/>
  <c r="I6" i="4"/>
  <c r="J6" i="4"/>
  <c r="K6" i="4"/>
  <c r="C7" i="4"/>
  <c r="D7" i="4"/>
  <c r="E7" i="4"/>
  <c r="F7" i="4"/>
  <c r="G7" i="4"/>
  <c r="H7" i="4"/>
  <c r="I7" i="4"/>
  <c r="J7" i="4"/>
  <c r="K7" i="4"/>
  <c r="C4" i="3"/>
  <c r="C14" i="3" s="1"/>
  <c r="D4" i="3"/>
  <c r="D14" i="3" s="1"/>
  <c r="E4" i="3"/>
  <c r="E14" i="3" s="1"/>
  <c r="F4" i="3"/>
  <c r="G4" i="3"/>
  <c r="H4" i="3"/>
  <c r="H14" i="3" s="1"/>
  <c r="I4" i="3"/>
  <c r="J4" i="3"/>
  <c r="K4" i="3"/>
  <c r="C5" i="3"/>
  <c r="D5" i="3"/>
  <c r="E5" i="3"/>
  <c r="F5" i="3"/>
  <c r="G5" i="3"/>
  <c r="H5" i="3"/>
  <c r="L6" i="1" s="1"/>
  <c r="I5" i="3"/>
  <c r="J5" i="3"/>
  <c r="K5" i="3"/>
  <c r="C7" i="3"/>
  <c r="D7" i="3"/>
  <c r="E7" i="3"/>
  <c r="F7" i="3"/>
  <c r="G7" i="3"/>
  <c r="H7" i="3"/>
  <c r="I7" i="3"/>
  <c r="J7" i="3"/>
  <c r="K7" i="3"/>
  <c r="C8" i="3"/>
  <c r="D8" i="3"/>
  <c r="E8" i="3"/>
  <c r="F8" i="3"/>
  <c r="G8" i="3"/>
  <c r="H8" i="3"/>
  <c r="I8" i="3"/>
  <c r="J8" i="3"/>
  <c r="K8" i="3"/>
  <c r="C9" i="3"/>
  <c r="D9" i="3"/>
  <c r="E9" i="3"/>
  <c r="F9" i="3"/>
  <c r="G9" i="3"/>
  <c r="H9" i="3"/>
  <c r="I9" i="3"/>
  <c r="J9" i="3"/>
  <c r="K9" i="3"/>
  <c r="C10" i="3"/>
  <c r="D10" i="3"/>
  <c r="E10" i="3"/>
  <c r="F10" i="3"/>
  <c r="G10" i="3"/>
  <c r="H10" i="3"/>
  <c r="L12" i="1" s="1"/>
  <c r="I10" i="3"/>
  <c r="J10" i="3"/>
  <c r="K10" i="3"/>
  <c r="C11" i="3"/>
  <c r="D11" i="3"/>
  <c r="E11" i="3"/>
  <c r="F11" i="3"/>
  <c r="G11" i="3"/>
  <c r="H11" i="3"/>
  <c r="I11" i="3"/>
  <c r="J11" i="3"/>
  <c r="L13" i="1" s="1"/>
  <c r="K11" i="3"/>
  <c r="C12" i="3"/>
  <c r="D12" i="3"/>
  <c r="E12" i="3"/>
  <c r="F12" i="3"/>
  <c r="G12" i="3"/>
  <c r="H12" i="3"/>
  <c r="I12" i="3"/>
  <c r="J12" i="3"/>
  <c r="K12" i="3"/>
  <c r="B5" i="3"/>
  <c r="C20" i="1"/>
  <c r="D20" i="1"/>
  <c r="E20" i="1"/>
  <c r="F20" i="1"/>
  <c r="G20" i="1"/>
  <c r="H20" i="1"/>
  <c r="I20" i="1"/>
  <c r="J20" i="1"/>
  <c r="K20" i="1"/>
  <c r="B20" i="1"/>
  <c r="C4" i="1"/>
  <c r="D4" i="1"/>
  <c r="E4" i="1"/>
  <c r="E20" i="2" s="1"/>
  <c r="F4" i="1"/>
  <c r="F20" i="2" s="1"/>
  <c r="G4" i="1"/>
  <c r="G20" i="2" s="1"/>
  <c r="H4" i="1"/>
  <c r="H21" i="2" s="1"/>
  <c r="I4" i="1"/>
  <c r="I21" i="2" s="1"/>
  <c r="J4" i="1"/>
  <c r="J7" i="1" s="1"/>
  <c r="J21" i="1" s="1"/>
  <c r="K4" i="1"/>
  <c r="H25" i="1" s="1"/>
  <c r="C9" i="1"/>
  <c r="D9" i="1"/>
  <c r="E9" i="1"/>
  <c r="F9" i="1"/>
  <c r="G9" i="1"/>
  <c r="H9" i="1"/>
  <c r="I9" i="1"/>
  <c r="J9" i="1"/>
  <c r="K9" i="1"/>
  <c r="C10" i="1"/>
  <c r="D10" i="1"/>
  <c r="E10" i="1"/>
  <c r="F10" i="1"/>
  <c r="G10" i="1"/>
  <c r="H10" i="1"/>
  <c r="I10" i="1"/>
  <c r="J10" i="1"/>
  <c r="K10" i="1"/>
  <c r="C11" i="1"/>
  <c r="D11" i="1"/>
  <c r="E11" i="1"/>
  <c r="F11" i="1"/>
  <c r="G11" i="1"/>
  <c r="H11" i="1"/>
  <c r="I11" i="1"/>
  <c r="J11" i="1"/>
  <c r="K11" i="1"/>
  <c r="C12" i="1"/>
  <c r="D12" i="1"/>
  <c r="E12" i="1"/>
  <c r="F12" i="1"/>
  <c r="G12" i="1"/>
  <c r="H12" i="1"/>
  <c r="I12" i="1"/>
  <c r="J12" i="1"/>
  <c r="K12" i="1"/>
  <c r="C13" i="1"/>
  <c r="D13" i="1"/>
  <c r="E13" i="1"/>
  <c r="F13" i="1"/>
  <c r="G13" i="1"/>
  <c r="H13" i="1"/>
  <c r="I13" i="1"/>
  <c r="J13" i="1"/>
  <c r="K13" i="1"/>
  <c r="C14" i="1"/>
  <c r="C15" i="1" s="1"/>
  <c r="D14" i="1"/>
  <c r="D23" i="2" s="1"/>
  <c r="E14" i="1"/>
  <c r="F14" i="1"/>
  <c r="F23" i="2" s="1"/>
  <c r="G14" i="1"/>
  <c r="G15" i="1" s="1"/>
  <c r="H14" i="1"/>
  <c r="H15" i="1" s="1"/>
  <c r="I14" i="1"/>
  <c r="I23" i="2" s="1"/>
  <c r="J14" i="1"/>
  <c r="J15" i="1" s="1"/>
  <c r="K14" i="1"/>
  <c r="K15" i="1" s="1"/>
  <c r="C17" i="1"/>
  <c r="D17" i="1"/>
  <c r="E17" i="1"/>
  <c r="F17" i="1"/>
  <c r="G17" i="1"/>
  <c r="H17" i="1"/>
  <c r="I17" i="1"/>
  <c r="J17" i="1"/>
  <c r="K17" i="1"/>
  <c r="B17" i="1"/>
  <c r="I15" i="1"/>
  <c r="B9" i="1"/>
  <c r="B4" i="1"/>
  <c r="B7" i="1" s="1"/>
  <c r="B21" i="1" s="1"/>
  <c r="A1" i="1"/>
  <c r="A1" i="2" s="1"/>
  <c r="A1" i="4" s="1"/>
  <c r="E1" i="6"/>
  <c r="H1" i="1" s="1"/>
  <c r="E1" i="2"/>
  <c r="E1" i="3"/>
  <c r="H16" i="2"/>
  <c r="D16" i="2"/>
  <c r="C16" i="2"/>
  <c r="C3" i="4"/>
  <c r="D3" i="4"/>
  <c r="E3" i="4"/>
  <c r="F3" i="4"/>
  <c r="G3" i="4"/>
  <c r="H3" i="4"/>
  <c r="I3" i="4"/>
  <c r="J3" i="4"/>
  <c r="K3" i="4"/>
  <c r="C3" i="2"/>
  <c r="D3" i="2"/>
  <c r="E3" i="2"/>
  <c r="F3" i="2"/>
  <c r="G3" i="2"/>
  <c r="H3" i="2"/>
  <c r="I3" i="2"/>
  <c r="J3" i="2"/>
  <c r="K3" i="2"/>
  <c r="C3" i="3"/>
  <c r="D3" i="3"/>
  <c r="E3" i="3"/>
  <c r="F3" i="3"/>
  <c r="G3" i="3"/>
  <c r="H3" i="3"/>
  <c r="I3" i="3"/>
  <c r="J3" i="3"/>
  <c r="K3" i="3"/>
  <c r="C3" i="1"/>
  <c r="D3" i="1"/>
  <c r="E3" i="1"/>
  <c r="F3" i="1"/>
  <c r="G3" i="1"/>
  <c r="H3" i="1"/>
  <c r="I3" i="1"/>
  <c r="J3" i="1"/>
  <c r="K3" i="1"/>
  <c r="B7" i="4"/>
  <c r="B6" i="4"/>
  <c r="B5" i="4"/>
  <c r="B4" i="4"/>
  <c r="B3" i="4"/>
  <c r="D21" i="2"/>
  <c r="B18" i="2"/>
  <c r="B13" i="2"/>
  <c r="B16" i="2" s="1"/>
  <c r="B12" i="2"/>
  <c r="B11" i="2"/>
  <c r="B10" i="2"/>
  <c r="B8" i="2"/>
  <c r="B7" i="2"/>
  <c r="B6" i="2"/>
  <c r="B3" i="2"/>
  <c r="J14" i="3"/>
  <c r="F14" i="3"/>
  <c r="B12" i="3"/>
  <c r="B11" i="3"/>
  <c r="B10" i="3"/>
  <c r="B9" i="3"/>
  <c r="B8" i="3"/>
  <c r="B7" i="3"/>
  <c r="B4" i="3"/>
  <c r="B3" i="3"/>
  <c r="L17" i="1"/>
  <c r="B14" i="1"/>
  <c r="B15" i="1" s="1"/>
  <c r="B13" i="1"/>
  <c r="B12" i="1"/>
  <c r="B11" i="1"/>
  <c r="B10" i="1"/>
  <c r="B3" i="1"/>
  <c r="I14" i="3"/>
  <c r="G14" i="3"/>
  <c r="D20" i="2"/>
  <c r="L14" i="1"/>
  <c r="L15" i="1" s="1"/>
  <c r="L7" i="1"/>
  <c r="G16" i="1" l="1"/>
  <c r="K21" i="2"/>
  <c r="A1" i="3"/>
  <c r="L16" i="1"/>
  <c r="L27" i="1" s="1"/>
  <c r="G23" i="2"/>
  <c r="C21" i="2"/>
  <c r="C5" i="1"/>
  <c r="K16" i="1"/>
  <c r="E23" i="2"/>
  <c r="F15" i="1"/>
  <c r="F16" i="1" s="1"/>
  <c r="K20" i="2"/>
  <c r="G7" i="1"/>
  <c r="G21" i="1" s="1"/>
  <c r="C16" i="1"/>
  <c r="E21" i="2"/>
  <c r="H23" i="2"/>
  <c r="J16" i="1"/>
  <c r="D7" i="1"/>
  <c r="D21" i="1" s="1"/>
  <c r="E24" i="2"/>
  <c r="K7" i="1"/>
  <c r="K21" i="1" s="1"/>
  <c r="K26" i="1" s="1"/>
  <c r="B21" i="2"/>
  <c r="G21" i="2"/>
  <c r="N13" i="1"/>
  <c r="M13" i="1"/>
  <c r="F21" i="2"/>
  <c r="K24" i="2"/>
  <c r="C24" i="2"/>
  <c r="B23" i="2"/>
  <c r="H16" i="1"/>
  <c r="J16" i="2"/>
  <c r="G16" i="2"/>
  <c r="D15" i="1"/>
  <c r="E15" i="1" s="1"/>
  <c r="E16" i="1" s="1"/>
  <c r="E7" i="1"/>
  <c r="E21" i="1" s="1"/>
  <c r="J25" i="1"/>
  <c r="C20" i="2"/>
  <c r="C7" i="1"/>
  <c r="C21" i="1" s="1"/>
  <c r="L10" i="1"/>
  <c r="M10" i="1" s="1"/>
  <c r="J24" i="2"/>
  <c r="B14" i="3"/>
  <c r="I16" i="1"/>
  <c r="I25" i="1"/>
  <c r="J20" i="2"/>
  <c r="J21" i="2"/>
  <c r="B20" i="2"/>
  <c r="K14" i="3"/>
  <c r="I24" i="2"/>
  <c r="H24" i="2"/>
  <c r="G24" i="2"/>
  <c r="L9" i="1"/>
  <c r="D24" i="2"/>
  <c r="C23" i="2"/>
  <c r="L11" i="1"/>
  <c r="M11" i="1" s="1"/>
  <c r="B16" i="1"/>
  <c r="L4" i="1"/>
  <c r="L25" i="1" s="1"/>
  <c r="I7" i="1"/>
  <c r="I21" i="1" s="1"/>
  <c r="F24" i="2"/>
  <c r="J27" i="1"/>
  <c r="I20" i="2"/>
  <c r="H20" i="2"/>
  <c r="K25" i="1"/>
  <c r="H7" i="1"/>
  <c r="H21" i="1" s="1"/>
  <c r="F7" i="1"/>
  <c r="F21" i="1" s="1"/>
  <c r="E1" i="4"/>
  <c r="I27" i="1" l="1"/>
  <c r="K27" i="1"/>
  <c r="M27" i="1" s="1"/>
  <c r="M16" i="1" s="1"/>
  <c r="H26" i="1"/>
  <c r="J26" i="1"/>
  <c r="N10" i="1"/>
  <c r="I26" i="1"/>
  <c r="N25" i="1"/>
  <c r="N4" i="1" s="1"/>
  <c r="L21" i="1"/>
  <c r="L26" i="1" s="1"/>
  <c r="M26" i="1" s="1"/>
  <c r="N11" i="1"/>
  <c r="M25" i="1"/>
  <c r="M4" i="1" s="1"/>
  <c r="D16" i="1"/>
  <c r="H27" i="1" s="1"/>
  <c r="N27" i="1" l="1"/>
  <c r="N16" i="1" s="1"/>
  <c r="M7" i="1"/>
  <c r="M12" i="1" s="1"/>
  <c r="M14" i="1" s="1"/>
  <c r="M15" i="1" s="1"/>
  <c r="M17" i="1" s="1"/>
  <c r="N26" i="1"/>
  <c r="N7" i="1" s="1"/>
  <c r="M6" i="1"/>
  <c r="N12" i="1" l="1"/>
  <c r="N14" i="1" s="1"/>
  <c r="N15" i="1" s="1"/>
  <c r="N17" i="1" s="1"/>
  <c r="N6" i="1"/>
</calcChain>
</file>

<file path=xl/sharedStrings.xml><?xml version="1.0" encoding="utf-8"?>
<sst xmlns="http://schemas.openxmlformats.org/spreadsheetml/2006/main" count="577" uniqueCount="291">
  <si>
    <t>COMPANY NAME</t>
  </si>
  <si>
    <t>SCREENER.IN</t>
  </si>
  <si>
    <t>Narration</t>
  </si>
  <si>
    <t>Trailing</t>
  </si>
  <si>
    <t>Best Case</t>
  </si>
  <si>
    <t>Worst Case</t>
  </si>
  <si>
    <t>Sales</t>
  </si>
  <si>
    <t>Expenses</t>
  </si>
  <si>
    <t>Operating Profit</t>
  </si>
  <si>
    <t>Other Income</t>
  </si>
  <si>
    <t>Depreciation</t>
  </si>
  <si>
    <t>Interest</t>
  </si>
  <si>
    <t>Profit before tax</t>
  </si>
  <si>
    <t>Tax</t>
  </si>
  <si>
    <t>Net profit</t>
  </si>
  <si>
    <t>RATIOS:</t>
  </si>
  <si>
    <t>Price to earning</t>
  </si>
  <si>
    <t>Dividend Payout</t>
  </si>
  <si>
    <t>OPM</t>
  </si>
  <si>
    <t>TRENDS:</t>
  </si>
  <si>
    <t>BEST</t>
  </si>
  <si>
    <t>WORST</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</si>
  <si>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</si>
  <si>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</si>
  <si>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</si>
  <si>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</si>
  <si>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</si>
  <si>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</si>
  <si>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</si>
  <si>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</si>
  <si>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</si>
  <si>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</si>
  <si>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</si>
  <si>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</si>
  <si>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</si>
  <si>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</si>
  <si>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</si>
  <si>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</si>
  <si>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</si>
  <si>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</si>
  <si>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</si>
  <si>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</si>
  <si>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</si>
  <si>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</si>
  <si>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</si>
  <si>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</si>
  <si>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</si>
  <si>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</si>
  <si>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</si>
  <si>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</si>
  <si>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</si>
  <si>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</si>
  <si>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</si>
  <si>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</si>
  <si>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</si>
  <si>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</si>
  <si>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How to use it?</t>
  </si>
  <si>
    <t>EPS</t>
  </si>
  <si>
    <t>Price</t>
  </si>
  <si>
    <t>Return on Equity</t>
  </si>
  <si>
    <t>Return on Capital Emp</t>
  </si>
  <si>
    <t>LATEST VERSION</t>
  </si>
  <si>
    <t>CURRENT VERSION</t>
  </si>
  <si>
    <t>BRITANNIA INDUSTRIES LTD</t>
  </si>
  <si>
    <t>META</t>
  </si>
  <si>
    <t>10 YEARS</t>
  </si>
  <si>
    <t>7 YEARS</t>
  </si>
  <si>
    <t>5 YEARS</t>
  </si>
  <si>
    <t>3 YEARS</t>
  </si>
  <si>
    <t>RECENT</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</si>
  <si>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</si>
  <si>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</si>
  <si>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</si>
  <si>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</si>
  <si>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</si>
  <si>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</si>
  <si>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</si>
  <si>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</si>
  <si>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</si>
  <si>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</si>
  <si>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</si>
  <si>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</si>
  <si>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</si>
  <si>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</si>
  <si>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</si>
  <si>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</si>
  <si>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</si>
  <si>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</si>
  <si>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</si>
  <si>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</si>
  <si>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</si>
  <si>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</si>
  <si>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r>
      <t xml:space="preserve">You can report any formula errors on the worksheet at: </t>
    </r>
    <r>
      <rPr>
        <b/>
        <sz val="11"/>
        <color theme="1"/>
        <rFont val="Calibri"/>
        <family val="2"/>
        <scheme val="minor"/>
      </rPr>
      <t>support@screener.in</t>
    </r>
  </si>
  <si>
    <t>SALES GR</t>
  </si>
  <si>
    <t>Operating Profit GR</t>
  </si>
  <si>
    <t>NPM</t>
  </si>
  <si>
    <t>Interest Coverage Ratio</t>
  </si>
  <si>
    <t>Invetory Coversion period</t>
  </si>
  <si>
    <t>Debtor Coversion Period</t>
  </si>
  <si>
    <t>YOY_CFO</t>
  </si>
  <si>
    <t>YOY_CFI</t>
  </si>
  <si>
    <t>CFO_MARGIN</t>
  </si>
  <si>
    <t>CFO/INTRESET</t>
  </si>
  <si>
    <t>Ratios</t>
  </si>
  <si>
    <t>Reserves as total Capital %</t>
  </si>
  <si>
    <t>Britannia Ltd</t>
  </si>
  <si>
    <t>BRITANNIA LTD</t>
  </si>
  <si>
    <t>MARICO</t>
  </si>
  <si>
    <t>Years</t>
  </si>
  <si>
    <t>Company</t>
  </si>
  <si>
    <t>Row Labels</t>
  </si>
  <si>
    <t>Grand Total</t>
  </si>
  <si>
    <t>Sum of SALES GR</t>
  </si>
  <si>
    <t>Sum of Operating Profit GR</t>
  </si>
  <si>
    <t>Sum of Dividend Payout</t>
  </si>
  <si>
    <t>Sum of OPM</t>
  </si>
  <si>
    <t>Sum of NPM</t>
  </si>
  <si>
    <t>Sum of Interest Coverage Ratio</t>
  </si>
  <si>
    <t>Sum of Inventory Turnover</t>
  </si>
  <si>
    <t>Sum of Return on Equity</t>
  </si>
  <si>
    <t>Sum of Invetory Coversion period</t>
  </si>
  <si>
    <t>Sum of Debtor Coversion Period</t>
  </si>
  <si>
    <t>Sum of Reserves as total Capital %</t>
  </si>
  <si>
    <t>Sum of YOY_CFO</t>
  </si>
  <si>
    <t>Sum of YOY_CFI</t>
  </si>
  <si>
    <t>Sum of CFO_MARGIN</t>
  </si>
  <si>
    <t>Sum of CFO/INTRESET</t>
  </si>
  <si>
    <t>Sales GR</t>
  </si>
  <si>
    <t>Inventory Conversion period</t>
  </si>
  <si>
    <t>Debtor Conversion Period</t>
  </si>
  <si>
    <t>CFO/INTEREST</t>
  </si>
  <si>
    <t>PROFIT &amp; LOSS ACCOUNT OF BRITANNIA INDUSTRIES (in Rs. Cr.)</t>
  </si>
  <si>
    <t>Trendline</t>
  </si>
  <si>
    <t>INCOME</t>
  </si>
  <si>
    <t>REVENUE FROM OPERATIONS [GROSS]</t>
  </si>
  <si>
    <t>REVENUE FROM OPERATIONS [NET]</t>
  </si>
  <si>
    <t>TOTAL OPERATING REVENUES</t>
  </si>
  <si>
    <t>TOTAL REVENUE</t>
  </si>
  <si>
    <t>EXPENSES</t>
  </si>
  <si>
    <t>Cost Of Materials Consumed</t>
  </si>
  <si>
    <t>Purchase Of Stock-In Trade</t>
  </si>
  <si>
    <t>Operating And Direct Expenses</t>
  </si>
  <si>
    <t>Changes In Inventories Of FG,WIP And Stock-In Trade</t>
  </si>
  <si>
    <t>Employee Benefit Expenses</t>
  </si>
  <si>
    <t>Finance Costs</t>
  </si>
  <si>
    <t>Depreciation And Amortisation Expenses</t>
  </si>
  <si>
    <t>TOTAL EXPENSES</t>
  </si>
  <si>
    <t>PROFIT/LOSS BEFORE EXCEPTIONAL, EXTRAORDINARY ITEMS AND TAX</t>
  </si>
  <si>
    <t>Exceptional Items</t>
  </si>
  <si>
    <t>PROFIT/LOSS BEFORE TAX</t>
  </si>
  <si>
    <t>TAX EXPENSES-CONTINUED OPERATIONS</t>
  </si>
  <si>
    <t>Current Tax</t>
  </si>
  <si>
    <t>Less: MAT Credit Entitlement</t>
  </si>
  <si>
    <t>Deferred Tax</t>
  </si>
  <si>
    <t>Tax For Earlier Years</t>
  </si>
  <si>
    <t>TOTAL TAX EXPENSES</t>
  </si>
  <si>
    <t>PROFIT/LOSS AFTER TAX AND BEFORE EXTRAORDINARY ITEMS</t>
  </si>
  <si>
    <t>PROFIT/LOSS FROM CONTINUING OPERATIONS</t>
  </si>
  <si>
    <t>PROFIT/LOSS FOR THE PERIOD</t>
  </si>
  <si>
    <t>OTHER ADDITIONAL INFORMATION</t>
  </si>
  <si>
    <t>EARNINGS PER SHARE</t>
  </si>
  <si>
    <t>Basic EPS (Rs.)</t>
  </si>
  <si>
    <t>Diluted EPS (Rs.)</t>
  </si>
  <si>
    <t>VALUE OF IMPORTED AND INDIGENIOUS RAW MATERIALS STORES, SPARES AND LOOSE TOOLS</t>
  </si>
  <si>
    <t>STORES, SPARES AND LOOSE TOOLS</t>
  </si>
  <si>
    <t>DIVIDEND AND DIVIDEND PERCENTAGE</t>
  </si>
  <si>
    <t>Equity Share Dividend</t>
  </si>
  <si>
    <t>Equity Dividend Rate (%)</t>
  </si>
  <si>
    <t>INCOME STATEMENT FROM ANALYST POINT OF VIEW</t>
  </si>
  <si>
    <t>INCOME STATEMENT</t>
  </si>
  <si>
    <t>REVENUE FROM OPERATIOPN</t>
  </si>
  <si>
    <t>OTHER OPERATING REVENUE</t>
  </si>
  <si>
    <t>TOTAL OPERATING REVENUE</t>
  </si>
  <si>
    <t>OTHER INCOME</t>
  </si>
  <si>
    <t>COGS</t>
  </si>
  <si>
    <t>GROSS PROFIT</t>
  </si>
  <si>
    <t xml:space="preserve">SGA </t>
  </si>
  <si>
    <t>EBITDA</t>
  </si>
  <si>
    <t>DA</t>
  </si>
  <si>
    <t>EBIT</t>
  </si>
  <si>
    <t>INTEREST/ FINANCE COST</t>
  </si>
  <si>
    <t>EBT</t>
  </si>
  <si>
    <t>TAX</t>
  </si>
  <si>
    <t>PAT</t>
  </si>
  <si>
    <t>BENJAMIN GRAHAM INCOME STATEMENT: HEALTH CHECK</t>
  </si>
  <si>
    <t>INDICATORS</t>
  </si>
  <si>
    <t>SPARKLINES</t>
  </si>
  <si>
    <t>AVERAGE</t>
  </si>
  <si>
    <t>YOY_GROWTH OF SALES</t>
  </si>
  <si>
    <t>YOY_GROWTH EBITDA</t>
  </si>
  <si>
    <t>YOY_GROWTH OF PAT</t>
  </si>
  <si>
    <t>GPM</t>
  </si>
  <si>
    <t>EBITDAM</t>
  </si>
  <si>
    <t>INTEREST COVERAGE RATIO</t>
  </si>
  <si>
    <t>BRITANNIA: BALANCE SHEET</t>
  </si>
  <si>
    <t>EQUITIES AND LIABILITIES</t>
  </si>
  <si>
    <t>SHAREHOLDER'S FUNDS</t>
  </si>
  <si>
    <t>TOTAL SHARE CAPITAL</t>
  </si>
  <si>
    <t>Reserves and Surplus</t>
  </si>
  <si>
    <t>TOTAL RESERVES AND SURPLUS</t>
  </si>
  <si>
    <t>TOTAL SHAREHOLDERS FUNDS</t>
  </si>
  <si>
    <t>Minority Interest</t>
  </si>
  <si>
    <t>NON-CURRENT LIABILITIES</t>
  </si>
  <si>
    <t>Long Term Borrowings</t>
  </si>
  <si>
    <t>Deferred Tax Liabilities [Net]</t>
  </si>
  <si>
    <t>Other Long Term Liabilities</t>
  </si>
  <si>
    <t>Long Term Provisions</t>
  </si>
  <si>
    <t>TOTAL NON-CURRENT LIABILITIES</t>
  </si>
  <si>
    <t>CURRENT LIABILITIES</t>
  </si>
  <si>
    <t>Short Term Borrowings</t>
  </si>
  <si>
    <t>Trade Payables</t>
  </si>
  <si>
    <t>Other Current Liabilities</t>
  </si>
  <si>
    <t>Short Term Provisions</t>
  </si>
  <si>
    <t>TOTAL CURRENT LIABILITIES</t>
  </si>
  <si>
    <t>TOTAL CAPITAL AND LIABILITIES</t>
  </si>
  <si>
    <t>ASSETS</t>
  </si>
  <si>
    <t>NON-CURRENT ASSETS</t>
  </si>
  <si>
    <t>Tangible Assets</t>
  </si>
  <si>
    <t>Intangible Assets</t>
  </si>
  <si>
    <t>Capital Work-In-Progress</t>
  </si>
  <si>
    <t>FIXED ASSETS</t>
  </si>
  <si>
    <t>Non-Current Investments</t>
  </si>
  <si>
    <t>Deferred Tax Assets [Net]</t>
  </si>
  <si>
    <t>Long Term Loans And Advances</t>
  </si>
  <si>
    <t>Other Non-Current Assets</t>
  </si>
  <si>
    <t>TOTAL NON-CURRENT ASSETS</t>
  </si>
  <si>
    <t>CURRENT ASSETS</t>
  </si>
  <si>
    <t>Current Investments</t>
  </si>
  <si>
    <t>Inventories</t>
  </si>
  <si>
    <t>Trade Receivables</t>
  </si>
  <si>
    <t>Cash And Cash Equivalents</t>
  </si>
  <si>
    <t>Short Term Loans And Advances</t>
  </si>
  <si>
    <t>OtherCurrentAssets</t>
  </si>
  <si>
    <t>TOTAL CURRENT ASSETS</t>
  </si>
  <si>
    <t>TOTAL ASSETS</t>
  </si>
  <si>
    <t>CONTINGENT LIABILITIES, COMMITMENTS</t>
  </si>
  <si>
    <t>Contingent Liabilities</t>
  </si>
  <si>
    <t>BONUS DETAILS</t>
  </si>
  <si>
    <t>Bonus Equity Share Capital</t>
  </si>
  <si>
    <t>NON-CURRENT INVESTMENTS</t>
  </si>
  <si>
    <t>Non-Current Investments Quoted Market Value</t>
  </si>
  <si>
    <t>Non-Current Investments Unquoted Book Value</t>
  </si>
  <si>
    <t>CURRENT INVESTMENTS</t>
  </si>
  <si>
    <t>Current Investments Quoted Market Value</t>
  </si>
  <si>
    <t>Current Investments Unquoted Book Value</t>
  </si>
  <si>
    <t>Britannia Financial Ratios</t>
  </si>
  <si>
    <t>Valuation Ratios</t>
  </si>
  <si>
    <t>Divident Payout Ratio</t>
  </si>
  <si>
    <t>Profitability Ratios</t>
  </si>
  <si>
    <t>ProfiIt Ratio</t>
  </si>
  <si>
    <t>Return on Asset</t>
  </si>
  <si>
    <t>Return on Sales</t>
  </si>
  <si>
    <t>Growth Rates</t>
  </si>
  <si>
    <t>EPS Growth Rate</t>
  </si>
  <si>
    <t>Dividend Growth Rate</t>
  </si>
  <si>
    <t>Sales Growth Rate</t>
  </si>
  <si>
    <t>EBIT Growth Rate</t>
  </si>
  <si>
    <t>Net Income Growth Rate</t>
  </si>
  <si>
    <t>Operating Efficiency Ratios</t>
  </si>
  <si>
    <t>Inventory Turnover Ratio</t>
  </si>
  <si>
    <t>Receivables Turnover Ratio</t>
  </si>
  <si>
    <t>Leverage Ratios</t>
  </si>
  <si>
    <t>Total Debt to Total Capitalisation</t>
  </si>
  <si>
    <t>Long Term Debt to Total Capitalisation</t>
  </si>
  <si>
    <t>Total Debt to Equity</t>
  </si>
  <si>
    <t>Coverage Ratios</t>
  </si>
  <si>
    <t>Time Interest Earned Ratio</t>
  </si>
  <si>
    <t>Cash Coverage Ratio</t>
  </si>
  <si>
    <t>TRENDLINE</t>
  </si>
  <si>
    <t>LONG TERM SOLVENCY:</t>
  </si>
  <si>
    <t>YOY_RESERVES</t>
  </si>
  <si>
    <t>DEBT TO EQUITY RATIO</t>
  </si>
  <si>
    <t>RESERVES AS % TOTAL CAPITAL</t>
  </si>
  <si>
    <t>SHORT TERM SOLVENCY:</t>
  </si>
  <si>
    <t>CURRENT RATIO</t>
  </si>
  <si>
    <t>QUICK RATIO</t>
  </si>
  <si>
    <t>DEBTORS CONVERSION PERIOD</t>
  </si>
  <si>
    <t>INVENTORY CONVERSION PERIOD</t>
  </si>
  <si>
    <t>CREDITORS PAYABLE PERIOD</t>
  </si>
  <si>
    <t>WORKING CAPITAL CONVERISON DAYS</t>
  </si>
  <si>
    <t>Net CashFlow From Operating Activities</t>
  </si>
  <si>
    <t>Net Cash Used In Investing Activities</t>
  </si>
  <si>
    <t>Net Cash Used From Financing Activities</t>
  </si>
  <si>
    <t>Financial Analysis: Balance Sheet : BRITANNIA LTD</t>
  </si>
  <si>
    <t>Balance Sheet : Horizontal Analysis</t>
  </si>
  <si>
    <t>Balance Sheet : Vertical Analysis</t>
  </si>
  <si>
    <t>Particulars</t>
  </si>
  <si>
    <t>Financial Analysis: Cash Flow Analysis : BRITANNIA LTD</t>
  </si>
  <si>
    <t>FINANCIAL ANALYSIS : INCOME STATEMENT : BRITANNIA LTD</t>
  </si>
  <si>
    <t>BENJAMIN GRAHAM : BALANCE SHEET HEALTH CHECKS</t>
  </si>
  <si>
    <t>Britannia vs. Marico Ltd: Comparative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</si>
</sst>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_(* #,##0.00_);_(* \(#,##0.00\);_(* &quot;-&quot;??_);_(@_)"/>
    <numFmt numFmtId="165" formatCode="[$-409]mmm\-yy;@"/>
    <numFmt numFmtId="166" formatCode="0.0%"/>
    <numFmt numFmtId="167" formatCode="0.000"/>
  </numFmts>
  <fonts count="25"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1"/>
      <color rgb="FFFF0000"/>
      <name val="Calibri"/>
      <family val="2"/>
      <scheme val="minor"/>
    </font>
    <font>
      <sz val="11"/>
      <name val="Calibri"/>
      <family val="2"/>
      <scheme val="minor"/>
    </font>
    <font>
      <sz val="11"/>
      <color theme="1"/>
      <name val="Calibri"/>
      <family val="2"/>
      <scheme val="minor"/>
    </font>
    <font>
      <b/>
      <sz val="11"/>
      <color rgb="FF0275D8"/>
      <name val="Calibri"/>
      <family val="2"/>
      <scheme val="minor"/>
    </font>
    <font>
      <b/>
      <sz val="10"/>
      <color theme="1"/>
      <name val="Calibri"/>
      <family val="2"/>
      <scheme val="minor"/>
    </font>
    <font>
      <b/>
      <i/>
      <sz val="11"/>
      <color theme="1"/>
      <name val="Calibri"/>
      <family val="2"/>
      <scheme val="minor"/>
    </font>
    <font>
      <b/>
      <sz val="11"/>
      <color theme="1"/>
      <name val="Times New Roman"/>
      <family val="1"/>
    </font>
    <font>
      <sz val="11"/>
      <color theme="1"/>
      <name val="Times New Roman"/>
      <family val="1"/>
    </font>
    <font>
      <b/>
      <sz val="11"/>
      <color rgb="FF333333"/>
      <name val="Times New Roman"/>
      <family val="1"/>
    </font>
    <font>
      <sz val="11"/>
      <color rgb="FF333333"/>
      <name val="Times New Roman"/>
      <family val="1"/>
    </font>
    <font>
      <sz val="11"/>
      <color rgb="FF999999"/>
      <name val="Times New Roman"/>
      <family val="1"/>
    </font>
    <font>
      <b/>
      <sz val="11"/>
      <color theme="0"/>
      <name val="Times New Roman"/>
      <family val="1"/>
    </font>
    <font>
      <b/>
      <sz val="11"/>
      <name val="Times New Roman"/>
      <family val="1"/>
    </font>
    <font>
      <sz val="11"/>
      <color rgb="FF0070C0"/>
      <name val="Times New Roman"/>
      <family val="1"/>
    </font>
    <font>
      <b/>
      <sz val="11"/>
      <color rgb="FF202020"/>
      <name val="Times New Roman"/>
      <family val="1"/>
    </font>
    <font>
      <b/>
      <sz val="22"/>
      <color theme="0"/>
      <name val="Calibri"/>
      <family val="2"/>
      <scheme val="minor"/>
    </font>
    <font>
      <b/>
      <sz val="36"/>
      <color theme="0"/>
      <name val="Calibri"/>
      <family val="2"/>
      <scheme val="minor"/>
    </font>
  </fonts>
  <fills count="15">
    <fill>
      <patternFill patternType="none"/>
    </fill>
    <fill>
      <patternFill patternType="gray125"/>
    </fill>
    <fill>
      <patternFill patternType="solid">
        <fgColor theme="4" tint="0.39997558519241921"/>
        <bgColor indexed="65"/>
      </patternFill>
    </fill>
    <fill>
      <patternFill patternType="solid">
        <fgColor theme="6" tint="0.39997558519241921"/>
        <bgColor indexed="65"/>
      </patternFill>
    </fill>
    <fill>
      <patternFill patternType="solid">
        <fgColor theme="9"/>
      </patternFill>
    </fill>
    <fill>
      <patternFill patternType="solid">
        <fgColor rgb="FF0275D8"/>
        <bgColor indexed="64"/>
      </patternFill>
    </fill>
    <fill>
      <patternFill patternType="solid">
        <fgColor theme="7"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s>
  <borders count="14">
    <border>
      <left/>
      <right/>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top style="medium">
        <color indexed="64"/>
      </top>
      <bottom style="thin">
        <color indexed="64"/>
      </bottom>
      <diagonal/>
    </border>
    <border>
      <left/>
      <right/>
      <top/>
      <bottom style="thin">
        <color indexed="64"/>
      </bottom>
      <diagonal/>
    </border>
  </borders>
  <cellStyleXfs count="8">
    <xf numFmtId="0" fontId="0" fillId="0" borderId="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9" fontId="3" fillId="0" borderId="0" applyFont="0" applyFill="0" applyBorder="0" applyAlignment="0" applyProtection="0"/>
    <xf numFmtId="0" fontId="4" fillId="0" borderId="0" applyNumberFormat="0" applyFill="0" applyBorder="0" applyAlignment="0" applyProtection="0"/>
  </cellStyleXfs>
  <cellXfs count="244">
    <xf numFmtId="0" fontId="0" fillId="0" borderId="0" xfId="0"/>
    <xf numFmtId="43" fontId="1" fillId="0" borderId="0" xfId="1" applyFont="1" applyBorder="1"/>
    <xf numFmtId="0" fontId="1" fillId="0" borderId="0" xfId="0" applyFont="1" applyFill="1" applyBorder="1"/>
    <xf numFmtId="0" fontId="8" fillId="0" borderId="0" xfId="0" applyFont="1" applyFill="1" applyBorder="1" applyAlignment="1"/>
    <xf numFmtId="0" fontId="1" fillId="0" borderId="0" xfId="0" applyFont="1" applyFill="1" applyBorder="1" applyAlignment="1"/>
    <xf numFmtId="43" fontId="0" fillId="0" borderId="0" xfId="1" applyFont="1" applyBorder="1"/>
    <xf numFmtId="0" fontId="0" fillId="0" borderId="0" xfId="0" applyFont="1" applyBorder="1"/>
    <xf numFmtId="10" fontId="0" fillId="0" borderId="0" xfId="0" applyNumberFormat="1" applyFont="1" applyBorder="1"/>
    <xf numFmtId="0" fontId="1" fillId="0" borderId="0" xfId="0" applyFont="1" applyBorder="1"/>
    <xf numFmtId="43" fontId="3" fillId="0" borderId="0" xfId="1" applyFont="1" applyBorder="1"/>
    <xf numFmtId="9" fontId="3" fillId="0" borderId="0" xfId="1" applyNumberFormat="1" applyFont="1" applyBorder="1"/>
    <xf numFmtId="0" fontId="0" fillId="0" borderId="0" xfId="0" applyBorder="1"/>
    <xf numFmtId="43" fontId="2" fillId="2" borderId="0" xfId="3" applyNumberFormat="1" applyFont="1" applyBorder="1"/>
    <xf numFmtId="43" fontId="2" fillId="3" borderId="0" xfId="4" applyNumberFormat="1" applyFont="1" applyBorder="1"/>
    <xf numFmtId="9" fontId="1" fillId="0" borderId="0" xfId="6" applyFont="1" applyBorder="1"/>
    <xf numFmtId="0" fontId="2" fillId="5" borderId="0" xfId="0" applyFont="1" applyFill="1" applyBorder="1"/>
    <xf numFmtId="165" fontId="2" fillId="5" borderId="0" xfId="0" applyNumberFormat="1" applyFont="1" applyFill="1" applyBorder="1" applyAlignment="1">
      <alignment horizontal="center"/>
    </xf>
    <xf numFmtId="0" fontId="2" fillId="5" borderId="0" xfId="0" applyFont="1" applyFill="1" applyBorder="1" applyAlignment="1">
      <alignment horizontal="center"/>
    </xf>
    <xf numFmtId="0" fontId="0" fillId="0" borderId="0" xfId="0" applyFill="1" applyBorder="1"/>
    <xf numFmtId="43" fontId="0" fillId="0" borderId="0" xfId="1" applyNumberFormat="1" applyFont="1" applyBorder="1" applyAlignment="1">
      <alignment horizontal="center"/>
    </xf>
    <xf numFmtId="43" fontId="1" fillId="0" borderId="0" xfId="1" applyNumberFormat="1" applyFont="1" applyBorder="1" applyAlignment="1">
      <alignment horizontal="center"/>
    </xf>
    <xf numFmtId="43" fontId="0" fillId="0" borderId="0" xfId="1" applyNumberFormat="1" applyFont="1" applyBorder="1"/>
    <xf numFmtId="10" fontId="1" fillId="0" borderId="0" xfId="0" applyNumberFormat="1" applyFont="1" applyBorder="1"/>
    <xf numFmtId="165" fontId="2" fillId="5" borderId="0" xfId="1" applyNumberFormat="1" applyFont="1" applyFill="1" applyBorder="1"/>
    <xf numFmtId="165" fontId="9" fillId="0" borderId="0" xfId="1" applyNumberFormat="1" applyFont="1" applyFill="1" applyBorder="1"/>
    <xf numFmtId="0" fontId="7" fillId="0" borderId="0" xfId="0" applyFont="1" applyBorder="1"/>
    <xf numFmtId="0" fontId="0" fillId="0" borderId="0" xfId="0" applyBorder="1" applyAlignment="1">
      <alignment horizontal="left"/>
    </xf>
    <xf numFmtId="0" fontId="6" fillId="0" borderId="0" xfId="2" applyFont="1" applyBorder="1" applyAlignment="1" applyProtection="1">
      <alignment horizontal="left"/>
    </xf>
    <xf numFmtId="0" fontId="6" fillId="0" borderId="0" xfId="2" applyFont="1" applyBorder="1" applyAlignment="1" applyProtection="1"/>
    <xf numFmtId="0" fontId="0" fillId="0" borderId="0" xfId="0" applyFont="1" applyFill="1" applyBorder="1"/>
    <xf numFmtId="0" fontId="9" fillId="0" borderId="0" xfId="0" applyFont="1" applyFill="1" applyBorder="1"/>
    <xf numFmtId="164" fontId="0" fillId="0" borderId="0" xfId="1" applyNumberFormat="1" applyFont="1" applyBorder="1"/>
    <xf numFmtId="0" fontId="10" fillId="0" borderId="0" xfId="0" applyFont="1" applyBorder="1"/>
    <xf numFmtId="2" fontId="10" fillId="0" borderId="0" xfId="0" applyNumberFormat="1" applyFont="1" applyBorder="1"/>
    <xf numFmtId="2" fontId="0" fillId="0" borderId="0" xfId="0" applyNumberFormat="1" applyFont="1" applyBorder="1"/>
    <xf numFmtId="10" fontId="1" fillId="6" borderId="0" xfId="1" applyNumberFormat="1" applyFont="1" applyFill="1" applyBorder="1"/>
    <xf numFmtId="10" fontId="11" fillId="6" borderId="0" xfId="1" applyNumberFormat="1" applyFont="1" applyFill="1" applyBorder="1"/>
    <xf numFmtId="0" fontId="1" fillId="6" borderId="0" xfId="0" applyFont="1" applyFill="1" applyBorder="1"/>
    <xf numFmtId="2" fontId="1" fillId="6" borderId="0" xfId="0" applyNumberFormat="1" applyFont="1" applyFill="1" applyBorder="1"/>
    <xf numFmtId="10" fontId="11" fillId="6" borderId="0" xfId="0" applyNumberFormat="1" applyFont="1" applyFill="1" applyBorder="1"/>
    <xf numFmtId="2" fontId="11" fillId="6" borderId="0" xfId="0" applyNumberFormat="1" applyFont="1" applyFill="1" applyBorder="1"/>
    <xf numFmtId="9" fontId="11" fillId="6" borderId="0" xfId="6" applyFont="1" applyFill="1" applyBorder="1"/>
    <xf numFmtId="2" fontId="11" fillId="6" borderId="0" xfId="6" applyNumberFormat="1" applyFont="1" applyFill="1" applyBorder="1"/>
    <xf numFmtId="0" fontId="11" fillId="6" borderId="0" xfId="0" applyFont="1" applyFill="1" applyBorder="1"/>
    <xf numFmtId="10" fontId="1" fillId="6" borderId="0" xfId="0" applyNumberFormat="1" applyFont="1" applyFill="1" applyBorder="1"/>
    <xf numFmtId="0" fontId="12" fillId="6" borderId="0" xfId="0" applyFont="1" applyFill="1" applyBorder="1"/>
    <xf numFmtId="10" fontId="11" fillId="6" borderId="0" xfId="6" applyNumberFormat="1" applyFont="1" applyFill="1" applyBorder="1"/>
    <xf numFmtId="0" fontId="12" fillId="6" borderId="1" xfId="0" applyFont="1" applyFill="1" applyBorder="1"/>
    <xf numFmtId="0" fontId="0" fillId="0" borderId="0" xfId="0" applyFont="1"/>
    <xf numFmtId="0" fontId="0" fillId="0" borderId="0" xfId="0" applyFont="1" applyFill="1"/>
    <xf numFmtId="0" fontId="11" fillId="0" borderId="0" xfId="0" applyFont="1" applyFill="1"/>
    <xf numFmtId="2" fontId="11" fillId="0" borderId="0" xfId="0" applyNumberFormat="1" applyFont="1" applyFill="1" applyBorder="1"/>
    <xf numFmtId="2" fontId="1" fillId="0" borderId="0" xfId="0" applyNumberFormat="1" applyFont="1" applyFill="1" applyBorder="1"/>
    <xf numFmtId="0" fontId="1" fillId="0" borderId="0" xfId="0" applyFont="1" applyFill="1"/>
    <xf numFmtId="43" fontId="11" fillId="0" borderId="0" xfId="0" applyNumberFormat="1" applyFont="1" applyFill="1"/>
    <xf numFmtId="9" fontId="11" fillId="0" borderId="0" xfId="0" applyNumberFormat="1" applyFont="1" applyFill="1"/>
    <xf numFmtId="2" fontId="11" fillId="0" borderId="0" xfId="0" applyNumberFormat="1" applyFont="1" applyFill="1"/>
    <xf numFmtId="0" fontId="0" fillId="0" borderId="0" xfId="0" applyFill="1"/>
    <xf numFmtId="0" fontId="0" fillId="0" borderId="0" xfId="0" applyAlignment="1">
      <alignment horizontal="center"/>
    </xf>
    <xf numFmtId="0" fontId="11" fillId="0" borderId="0" xfId="0" applyFont="1" applyFill="1" applyAlignment="1">
      <alignment horizontal="center"/>
    </xf>
    <xf numFmtId="9" fontId="11" fillId="0" borderId="0" xfId="0" applyNumberFormat="1" applyFont="1" applyFill="1" applyAlignment="1">
      <alignment horizontal="center"/>
    </xf>
    <xf numFmtId="2" fontId="11" fillId="0" borderId="0" xfId="0" applyNumberFormat="1" applyFont="1" applyFill="1" applyAlignment="1">
      <alignment horizontal="center"/>
    </xf>
    <xf numFmtId="0" fontId="0" fillId="0"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0" xfId="0" applyFont="1" applyAlignment="1">
      <alignment horizontal="center" vertical="center"/>
    </xf>
    <xf numFmtId="0" fontId="13" fillId="0" borderId="0" xfId="0" applyFont="1" applyAlignment="1">
      <alignment horizontal="center" vertical="center"/>
    </xf>
    <xf numFmtId="0" fontId="0" fillId="6" borderId="0" xfId="0" applyFill="1" applyBorder="1"/>
    <xf numFmtId="43" fontId="0" fillId="6" borderId="0" xfId="1" applyFont="1" applyFill="1" applyBorder="1"/>
    <xf numFmtId="0" fontId="0" fillId="12" borderId="1" xfId="0" applyFont="1" applyFill="1" applyBorder="1" applyAlignment="1">
      <alignment horizontal="center" vertical="center"/>
    </xf>
    <xf numFmtId="0" fontId="0" fillId="12" borderId="0" xfId="0" applyFont="1" applyFill="1" applyBorder="1" applyAlignment="1">
      <alignment horizontal="center" vertical="center"/>
    </xf>
    <xf numFmtId="10" fontId="3" fillId="12" borderId="0" xfId="1" applyNumberFormat="1" applyFont="1" applyFill="1" applyBorder="1" applyAlignment="1">
      <alignment horizontal="center" vertical="center"/>
    </xf>
    <xf numFmtId="10" fontId="0" fillId="12" borderId="0" xfId="0" applyNumberFormat="1" applyFont="1" applyFill="1" applyBorder="1" applyAlignment="1">
      <alignment horizontal="center" vertical="center"/>
    </xf>
    <xf numFmtId="2" fontId="0" fillId="12" borderId="0" xfId="0" applyNumberFormat="1" applyFont="1" applyFill="1" applyBorder="1" applyAlignment="1">
      <alignment horizontal="center" vertical="center"/>
    </xf>
    <xf numFmtId="43" fontId="0" fillId="12" borderId="0" xfId="0" applyNumberFormat="1" applyFont="1" applyFill="1" applyBorder="1" applyAlignment="1">
      <alignment horizontal="center" vertical="center"/>
    </xf>
    <xf numFmtId="9" fontId="3" fillId="12" borderId="0" xfId="6" applyFont="1" applyFill="1" applyBorder="1" applyAlignment="1">
      <alignment horizontal="center" vertical="center"/>
    </xf>
    <xf numFmtId="2" fontId="3" fillId="12" borderId="0" xfId="6" applyNumberFormat="1" applyFont="1" applyFill="1" applyBorder="1" applyAlignment="1">
      <alignment horizontal="center" vertical="center"/>
    </xf>
    <xf numFmtId="2" fontId="0" fillId="12" borderId="6" xfId="0" applyNumberFormat="1" applyFont="1" applyFill="1" applyBorder="1" applyAlignment="1">
      <alignment horizontal="center" vertical="center"/>
    </xf>
    <xf numFmtId="0" fontId="0" fillId="12" borderId="4" xfId="0" applyFont="1" applyFill="1" applyBorder="1" applyAlignment="1">
      <alignment horizontal="center" vertical="center"/>
    </xf>
    <xf numFmtId="0" fontId="0" fillId="12" borderId="5" xfId="0" applyFont="1" applyFill="1" applyBorder="1" applyAlignment="1">
      <alignment horizontal="center" vertical="center"/>
    </xf>
    <xf numFmtId="10" fontId="3" fillId="12" borderId="5" xfId="1" applyNumberFormat="1" applyFont="1" applyFill="1" applyBorder="1" applyAlignment="1">
      <alignment horizontal="center" vertical="center"/>
    </xf>
    <xf numFmtId="10" fontId="0" fillId="12" borderId="5" xfId="0" applyNumberFormat="1" applyFont="1" applyFill="1" applyBorder="1" applyAlignment="1">
      <alignment horizontal="center" vertical="center"/>
    </xf>
    <xf numFmtId="2" fontId="0" fillId="12" borderId="5" xfId="0" applyNumberFormat="1" applyFont="1" applyFill="1" applyBorder="1" applyAlignment="1">
      <alignment horizontal="center" vertical="center"/>
    </xf>
    <xf numFmtId="43" fontId="0" fillId="12" borderId="5" xfId="0" applyNumberFormat="1" applyFont="1" applyFill="1" applyBorder="1" applyAlignment="1">
      <alignment horizontal="center" vertical="center"/>
    </xf>
    <xf numFmtId="9" fontId="3" fillId="12" borderId="5" xfId="6" applyFont="1" applyFill="1" applyBorder="1" applyAlignment="1">
      <alignment horizontal="center" vertical="center"/>
    </xf>
    <xf numFmtId="2" fontId="3" fillId="12" borderId="5" xfId="6" applyNumberFormat="1" applyFont="1" applyFill="1" applyBorder="1" applyAlignment="1">
      <alignment horizontal="center" vertical="center"/>
    </xf>
    <xf numFmtId="2" fontId="0" fillId="12" borderId="7" xfId="0" applyNumberFormat="1" applyFont="1" applyFill="1" applyBorder="1" applyAlignment="1">
      <alignment horizontal="center" vertical="center"/>
    </xf>
    <xf numFmtId="9" fontId="0" fillId="12" borderId="0" xfId="0" applyNumberFormat="1" applyFont="1" applyFill="1" applyBorder="1" applyAlignment="1">
      <alignment horizontal="center" vertical="center"/>
    </xf>
    <xf numFmtId="9" fontId="0" fillId="12" borderId="5" xfId="0" applyNumberFormat="1" applyFont="1" applyFill="1" applyBorder="1" applyAlignment="1">
      <alignment horizontal="center" vertical="center"/>
    </xf>
    <xf numFmtId="43" fontId="11" fillId="0" borderId="0" xfId="0" applyNumberFormat="1" applyFont="1" applyFill="1" applyAlignment="1">
      <alignment horizontal="center"/>
    </xf>
    <xf numFmtId="43" fontId="0" fillId="0" borderId="0" xfId="0" applyNumberFormat="1"/>
    <xf numFmtId="43" fontId="3" fillId="12" borderId="9" xfId="1" applyFont="1" applyFill="1" applyBorder="1" applyAlignment="1">
      <alignment horizontal="center" vertical="center"/>
    </xf>
    <xf numFmtId="10" fontId="0" fillId="12" borderId="9" xfId="0" applyNumberFormat="1" applyFont="1" applyFill="1" applyBorder="1" applyAlignment="1">
      <alignment horizontal="center" vertical="center"/>
    </xf>
    <xf numFmtId="2" fontId="0" fillId="12" borderId="9" xfId="0" applyNumberFormat="1" applyFont="1" applyFill="1" applyBorder="1" applyAlignment="1">
      <alignment horizontal="center" vertical="center"/>
    </xf>
    <xf numFmtId="43" fontId="0" fillId="12" borderId="9" xfId="0" applyNumberFormat="1" applyFont="1" applyFill="1" applyBorder="1" applyAlignment="1">
      <alignment horizontal="center" vertical="center"/>
    </xf>
    <xf numFmtId="9" fontId="0" fillId="12" borderId="9" xfId="0" applyNumberFormat="1" applyFont="1" applyFill="1" applyBorder="1" applyAlignment="1">
      <alignment horizontal="center" vertical="center"/>
    </xf>
    <xf numFmtId="0" fontId="0" fillId="12" borderId="9" xfId="0" applyFont="1" applyFill="1" applyBorder="1" applyAlignment="1">
      <alignment horizontal="center" vertical="center"/>
    </xf>
    <xf numFmtId="2" fontId="0" fillId="12" borderId="10" xfId="0" applyNumberFormat="1" applyFont="1" applyFill="1" applyBorder="1" applyAlignment="1">
      <alignment horizontal="center" vertical="center"/>
    </xf>
    <xf numFmtId="10" fontId="11" fillId="9" borderId="0" xfId="1" applyNumberFormat="1" applyFont="1" applyFill="1" applyBorder="1"/>
    <xf numFmtId="0" fontId="1" fillId="13" borderId="0" xfId="0" applyFont="1" applyFill="1"/>
    <xf numFmtId="0" fontId="1" fillId="9" borderId="2" xfId="0" applyFont="1" applyFill="1" applyBorder="1" applyAlignment="1">
      <alignment horizontal="center" vertical="center"/>
    </xf>
    <xf numFmtId="0" fontId="1" fillId="9" borderId="3" xfId="0" applyFont="1" applyFill="1" applyBorder="1" applyAlignment="1">
      <alignment horizontal="center" vertical="center"/>
    </xf>
    <xf numFmtId="10" fontId="12" fillId="9" borderId="3" xfId="0" applyNumberFormat="1" applyFont="1" applyFill="1" applyBorder="1" applyAlignment="1">
      <alignment horizontal="center" vertical="center"/>
    </xf>
    <xf numFmtId="0" fontId="12" fillId="9" borderId="3" xfId="0" applyFont="1" applyFill="1" applyBorder="1" applyAlignment="1">
      <alignment horizontal="center" vertical="center"/>
    </xf>
    <xf numFmtId="2" fontId="12" fillId="9" borderId="3" xfId="0" applyNumberFormat="1" applyFont="1" applyFill="1" applyBorder="1" applyAlignment="1">
      <alignment horizontal="center" vertical="center"/>
    </xf>
    <xf numFmtId="0" fontId="12" fillId="9" borderId="8" xfId="0" applyFont="1" applyFill="1" applyBorder="1" applyAlignment="1">
      <alignment horizontal="center" vertical="center"/>
    </xf>
    <xf numFmtId="0" fontId="1" fillId="0" borderId="0" xfId="0" applyFont="1"/>
    <xf numFmtId="0" fontId="14" fillId="0" borderId="0" xfId="0" applyFont="1" applyFill="1" applyBorder="1"/>
    <xf numFmtId="0" fontId="15" fillId="0" borderId="0" xfId="0" applyFont="1" applyFill="1" applyBorder="1"/>
    <xf numFmtId="0" fontId="14" fillId="7" borderId="0" xfId="0" applyFont="1" applyFill="1" applyBorder="1" applyAlignment="1">
      <alignment horizontal="center"/>
    </xf>
    <xf numFmtId="0" fontId="15" fillId="7" borderId="0" xfId="0" applyFont="1" applyFill="1" applyBorder="1"/>
    <xf numFmtId="0" fontId="14" fillId="7" borderId="0" xfId="0" applyFont="1" applyFill="1" applyBorder="1"/>
    <xf numFmtId="9" fontId="15" fillId="0" borderId="0" xfId="0" applyNumberFormat="1" applyFont="1" applyFill="1" applyBorder="1"/>
    <xf numFmtId="0" fontId="14" fillId="11" borderId="3" xfId="0" applyFont="1" applyFill="1" applyBorder="1" applyAlignment="1">
      <alignment horizontal="center"/>
    </xf>
    <xf numFmtId="0" fontId="16" fillId="0" borderId="0" xfId="0" applyFont="1" applyFill="1" applyBorder="1" applyAlignment="1">
      <alignment horizontal="left" vertical="top" wrapText="1"/>
    </xf>
    <xf numFmtId="17" fontId="16" fillId="0" borderId="0" xfId="0" applyNumberFormat="1" applyFont="1" applyFill="1" applyBorder="1" applyAlignment="1">
      <alignment horizontal="right" vertical="top" wrapText="1"/>
    </xf>
    <xf numFmtId="0" fontId="16" fillId="7" borderId="0" xfId="0" applyFont="1" applyFill="1" applyBorder="1" applyAlignment="1">
      <alignment horizontal="left" vertical="top" wrapText="1"/>
    </xf>
    <xf numFmtId="4" fontId="16" fillId="7" borderId="0" xfId="0" applyNumberFormat="1" applyFont="1" applyFill="1" applyBorder="1" applyAlignment="1">
      <alignment horizontal="right" vertical="top" wrapText="1"/>
    </xf>
    <xf numFmtId="0" fontId="17" fillId="7" borderId="0" xfId="0" applyFont="1" applyFill="1" applyBorder="1" applyAlignment="1">
      <alignment horizontal="left" vertical="top" wrapText="1"/>
    </xf>
    <xf numFmtId="0" fontId="17" fillId="7" borderId="0" xfId="0" applyFont="1" applyFill="1" applyBorder="1" applyAlignment="1">
      <alignment horizontal="right" vertical="top" wrapText="1"/>
    </xf>
    <xf numFmtId="0" fontId="16" fillId="11" borderId="9" xfId="0" applyFont="1" applyFill="1" applyBorder="1" applyAlignment="1">
      <alignment horizontal="left" wrapText="1"/>
    </xf>
    <xf numFmtId="0" fontId="16" fillId="11" borderId="9" xfId="0" applyFont="1" applyFill="1" applyBorder="1" applyAlignment="1">
      <alignment horizontal="right" wrapText="1"/>
    </xf>
    <xf numFmtId="4" fontId="17" fillId="7" borderId="0" xfId="0" applyNumberFormat="1" applyFont="1" applyFill="1" applyBorder="1" applyAlignment="1">
      <alignment horizontal="right" vertical="top" wrapText="1"/>
    </xf>
    <xf numFmtId="4" fontId="16" fillId="0" borderId="0" xfId="0" applyNumberFormat="1" applyFont="1" applyFill="1" applyBorder="1" applyAlignment="1">
      <alignment horizontal="right" vertical="top" wrapText="1"/>
    </xf>
    <xf numFmtId="4" fontId="17" fillId="0" borderId="0" xfId="0" applyNumberFormat="1" applyFont="1" applyFill="1" applyBorder="1" applyAlignment="1">
      <alignment horizontal="right" vertical="top" wrapText="1"/>
    </xf>
    <xf numFmtId="0" fontId="16" fillId="7" borderId="9" xfId="0" applyFont="1" applyFill="1" applyBorder="1" applyAlignment="1">
      <alignment horizontal="left" vertical="top" wrapText="1"/>
    </xf>
    <xf numFmtId="0" fontId="16" fillId="7" borderId="9" xfId="0" applyFont="1" applyFill="1" applyBorder="1" applyAlignment="1">
      <alignment horizontal="right" vertical="top" wrapText="1"/>
    </xf>
    <xf numFmtId="0" fontId="16" fillId="7" borderId="0" xfId="0" applyFont="1" applyFill="1" applyBorder="1" applyAlignment="1">
      <alignment horizontal="right" vertical="top" wrapText="1"/>
    </xf>
    <xf numFmtId="0" fontId="18" fillId="7" borderId="0" xfId="0" applyFont="1" applyFill="1" applyBorder="1" applyAlignment="1">
      <alignment vertical="center" wrapText="1"/>
    </xf>
    <xf numFmtId="17" fontId="19" fillId="11" borderId="3" xfId="0" applyNumberFormat="1" applyFont="1" applyFill="1" applyBorder="1" applyAlignment="1">
      <alignment horizontal="right" vertical="top" wrapText="1"/>
    </xf>
    <xf numFmtId="4" fontId="15" fillId="0" borderId="0" xfId="0" applyNumberFormat="1" applyFont="1" applyFill="1" applyBorder="1"/>
    <xf numFmtId="9" fontId="15" fillId="0" borderId="0" xfId="6" applyNumberFormat="1" applyFont="1" applyFill="1" applyBorder="1"/>
    <xf numFmtId="9" fontId="15" fillId="0" borderId="0" xfId="6" applyFont="1" applyFill="1" applyBorder="1"/>
    <xf numFmtId="0" fontId="20" fillId="7" borderId="0" xfId="0" applyFont="1" applyFill="1" applyBorder="1"/>
    <xf numFmtId="4" fontId="21" fillId="7" borderId="0" xfId="0" applyNumberFormat="1" applyFont="1" applyFill="1" applyBorder="1"/>
    <xf numFmtId="0" fontId="20" fillId="0" borderId="0" xfId="0" applyFont="1" applyFill="1" applyBorder="1"/>
    <xf numFmtId="4" fontId="21" fillId="0" borderId="0" xfId="0" applyNumberFormat="1" applyFont="1" applyFill="1" applyBorder="1"/>
    <xf numFmtId="4" fontId="15" fillId="7" borderId="0" xfId="0" applyNumberFormat="1" applyFont="1" applyFill="1" applyBorder="1"/>
    <xf numFmtId="0" fontId="20" fillId="0" borderId="9" xfId="0" applyFont="1" applyFill="1" applyBorder="1"/>
    <xf numFmtId="4" fontId="15" fillId="0" borderId="9" xfId="0" applyNumberFormat="1" applyFont="1" applyFill="1" applyBorder="1"/>
    <xf numFmtId="9" fontId="15" fillId="0" borderId="9" xfId="6" applyNumberFormat="1" applyFont="1" applyFill="1" applyBorder="1"/>
    <xf numFmtId="9" fontId="15" fillId="0" borderId="9" xfId="6" applyFont="1" applyFill="1" applyBorder="1"/>
    <xf numFmtId="0" fontId="14" fillId="0" borderId="9" xfId="0" applyFont="1" applyFill="1" applyBorder="1"/>
    <xf numFmtId="4" fontId="21" fillId="0" borderId="9" xfId="0" applyNumberFormat="1" applyFont="1" applyFill="1" applyBorder="1"/>
    <xf numFmtId="0" fontId="14" fillId="7" borderId="1" xfId="0" applyFont="1" applyFill="1" applyBorder="1"/>
    <xf numFmtId="9" fontId="15" fillId="7" borderId="0" xfId="6" applyFont="1" applyFill="1" applyBorder="1"/>
    <xf numFmtId="166" fontId="15" fillId="7" borderId="6" xfId="0" applyNumberFormat="1" applyFont="1" applyFill="1" applyBorder="1" applyAlignment="1">
      <alignment horizontal="center"/>
    </xf>
    <xf numFmtId="9" fontId="15" fillId="7" borderId="0" xfId="6" applyNumberFormat="1" applyFont="1" applyFill="1" applyBorder="1"/>
    <xf numFmtId="0" fontId="14" fillId="7" borderId="4" xfId="0" applyFont="1" applyFill="1" applyBorder="1"/>
    <xf numFmtId="167" fontId="15" fillId="7" borderId="5" xfId="6" applyNumberFormat="1" applyFont="1" applyFill="1" applyBorder="1"/>
    <xf numFmtId="0" fontId="15" fillId="7" borderId="5" xfId="0" applyFont="1" applyFill="1" applyBorder="1"/>
    <xf numFmtId="166" fontId="15" fillId="7" borderId="7" xfId="0" applyNumberFormat="1" applyFont="1" applyFill="1" applyBorder="1" applyAlignment="1">
      <alignment horizontal="center"/>
    </xf>
    <xf numFmtId="0" fontId="22" fillId="0" borderId="0" xfId="0" applyFont="1" applyBorder="1" applyAlignment="1">
      <alignment horizontal="left" vertical="center" wrapText="1"/>
    </xf>
    <xf numFmtId="17" fontId="22" fillId="0" borderId="0" xfId="0" applyNumberFormat="1" applyFont="1" applyBorder="1" applyAlignment="1">
      <alignment horizontal="right" vertical="center" wrapText="1"/>
    </xf>
    <xf numFmtId="0" fontId="22" fillId="0" borderId="0" xfId="0" applyFont="1" applyBorder="1" applyAlignment="1">
      <alignment horizontal="right" vertical="center" wrapText="1"/>
    </xf>
    <xf numFmtId="0" fontId="17" fillId="0" borderId="0" xfId="0" applyFont="1" applyBorder="1" applyAlignment="1">
      <alignment horizontal="right" vertical="center" wrapText="1"/>
    </xf>
    <xf numFmtId="0" fontId="17" fillId="0" borderId="0" xfId="0" applyFont="1" applyBorder="1" applyAlignment="1">
      <alignment horizontal="left" vertical="center" wrapText="1"/>
    </xf>
    <xf numFmtId="0" fontId="16" fillId="0" borderId="0" xfId="0" applyFont="1" applyBorder="1" applyAlignment="1">
      <alignment horizontal="left" vertical="center" wrapText="1"/>
    </xf>
    <xf numFmtId="3" fontId="17" fillId="0" borderId="0" xfId="0" applyNumberFormat="1" applyFont="1" applyBorder="1" applyAlignment="1">
      <alignment horizontal="right" vertical="center" wrapText="1"/>
    </xf>
    <xf numFmtId="0" fontId="14" fillId="0" borderId="0" xfId="0" applyFont="1" applyBorder="1" applyAlignment="1">
      <alignment horizontal="center"/>
    </xf>
    <xf numFmtId="0" fontId="15" fillId="0" borderId="0" xfId="0" applyFont="1" applyBorder="1"/>
    <xf numFmtId="0" fontId="15" fillId="0" borderId="0" xfId="0" applyFont="1"/>
    <xf numFmtId="0" fontId="17" fillId="10" borderId="0" xfId="0" applyFont="1" applyFill="1" applyBorder="1" applyAlignment="1">
      <alignment horizontal="left" vertical="top" wrapText="1"/>
    </xf>
    <xf numFmtId="0" fontId="17" fillId="10" borderId="0" xfId="0" applyFont="1" applyFill="1" applyBorder="1" applyAlignment="1">
      <alignment horizontal="right" vertical="top" wrapText="1"/>
    </xf>
    <xf numFmtId="4" fontId="17" fillId="10" borderId="0" xfId="0" applyNumberFormat="1" applyFont="1" applyFill="1" applyBorder="1" applyAlignment="1">
      <alignment horizontal="right" vertical="top" wrapText="1"/>
    </xf>
    <xf numFmtId="0" fontId="14" fillId="8" borderId="0" xfId="0" applyFont="1" applyFill="1" applyBorder="1"/>
    <xf numFmtId="0" fontId="16" fillId="0" borderId="0" xfId="0" applyFont="1" applyFill="1" applyBorder="1" applyAlignment="1">
      <alignment horizontal="right" vertical="top" wrapText="1"/>
    </xf>
    <xf numFmtId="0" fontId="15" fillId="8" borderId="0" xfId="0" applyFont="1" applyFill="1" applyBorder="1"/>
    <xf numFmtId="0" fontId="15" fillId="0" borderId="0" xfId="0" applyNumberFormat="1" applyFont="1" applyBorder="1"/>
    <xf numFmtId="10" fontId="15" fillId="0" borderId="0" xfId="0" applyNumberFormat="1" applyFont="1" applyBorder="1"/>
    <xf numFmtId="2" fontId="15" fillId="0" borderId="0" xfId="0" applyNumberFormat="1" applyFont="1" applyBorder="1"/>
    <xf numFmtId="0" fontId="15" fillId="8" borderId="0" xfId="0" applyNumberFormat="1" applyFont="1" applyFill="1" applyBorder="1"/>
    <xf numFmtId="166" fontId="15" fillId="7" borderId="0" xfId="0" applyNumberFormat="1" applyFont="1" applyFill="1" applyBorder="1" applyAlignment="1">
      <alignment horizontal="center"/>
    </xf>
    <xf numFmtId="0" fontId="15" fillId="0" borderId="6" xfId="0" applyFont="1" applyBorder="1"/>
    <xf numFmtId="0" fontId="15" fillId="0" borderId="7" xfId="0" applyFont="1" applyBorder="1"/>
    <xf numFmtId="0" fontId="17" fillId="10" borderId="1" xfId="0" applyFont="1" applyFill="1" applyBorder="1" applyAlignment="1">
      <alignment horizontal="left" vertical="top" wrapText="1"/>
    </xf>
    <xf numFmtId="4" fontId="17" fillId="10" borderId="6" xfId="0" applyNumberFormat="1" applyFont="1" applyFill="1" applyBorder="1" applyAlignment="1">
      <alignment horizontal="right" vertical="top" wrapText="1"/>
    </xf>
    <xf numFmtId="0" fontId="17" fillId="10" borderId="4" xfId="0" applyFont="1" applyFill="1" applyBorder="1" applyAlignment="1">
      <alignment horizontal="left" vertical="top" wrapText="1"/>
    </xf>
    <xf numFmtId="0" fontId="17" fillId="10" borderId="5" xfId="0" applyFont="1" applyFill="1" applyBorder="1" applyAlignment="1">
      <alignment horizontal="right" vertical="top" wrapText="1"/>
    </xf>
    <xf numFmtId="4" fontId="17" fillId="10" borderId="5" xfId="0" applyNumberFormat="1" applyFont="1" applyFill="1" applyBorder="1" applyAlignment="1">
      <alignment horizontal="right" vertical="top" wrapText="1"/>
    </xf>
    <xf numFmtId="4" fontId="17" fillId="10" borderId="7" xfId="0" applyNumberFormat="1" applyFont="1" applyFill="1" applyBorder="1" applyAlignment="1">
      <alignment horizontal="right" vertical="top" wrapText="1"/>
    </xf>
    <xf numFmtId="0" fontId="15" fillId="0" borderId="1" xfId="0" applyFont="1" applyBorder="1"/>
    <xf numFmtId="0" fontId="15" fillId="0" borderId="4" xfId="0" applyFont="1" applyBorder="1"/>
    <xf numFmtId="2" fontId="15" fillId="0" borderId="5" xfId="0" applyNumberFormat="1" applyFont="1" applyBorder="1"/>
    <xf numFmtId="0" fontId="14" fillId="11" borderId="2" xfId="0" applyFont="1" applyFill="1" applyBorder="1" applyAlignment="1">
      <alignment horizontal="center"/>
    </xf>
    <xf numFmtId="17" fontId="14" fillId="11" borderId="3" xfId="0" applyNumberFormat="1" applyFont="1" applyFill="1" applyBorder="1" applyAlignment="1">
      <alignment horizontal="center" vertical="top"/>
    </xf>
    <xf numFmtId="0" fontId="14" fillId="11" borderId="8" xfId="0" applyFont="1" applyFill="1" applyBorder="1" applyAlignment="1">
      <alignment horizontal="center"/>
    </xf>
    <xf numFmtId="0" fontId="16" fillId="0" borderId="0" xfId="0" applyFont="1" applyFill="1" applyBorder="1" applyAlignment="1">
      <alignment horizontal="left" wrapText="1"/>
    </xf>
    <xf numFmtId="0" fontId="16" fillId="11" borderId="0" xfId="0" applyFont="1" applyFill="1" applyBorder="1" applyAlignment="1">
      <alignment horizontal="left" vertical="top" wrapText="1"/>
    </xf>
    <xf numFmtId="17" fontId="16" fillId="11" borderId="0" xfId="0" applyNumberFormat="1" applyFont="1" applyFill="1" applyBorder="1" applyAlignment="1">
      <alignment horizontal="right" vertical="top" wrapText="1"/>
    </xf>
    <xf numFmtId="0" fontId="14" fillId="11" borderId="0" xfId="0" applyFont="1" applyFill="1" applyBorder="1" applyAlignment="1">
      <alignment horizontal="center" vertical="top"/>
    </xf>
    <xf numFmtId="0" fontId="19" fillId="11" borderId="5" xfId="0" applyFont="1" applyFill="1" applyBorder="1" applyAlignment="1">
      <alignment horizontal="center"/>
    </xf>
    <xf numFmtId="17" fontId="16" fillId="11" borderId="5" xfId="0" applyNumberFormat="1" applyFont="1" applyFill="1" applyBorder="1" applyAlignment="1">
      <alignment horizontal="right" vertical="top" wrapText="1"/>
    </xf>
    <xf numFmtId="0" fontId="16" fillId="11" borderId="5" xfId="0" applyFont="1" applyFill="1" applyBorder="1" applyAlignment="1">
      <alignment horizontal="right" vertical="top" wrapText="1"/>
    </xf>
    <xf numFmtId="0" fontId="15" fillId="0" borderId="0" xfId="0" applyFont="1" applyFill="1"/>
    <xf numFmtId="10" fontId="15" fillId="0" borderId="0" xfId="0" applyNumberFormat="1" applyFont="1" applyFill="1"/>
    <xf numFmtId="10" fontId="15" fillId="0" borderId="0" xfId="0" applyNumberFormat="1" applyFont="1" applyFill="1" applyBorder="1"/>
    <xf numFmtId="2" fontId="15" fillId="0" borderId="0" xfId="0" applyNumberFormat="1" applyFont="1" applyFill="1" applyBorder="1"/>
    <xf numFmtId="167" fontId="15" fillId="0" borderId="0" xfId="0" applyNumberFormat="1" applyFont="1" applyFill="1" applyBorder="1"/>
    <xf numFmtId="10" fontId="16" fillId="0" borderId="0" xfId="0" applyNumberFormat="1" applyFont="1" applyFill="1" applyBorder="1" applyAlignment="1">
      <alignment horizontal="right" vertical="top" wrapText="1"/>
    </xf>
    <xf numFmtId="0" fontId="17" fillId="0" borderId="0" xfId="0" applyFont="1" applyFill="1" applyBorder="1" applyAlignment="1">
      <alignment horizontal="left" vertical="top" wrapText="1"/>
    </xf>
    <xf numFmtId="10" fontId="17" fillId="0" borderId="0" xfId="0" applyNumberFormat="1" applyFont="1" applyFill="1" applyBorder="1" applyAlignment="1">
      <alignment horizontal="right" wrapText="1"/>
    </xf>
    <xf numFmtId="10" fontId="16" fillId="0" borderId="0" xfId="0" applyNumberFormat="1" applyFont="1" applyFill="1" applyBorder="1" applyAlignment="1">
      <alignment horizontal="right" wrapText="1"/>
    </xf>
    <xf numFmtId="0" fontId="16" fillId="0" borderId="9" xfId="0" applyFont="1" applyFill="1" applyBorder="1" applyAlignment="1">
      <alignment horizontal="left" vertical="top" wrapText="1"/>
    </xf>
    <xf numFmtId="10" fontId="16" fillId="0" borderId="9" xfId="0" applyNumberFormat="1" applyFont="1" applyFill="1" applyBorder="1" applyAlignment="1">
      <alignment horizontal="right" wrapText="1"/>
    </xf>
    <xf numFmtId="10" fontId="17" fillId="0" borderId="0" xfId="0" applyNumberFormat="1" applyFont="1" applyFill="1" applyBorder="1" applyAlignment="1">
      <alignment horizontal="right" vertical="top" wrapText="1"/>
    </xf>
    <xf numFmtId="0" fontId="17" fillId="0" borderId="0" xfId="0" applyFont="1" applyFill="1" applyBorder="1" applyAlignment="1">
      <alignment horizontal="right" vertical="top" wrapText="1"/>
    </xf>
    <xf numFmtId="10" fontId="16" fillId="0" borderId="9" xfId="0" applyNumberFormat="1" applyFont="1" applyFill="1" applyBorder="1" applyAlignment="1">
      <alignment horizontal="right" vertical="top" wrapText="1"/>
    </xf>
    <xf numFmtId="0" fontId="16" fillId="11" borderId="9" xfId="0" applyFont="1" applyFill="1" applyBorder="1" applyAlignment="1">
      <alignment horizontal="left" vertical="top" wrapText="1"/>
    </xf>
    <xf numFmtId="4" fontId="16" fillId="11" borderId="9" xfId="0" applyNumberFormat="1" applyFont="1" applyFill="1" applyBorder="1" applyAlignment="1">
      <alignment horizontal="right" vertical="top" wrapText="1"/>
    </xf>
    <xf numFmtId="0" fontId="16" fillId="11" borderId="9" xfId="0" applyFont="1" applyFill="1" applyBorder="1" applyAlignment="1">
      <alignment horizontal="right" vertical="top" wrapText="1"/>
    </xf>
    <xf numFmtId="0" fontId="16" fillId="11" borderId="2" xfId="0" applyFont="1" applyFill="1" applyBorder="1" applyAlignment="1">
      <alignment horizontal="left" vertical="top" wrapText="1"/>
    </xf>
    <xf numFmtId="17" fontId="16" fillId="11" borderId="3" xfId="0" applyNumberFormat="1" applyFont="1" applyFill="1" applyBorder="1" applyAlignment="1">
      <alignment horizontal="right" vertical="top" wrapText="1"/>
    </xf>
    <xf numFmtId="17" fontId="16" fillId="11" borderId="8" xfId="0" applyNumberFormat="1" applyFont="1" applyFill="1" applyBorder="1" applyAlignment="1">
      <alignment horizontal="right" vertical="top" wrapText="1"/>
    </xf>
    <xf numFmtId="0" fontId="16" fillId="11" borderId="8" xfId="0" applyFont="1" applyFill="1" applyBorder="1" applyAlignment="1">
      <alignment horizontal="right" vertical="top" wrapText="1"/>
    </xf>
    <xf numFmtId="0" fontId="14" fillId="11" borderId="12" xfId="0" applyFont="1" applyFill="1" applyBorder="1" applyAlignment="1">
      <alignment horizontal="center"/>
    </xf>
    <xf numFmtId="17" fontId="19" fillId="11" borderId="12" xfId="0" applyNumberFormat="1" applyFont="1" applyFill="1" applyBorder="1" applyAlignment="1">
      <alignment horizontal="right" vertical="top" wrapText="1"/>
    </xf>
    <xf numFmtId="0" fontId="15" fillId="0" borderId="9" xfId="0" applyFont="1" applyBorder="1"/>
    <xf numFmtId="0" fontId="14" fillId="11" borderId="5" xfId="0" applyFont="1" applyFill="1" applyBorder="1"/>
    <xf numFmtId="0" fontId="14" fillId="10" borderId="13" xfId="0" applyFont="1" applyFill="1" applyBorder="1" applyAlignment="1">
      <alignment vertical="center" wrapText="1"/>
    </xf>
    <xf numFmtId="0" fontId="14" fillId="0" borderId="13" xfId="0" applyFont="1" applyBorder="1" applyAlignment="1"/>
    <xf numFmtId="0" fontId="0" fillId="0" borderId="9" xfId="0" applyBorder="1"/>
    <xf numFmtId="17" fontId="14" fillId="11" borderId="5" xfId="0" applyNumberFormat="1" applyFont="1" applyFill="1" applyBorder="1"/>
    <xf numFmtId="0" fontId="14" fillId="11" borderId="5" xfId="0" applyFont="1" applyFill="1" applyBorder="1" applyAlignment="1">
      <alignment horizontal="right"/>
    </xf>
    <xf numFmtId="0" fontId="0" fillId="14" borderId="0" xfId="0" applyFill="1"/>
    <xf numFmtId="0" fontId="0" fillId="14" borderId="0" xfId="0" applyFill="1" applyBorder="1"/>
    <xf numFmtId="0" fontId="0" fillId="14" borderId="0" xfId="0" applyFont="1" applyFill="1" applyBorder="1"/>
    <xf numFmtId="0" fontId="14" fillId="0" borderId="0" xfId="0" applyFont="1" applyFill="1" applyBorder="1"/>
    <xf numFmtId="0" fontId="14" fillId="0" borderId="0" xfId="0" applyFont="1" applyFill="1" applyBorder="1"/>
    <xf numFmtId="0" fontId="14" fillId="0" borderId="2" xfId="0" applyFont="1" applyFill="1" applyBorder="1" applyAlignment="1">
      <alignment horizontal="center"/>
    </xf>
    <xf numFmtId="0" fontId="14" fillId="0" borderId="3" xfId="0" applyFont="1" applyFill="1" applyBorder="1" applyAlignment="1">
      <alignment horizontal="center"/>
    </xf>
    <xf numFmtId="0" fontId="14" fillId="0" borderId="8" xfId="0" applyFont="1" applyFill="1" applyBorder="1" applyAlignment="1">
      <alignment horizontal="center"/>
    </xf>
    <xf numFmtId="0" fontId="14" fillId="0" borderId="11" xfId="0" applyFont="1" applyFill="1" applyBorder="1" applyAlignment="1">
      <alignment horizontal="center"/>
    </xf>
    <xf numFmtId="0" fontId="14" fillId="0" borderId="9" xfId="0" applyFont="1" applyFill="1" applyBorder="1" applyAlignment="1">
      <alignment horizontal="center"/>
    </xf>
    <xf numFmtId="0" fontId="14" fillId="0" borderId="0" xfId="0" applyFont="1" applyFill="1" applyBorder="1" applyAlignment="1">
      <alignment horizontal="center"/>
    </xf>
    <xf numFmtId="0" fontId="14" fillId="10" borderId="9" xfId="0" applyFont="1" applyFill="1" applyBorder="1" applyAlignment="1">
      <alignment vertical="center" wrapText="1"/>
    </xf>
    <xf numFmtId="0" fontId="14" fillId="0" borderId="5" xfId="0" applyFont="1" applyBorder="1"/>
    <xf numFmtId="0" fontId="24" fillId="14" borderId="0" xfId="0" applyFont="1" applyFill="1" applyAlignment="1">
      <alignment horizontal="center"/>
    </xf>
    <xf numFmtId="0" fontId="23" fillId="14" borderId="0" xfId="0" applyFont="1" applyFill="1" applyAlignment="1">
      <alignment horizontal="center"/>
    </xf>
    <xf numFmtId="43" fontId="4" fillId="0" borderId="0" xfId="2" applyNumberFormat="1" applyBorder="1" applyAlignment="1" applyProtection="1">
      <alignment horizontal="center"/>
    </xf>
    <xf numFmtId="43" fontId="2" fillId="4" borderId="0" xfId="5" applyNumberFormat="1" applyFont="1" applyBorder="1" applyAlignment="1">
      <alignment horizontal="center"/>
    </xf>
    <xf numFmtId="9" fontId="11" fillId="0" borderId="0" xfId="6" applyFont="1" applyFill="1"/>
  </cellXfs>
  <cellStyles count="8">
    <cellStyle name="60% - Accent1" xfId="3" builtinId="32"/>
    <cellStyle name="60% - Accent3" xfId="4" builtinId="40"/>
    <cellStyle name="Accent6" xfId="5" builtinId="49"/>
    <cellStyle name="Comma" xfId="1" builtinId="3"/>
    <cellStyle name="Hyperlink" xfId="2" builtinId="8"/>
    <cellStyle name="Hyperlink 2" xfId="7" xr:uid="{F44CB672-0681-4CC8-B2DB-C1D2DABE754E}"/>
    <cellStyle name="Normal" xfId="0" builtinId="0"/>
    <cellStyle name="Percent" xfId="6" builtinId="5"/>
  </cellStyles>
  <dxfs count="31">
    <dxf>
      <font>
        <b/>
        <i val="0"/>
        <color theme="0"/>
      </font>
      <fill>
        <patternFill>
          <bgColor theme="5"/>
        </patternFill>
      </fill>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style="thin">
          <color theme="4"/>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i val="0"/>
        <strike val="0"/>
        <condense val="0"/>
        <extend val="0"/>
        <outline val="0"/>
        <shadow val="0"/>
        <u val="none"/>
        <vertAlign val="baseline"/>
        <sz val="11"/>
        <color theme="0"/>
        <name val="Calibri"/>
        <scheme val="minor"/>
      </font>
      <numFmt numFmtId="165"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color rgb="FF00CCFF"/>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microsoft.com/office/2007/relationships/slicerCache" Target="slicerCaches/slicerCache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Dashboard.xlsx]Sales GR!PivotTable1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GROWTH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'Sales GR'!$B$3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'Sales GR'!$A$4:$A$7</c:f>
              <c:multiLvlStrCache>
                <c:ptCount val="2"/>
                <c:lvl>
                  <c:pt idx="0">
                    <c:v>BRITANNIA LTD</c:v>
                  </c:pt>
                  <c:pt idx="1">
                    <c:v>MARICO</c:v>
                  </c:pt>
                </c:lvl>
                <c:lvl>
                  <c:pt idx="0">
                    <c:v>2017</c:v>
                  </c:pt>
                </c:lvl>
              </c:multiLvlStrCache>
            </c:multiLvlStrRef>
          </c:cat>
          <c:val>
            <c:numRef>
              <c:f>'Sales GR'!$B$4:$B$7</c:f>
              <c:numCache>
                <c:formatCode>General</c:formatCode>
                <c:ptCount val="2"/>
                <c:pt idx="0">
                  <c:v>7.8223414149666048E-2</c:v>
                </c:pt>
                <c:pt idx="1">
                  <c:v>-1.6540586174575989E-2</c:v>
                </c:pt>
              </c:numCache>
            </c:numRef>
          </c:val>
          <c:extLst>
            <c:ext xmlns:c16="http://schemas.microsoft.com/office/drawing/2014/chart" uri="{C3380CC4-5D6E-409C-BE32-E72D297353CC}">
              <c16:uniqueId val="{00000000-79DF-4AD8-9454-41F769DB5F86}"/>
            </c:ext>
          </c:extLst>
        </c:ser>
        <c:dLbls>
          <c:showLegendKey val="0"/>
          <c:showVal val="0"/>
          <c:showCatName val="0"/>
          <c:showSerName val="0"/>
          <c:showPercent val="0"/>
          <c:showBubbleSize val="0"/>
        </c:dLbls>
        <c:gapWidth val="315"/>
        <c:overlap val="-40"/>
        <c:axId val="2069417167"/>
        <c:axId val="2074698111"/>
      </c:barChart>
      <c:catAx>
        <c:axId val="2069417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4698111"/>
        <c:crosses val="autoZero"/>
        <c:auto val="1"/>
        <c:lblAlgn val="ctr"/>
        <c:lblOffset val="100"/>
        <c:noMultiLvlLbl val="0"/>
      </c:catAx>
      <c:valAx>
        <c:axId val="20746981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941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Dashboard.xlsx]Debtor Conversion Period!PivotTable10</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DEBTOR CONVERSION PERIOD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'Debtor Conversion Period'!$B$1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'Debtor Conversion Period'!$A$2:$A$5</c:f>
              <c:multiLvlStrCache>
                <c:ptCount val="2"/>
                <c:lvl>
                  <c:pt idx="0">
                    <c:v>BRITANNIA LTD</c:v>
                  </c:pt>
                  <c:pt idx="1">
                    <c:v>MARICO</c:v>
                  </c:pt>
                </c:lvl>
                <c:lvl>
                  <c:pt idx="0">
                    <c:v>2017</c:v>
                  </c:pt>
                </c:lvl>
              </c:multiLvlStrCache>
            </c:multiLvlStrRef>
          </c:cat>
          <c:val>
            <c:numRef>
              <c:f>'Debtor Conversion Period'!$B$2:$B$5</c:f>
              <c:numCache>
                <c:formatCode>General</c:formatCode>
                <c:ptCount val="2"/>
                <c:pt idx="0">
                  <c:v>7.1235872406834924</c:v>
                </c:pt>
                <c:pt idx="1">
                  <c:v>15.025271258358273</c:v>
                </c:pt>
              </c:numCache>
            </c:numRef>
          </c:val>
          <c:extLst>
            <c:ext xmlns:c16="http://schemas.microsoft.com/office/drawing/2014/chart" uri="{C3380CC4-5D6E-409C-BE32-E72D297353CC}">
              <c16:uniqueId val="{00000000-16C7-4BE1-8123-016BA0BB35A2}"/>
            </c:ext>
          </c:extLst>
        </c:ser>
        <c:dLbls>
          <c:showLegendKey val="0"/>
          <c:showVal val="0"/>
          <c:showCatName val="0"/>
          <c:showSerName val="0"/>
          <c:showPercent val="0"/>
          <c:showBubbleSize val="0"/>
        </c:dLbls>
        <c:gapWidth val="315"/>
        <c:overlap val="-40"/>
        <c:axId val="217827263"/>
        <c:axId val="202142223"/>
      </c:barChart>
      <c:catAx>
        <c:axId val="2178272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142223"/>
        <c:crosses val="autoZero"/>
        <c:auto val="1"/>
        <c:lblAlgn val="ctr"/>
        <c:lblOffset val="100"/>
        <c:noMultiLvlLbl val="0"/>
      </c:catAx>
      <c:valAx>
        <c:axId val="2021422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782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Dashboard.xlsx]Reserves as total Capital %!PivotTable11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RESERVES AS TOTAL CAPITAL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'Reserves as total Capital %'!$B$1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'Reserves as total Capital %'!$A$2:$A$5</c:f>
              <c:multiLvlStrCache>
                <c:ptCount val="2"/>
                <c:lvl>
                  <c:pt idx="0">
                    <c:v>BRITANNIA LTD</c:v>
                  </c:pt>
                  <c:pt idx="1">
                    <c:v>MARICO</c:v>
                  </c:pt>
                </c:lvl>
                <c:lvl>
                  <c:pt idx="0">
                    <c:v>2017</c:v>
                  </c:pt>
                </c:lvl>
              </c:multiLvlStrCache>
            </c:multiLvlStrRef>
          </c:cat>
          <c:val>
            <c:numRef>
              <c:f>'Reserves as total Capital %'!$B$2:$B$5</c:f>
              <c:numCache>
                <c:formatCode>General</c:formatCode>
                <c:ptCount val="2"/>
                <c:pt idx="0">
                  <c:v>234.52844036697252</c:v>
                </c:pt>
                <c:pt idx="1">
                  <c:v>0.60626626665305072</c:v>
                </c:pt>
              </c:numCache>
            </c:numRef>
          </c:val>
          <c:extLst>
            <c:ext xmlns:c16="http://schemas.microsoft.com/office/drawing/2014/chart" uri="{C3380CC4-5D6E-409C-BE32-E72D297353CC}">
              <c16:uniqueId val="{00000000-C74B-4B4E-A2DF-20707B346C70}"/>
            </c:ext>
          </c:extLst>
        </c:ser>
        <c:dLbls>
          <c:showLegendKey val="0"/>
          <c:showVal val="0"/>
          <c:showCatName val="0"/>
          <c:showSerName val="0"/>
          <c:showPercent val="0"/>
          <c:showBubbleSize val="0"/>
        </c:dLbls>
        <c:gapWidth val="315"/>
        <c:overlap val="-40"/>
        <c:axId val="217819663"/>
        <c:axId val="86425199"/>
      </c:barChart>
      <c:catAx>
        <c:axId val="2178196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425199"/>
        <c:crosses val="autoZero"/>
        <c:auto val="1"/>
        <c:lblAlgn val="ctr"/>
        <c:lblOffset val="100"/>
        <c:noMultiLvlLbl val="0"/>
      </c:catAx>
      <c:valAx>
        <c:axId val="864251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781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Dashboard.xlsx]YOY_CFO!PivotTable12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CFO GROWTH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YOY_CFO!$B$1</c:f>
              <c:strCache>
                <c:ptCount val="1"/>
                <c:pt idx="0">
                  <c:v>Total</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1-7BF1-4217-8974-2FF9073DDC2B}"/>
              </c:ext>
            </c:extLst>
          </c:dPt>
          <c:dPt>
            <c:idx val="1"/>
            <c:bubble3D val="0"/>
            <c:spPr>
              <a:solidFill>
                <a:schemeClr val="accent2"/>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3-7BF1-4217-8974-2FF9073DDC2B}"/>
              </c:ext>
            </c:extLst>
          </c:dPt>
          <c:dPt>
            <c:idx val="2"/>
            <c:bubble3D val="0"/>
            <c:spPr>
              <a:solidFill>
                <a:schemeClr val="accent3"/>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5-A112-410C-B51D-6B5868BD2049}"/>
              </c:ext>
            </c:extLst>
          </c:dPt>
          <c:dPt>
            <c:idx val="3"/>
            <c:bubble3D val="0"/>
            <c:spPr>
              <a:solidFill>
                <a:schemeClr val="accent4"/>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7-A112-410C-B51D-6B5868BD2049}"/>
              </c:ext>
            </c:extLst>
          </c:dPt>
          <c:dPt>
            <c:idx val="4"/>
            <c:bubble3D val="0"/>
            <c:spPr>
              <a:solidFill>
                <a:schemeClr val="accent5"/>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9-A112-410C-B51D-6B5868BD2049}"/>
              </c:ext>
            </c:extLst>
          </c:dPt>
          <c:dPt>
            <c:idx val="5"/>
            <c:bubble3D val="0"/>
            <c:spPr>
              <a:solidFill>
                <a:schemeClr val="accent6"/>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B-A112-410C-B51D-6B5868BD2049}"/>
              </c:ext>
            </c:extLst>
          </c:dPt>
          <c:dPt>
            <c:idx val="6"/>
            <c:bubble3D val="0"/>
            <c:spPr>
              <a:solidFill>
                <a:schemeClr val="accent1">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D-A112-410C-B51D-6B5868BD2049}"/>
              </c:ext>
            </c:extLst>
          </c:dPt>
          <c:dPt>
            <c:idx val="7"/>
            <c:bubble3D val="0"/>
            <c:spPr>
              <a:solidFill>
                <a:schemeClr val="accent2">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F-A112-410C-B51D-6B5868BD2049}"/>
              </c:ext>
            </c:extLst>
          </c:dPt>
          <c:dPt>
            <c:idx val="8"/>
            <c:bubble3D val="0"/>
            <c:spPr>
              <a:solidFill>
                <a:schemeClr val="accent3">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1-A112-410C-B51D-6B5868BD2049}"/>
              </c:ext>
            </c:extLst>
          </c:dPt>
          <c:dPt>
            <c:idx val="9"/>
            <c:bubble3D val="0"/>
            <c:spPr>
              <a:solidFill>
                <a:schemeClr val="accent4">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3-A112-410C-B51D-6B5868BD2049}"/>
              </c:ext>
            </c:extLst>
          </c:dPt>
          <c:dPt>
            <c:idx val="10"/>
            <c:bubble3D val="0"/>
            <c:spPr>
              <a:solidFill>
                <a:schemeClr val="accent5">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5-A112-410C-B51D-6B5868BD2049}"/>
              </c:ext>
            </c:extLst>
          </c:dPt>
          <c:dPt>
            <c:idx val="11"/>
            <c:bubble3D val="0"/>
            <c:spPr>
              <a:solidFill>
                <a:schemeClr val="accent6">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7-A112-410C-B51D-6B5868BD2049}"/>
              </c:ext>
            </c:extLst>
          </c:dPt>
          <c:dPt>
            <c:idx val="12"/>
            <c:bubble3D val="0"/>
            <c:spPr>
              <a:solidFill>
                <a:schemeClr val="accent1">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9-A112-410C-B51D-6B5868BD2049}"/>
              </c:ext>
            </c:extLst>
          </c:dPt>
          <c:dPt>
            <c:idx val="13"/>
            <c:bubble3D val="0"/>
            <c:spPr>
              <a:solidFill>
                <a:schemeClr val="accent2">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B-A112-410C-B51D-6B5868BD2049}"/>
              </c:ext>
            </c:extLst>
          </c:dPt>
          <c:dPt>
            <c:idx val="14"/>
            <c:bubble3D val="0"/>
            <c:spPr>
              <a:solidFill>
                <a:schemeClr val="accent3">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D-A112-410C-B51D-6B5868BD2049}"/>
              </c:ext>
            </c:extLst>
          </c:dPt>
          <c:dPt>
            <c:idx val="15"/>
            <c:bubble3D val="0"/>
            <c:spPr>
              <a:solidFill>
                <a:schemeClr val="accent4">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F-A112-410C-B51D-6B5868BD2049}"/>
              </c:ext>
            </c:extLst>
          </c:dPt>
          <c:dPt>
            <c:idx val="16"/>
            <c:bubble3D val="0"/>
            <c:spPr>
              <a:solidFill>
                <a:schemeClr val="accent5">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1-A112-410C-B51D-6B5868BD2049}"/>
              </c:ext>
            </c:extLst>
          </c:dPt>
          <c:dPt>
            <c:idx val="17"/>
            <c:bubble3D val="0"/>
            <c:spPr>
              <a:solidFill>
                <a:schemeClr val="accent6">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3-A112-410C-B51D-6B5868BD2049}"/>
              </c:ext>
            </c:extLst>
          </c:dPt>
          <c:dPt>
            <c:idx val="18"/>
            <c:bubble3D val="0"/>
            <c:spPr>
              <a:solidFill>
                <a:schemeClr val="accent1">
                  <a:lumMod val="8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5-A112-410C-B51D-6B5868BD2049}"/>
              </c:ext>
            </c:extLst>
          </c:dPt>
          <c:dPt>
            <c:idx val="19"/>
            <c:bubble3D val="0"/>
            <c:spPr>
              <a:solidFill>
                <a:schemeClr val="accent2">
                  <a:lumMod val="8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7-A112-410C-B51D-6B5868BD20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YOY_CFO!$A$2:$A$5</c:f>
              <c:multiLvlStrCache>
                <c:ptCount val="2"/>
                <c:lvl>
                  <c:pt idx="0">
                    <c:v>BRITANNIA LTD</c:v>
                  </c:pt>
                  <c:pt idx="1">
                    <c:v>MARICO</c:v>
                  </c:pt>
                </c:lvl>
                <c:lvl>
                  <c:pt idx="0">
                    <c:v>2017</c:v>
                  </c:pt>
                </c:lvl>
              </c:multiLvlStrCache>
            </c:multiLvlStrRef>
          </c:cat>
          <c:val>
            <c:numRef>
              <c:f>YOY_CFO!$B$2:$B$5</c:f>
              <c:numCache>
                <c:formatCode>General</c:formatCode>
                <c:ptCount val="2"/>
                <c:pt idx="0">
                  <c:v>-0.53996434640284396</c:v>
                </c:pt>
                <c:pt idx="1">
                  <c:v>-0.20656295100413391</c:v>
                </c:pt>
              </c:numCache>
            </c:numRef>
          </c:val>
          <c:extLst>
            <c:ext xmlns:c16="http://schemas.microsoft.com/office/drawing/2014/chart" uri="{C3380CC4-5D6E-409C-BE32-E72D297353CC}">
              <c16:uniqueId val="{00000002-B15E-4AB0-9A9B-6AABF32F4D4C}"/>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Dashboard.xlsx]YOY_CFI!PivotTable13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CFI GROWTH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YOY_CFI!$B$1</c:f>
              <c:strCache>
                <c:ptCount val="1"/>
                <c:pt idx="0">
                  <c:v>Total</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1-5F1E-4D1E-A595-8AAC43809A37}"/>
              </c:ext>
            </c:extLst>
          </c:dPt>
          <c:dPt>
            <c:idx val="1"/>
            <c:bubble3D val="0"/>
            <c:spPr>
              <a:solidFill>
                <a:schemeClr val="accent2"/>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3-5F1E-4D1E-A595-8AAC43809A37}"/>
              </c:ext>
            </c:extLst>
          </c:dPt>
          <c:dPt>
            <c:idx val="2"/>
            <c:bubble3D val="0"/>
            <c:spPr>
              <a:solidFill>
                <a:schemeClr val="accent3"/>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5-0CF8-4BBF-AF1A-A50F32157489}"/>
              </c:ext>
            </c:extLst>
          </c:dPt>
          <c:dPt>
            <c:idx val="3"/>
            <c:bubble3D val="0"/>
            <c:spPr>
              <a:solidFill>
                <a:schemeClr val="accent4"/>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7-0CF8-4BBF-AF1A-A50F32157489}"/>
              </c:ext>
            </c:extLst>
          </c:dPt>
          <c:dPt>
            <c:idx val="4"/>
            <c:bubble3D val="0"/>
            <c:spPr>
              <a:solidFill>
                <a:schemeClr val="accent5"/>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9-0CF8-4BBF-AF1A-A50F32157489}"/>
              </c:ext>
            </c:extLst>
          </c:dPt>
          <c:dPt>
            <c:idx val="5"/>
            <c:bubble3D val="0"/>
            <c:spPr>
              <a:solidFill>
                <a:schemeClr val="accent6"/>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B-0CF8-4BBF-AF1A-A50F32157489}"/>
              </c:ext>
            </c:extLst>
          </c:dPt>
          <c:dPt>
            <c:idx val="6"/>
            <c:bubble3D val="0"/>
            <c:spPr>
              <a:solidFill>
                <a:schemeClr val="accent1">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D-0CF8-4BBF-AF1A-A50F32157489}"/>
              </c:ext>
            </c:extLst>
          </c:dPt>
          <c:dPt>
            <c:idx val="7"/>
            <c:bubble3D val="0"/>
            <c:spPr>
              <a:solidFill>
                <a:schemeClr val="accent2">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F-0CF8-4BBF-AF1A-A50F32157489}"/>
              </c:ext>
            </c:extLst>
          </c:dPt>
          <c:dPt>
            <c:idx val="8"/>
            <c:bubble3D val="0"/>
            <c:spPr>
              <a:solidFill>
                <a:schemeClr val="accent3">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1-0CF8-4BBF-AF1A-A50F32157489}"/>
              </c:ext>
            </c:extLst>
          </c:dPt>
          <c:dPt>
            <c:idx val="9"/>
            <c:bubble3D val="0"/>
            <c:spPr>
              <a:solidFill>
                <a:schemeClr val="accent4">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3-0CF8-4BBF-AF1A-A50F32157489}"/>
              </c:ext>
            </c:extLst>
          </c:dPt>
          <c:dPt>
            <c:idx val="10"/>
            <c:bubble3D val="0"/>
            <c:spPr>
              <a:solidFill>
                <a:schemeClr val="accent5">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5-0CF8-4BBF-AF1A-A50F32157489}"/>
              </c:ext>
            </c:extLst>
          </c:dPt>
          <c:dPt>
            <c:idx val="11"/>
            <c:bubble3D val="0"/>
            <c:spPr>
              <a:solidFill>
                <a:schemeClr val="accent6">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7-0CF8-4BBF-AF1A-A50F32157489}"/>
              </c:ext>
            </c:extLst>
          </c:dPt>
          <c:dPt>
            <c:idx val="12"/>
            <c:bubble3D val="0"/>
            <c:spPr>
              <a:solidFill>
                <a:schemeClr val="accent1">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9-0CF8-4BBF-AF1A-A50F32157489}"/>
              </c:ext>
            </c:extLst>
          </c:dPt>
          <c:dPt>
            <c:idx val="13"/>
            <c:bubble3D val="0"/>
            <c:spPr>
              <a:solidFill>
                <a:schemeClr val="accent2">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B-0CF8-4BBF-AF1A-A50F32157489}"/>
              </c:ext>
            </c:extLst>
          </c:dPt>
          <c:dPt>
            <c:idx val="14"/>
            <c:bubble3D val="0"/>
            <c:spPr>
              <a:solidFill>
                <a:schemeClr val="accent3">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D-0CF8-4BBF-AF1A-A50F32157489}"/>
              </c:ext>
            </c:extLst>
          </c:dPt>
          <c:dPt>
            <c:idx val="15"/>
            <c:bubble3D val="0"/>
            <c:spPr>
              <a:solidFill>
                <a:schemeClr val="accent4">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F-0CF8-4BBF-AF1A-A50F32157489}"/>
              </c:ext>
            </c:extLst>
          </c:dPt>
          <c:dPt>
            <c:idx val="16"/>
            <c:bubble3D val="0"/>
            <c:spPr>
              <a:solidFill>
                <a:schemeClr val="accent5">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1-0CF8-4BBF-AF1A-A50F32157489}"/>
              </c:ext>
            </c:extLst>
          </c:dPt>
          <c:dPt>
            <c:idx val="17"/>
            <c:bubble3D val="0"/>
            <c:spPr>
              <a:solidFill>
                <a:schemeClr val="accent6">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3-0CF8-4BBF-AF1A-A50F32157489}"/>
              </c:ext>
            </c:extLst>
          </c:dPt>
          <c:dPt>
            <c:idx val="18"/>
            <c:bubble3D val="0"/>
            <c:spPr>
              <a:solidFill>
                <a:schemeClr val="accent1">
                  <a:lumMod val="8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5-0CF8-4BBF-AF1A-A50F32157489}"/>
              </c:ext>
            </c:extLst>
          </c:dPt>
          <c:dPt>
            <c:idx val="19"/>
            <c:bubble3D val="0"/>
            <c:spPr>
              <a:solidFill>
                <a:schemeClr val="accent2">
                  <a:lumMod val="8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7-0CF8-4BBF-AF1A-A50F321574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YOY_CFI!$A$2:$A$5</c:f>
              <c:multiLvlStrCache>
                <c:ptCount val="2"/>
                <c:lvl>
                  <c:pt idx="0">
                    <c:v>BRITANNIA LTD</c:v>
                  </c:pt>
                  <c:pt idx="1">
                    <c:v>MARICO</c:v>
                  </c:pt>
                </c:lvl>
                <c:lvl>
                  <c:pt idx="0">
                    <c:v>2017</c:v>
                  </c:pt>
                </c:lvl>
              </c:multiLvlStrCache>
            </c:multiLvlStrRef>
          </c:cat>
          <c:val>
            <c:numRef>
              <c:f>YOY_CFI!$B$2:$B$5</c:f>
              <c:numCache>
                <c:formatCode>General</c:formatCode>
                <c:ptCount val="2"/>
                <c:pt idx="0">
                  <c:v>-0.78750709018718101</c:v>
                </c:pt>
                <c:pt idx="1">
                  <c:v>-0.3813755986767392</c:v>
                </c:pt>
              </c:numCache>
            </c:numRef>
          </c:val>
          <c:extLst>
            <c:ext xmlns:c16="http://schemas.microsoft.com/office/drawing/2014/chart" uri="{C3380CC4-5D6E-409C-BE32-E72D297353CC}">
              <c16:uniqueId val="{00000000-89A7-4DFB-A3E1-ADF2250E062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Dashboard.xlsx]CFO_MARGIN!PivotTable14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CFO MARGIN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dLbl>
          <c:idx val="0"/>
          <c:layout>
            <c:manualLayout>
              <c:x val="-0.21127256705451167"/>
              <c:y val="-0.136327047487955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CFO_MARGIN!$B$1</c:f>
              <c:strCache>
                <c:ptCount val="1"/>
                <c:pt idx="0">
                  <c:v>Total</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1-6CD2-4EC8-B782-4C8BD45BBBC8}"/>
              </c:ext>
            </c:extLst>
          </c:dPt>
          <c:dPt>
            <c:idx val="1"/>
            <c:bubble3D val="0"/>
            <c:spPr>
              <a:solidFill>
                <a:schemeClr val="accent2"/>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3-CD95-4598-8589-5FD7A462F726}"/>
              </c:ext>
            </c:extLst>
          </c:dPt>
          <c:dPt>
            <c:idx val="2"/>
            <c:bubble3D val="0"/>
            <c:spPr>
              <a:solidFill>
                <a:schemeClr val="accent3"/>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5-0BFA-4F1A-A9AC-0E0CA1E94917}"/>
              </c:ext>
            </c:extLst>
          </c:dPt>
          <c:dPt>
            <c:idx val="3"/>
            <c:bubble3D val="0"/>
            <c:spPr>
              <a:solidFill>
                <a:schemeClr val="accent4"/>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7-0BFA-4F1A-A9AC-0E0CA1E94917}"/>
              </c:ext>
            </c:extLst>
          </c:dPt>
          <c:dPt>
            <c:idx val="4"/>
            <c:bubble3D val="0"/>
            <c:spPr>
              <a:solidFill>
                <a:schemeClr val="accent5"/>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9-0BFA-4F1A-A9AC-0E0CA1E94917}"/>
              </c:ext>
            </c:extLst>
          </c:dPt>
          <c:dPt>
            <c:idx val="5"/>
            <c:bubble3D val="0"/>
            <c:spPr>
              <a:solidFill>
                <a:schemeClr val="accent6"/>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B-0BFA-4F1A-A9AC-0E0CA1E94917}"/>
              </c:ext>
            </c:extLst>
          </c:dPt>
          <c:dPt>
            <c:idx val="6"/>
            <c:bubble3D val="0"/>
            <c:spPr>
              <a:solidFill>
                <a:schemeClr val="accent1">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D-0BFA-4F1A-A9AC-0E0CA1E94917}"/>
              </c:ext>
            </c:extLst>
          </c:dPt>
          <c:dPt>
            <c:idx val="7"/>
            <c:bubble3D val="0"/>
            <c:spPr>
              <a:solidFill>
                <a:schemeClr val="accent2">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F-0BFA-4F1A-A9AC-0E0CA1E94917}"/>
              </c:ext>
            </c:extLst>
          </c:dPt>
          <c:dPt>
            <c:idx val="8"/>
            <c:bubble3D val="0"/>
            <c:spPr>
              <a:solidFill>
                <a:schemeClr val="accent3">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1-0BFA-4F1A-A9AC-0E0CA1E94917}"/>
              </c:ext>
            </c:extLst>
          </c:dPt>
          <c:dPt>
            <c:idx val="9"/>
            <c:bubble3D val="0"/>
            <c:spPr>
              <a:solidFill>
                <a:schemeClr val="accent4">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3-0BFA-4F1A-A9AC-0E0CA1E94917}"/>
              </c:ext>
            </c:extLst>
          </c:dPt>
          <c:dPt>
            <c:idx val="10"/>
            <c:bubble3D val="0"/>
            <c:spPr>
              <a:solidFill>
                <a:schemeClr val="accent5">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5-0BFA-4F1A-A9AC-0E0CA1E94917}"/>
              </c:ext>
            </c:extLst>
          </c:dPt>
          <c:dPt>
            <c:idx val="11"/>
            <c:bubble3D val="0"/>
            <c:spPr>
              <a:solidFill>
                <a:schemeClr val="accent6">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7-0BFA-4F1A-A9AC-0E0CA1E94917}"/>
              </c:ext>
            </c:extLst>
          </c:dPt>
          <c:dPt>
            <c:idx val="12"/>
            <c:bubble3D val="0"/>
            <c:spPr>
              <a:solidFill>
                <a:schemeClr val="accent1">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9-0BFA-4F1A-A9AC-0E0CA1E94917}"/>
              </c:ext>
            </c:extLst>
          </c:dPt>
          <c:dPt>
            <c:idx val="13"/>
            <c:bubble3D val="0"/>
            <c:spPr>
              <a:solidFill>
                <a:schemeClr val="accent2">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B-0BFA-4F1A-A9AC-0E0CA1E94917}"/>
              </c:ext>
            </c:extLst>
          </c:dPt>
          <c:dPt>
            <c:idx val="14"/>
            <c:bubble3D val="0"/>
            <c:spPr>
              <a:solidFill>
                <a:schemeClr val="accent3">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D-0BFA-4F1A-A9AC-0E0CA1E94917}"/>
              </c:ext>
            </c:extLst>
          </c:dPt>
          <c:dPt>
            <c:idx val="15"/>
            <c:bubble3D val="0"/>
            <c:spPr>
              <a:solidFill>
                <a:schemeClr val="accent4">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F-0BFA-4F1A-A9AC-0E0CA1E94917}"/>
              </c:ext>
            </c:extLst>
          </c:dPt>
          <c:dPt>
            <c:idx val="16"/>
            <c:bubble3D val="0"/>
            <c:spPr>
              <a:solidFill>
                <a:schemeClr val="accent5">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1-0BFA-4F1A-A9AC-0E0CA1E94917}"/>
              </c:ext>
            </c:extLst>
          </c:dPt>
          <c:dPt>
            <c:idx val="17"/>
            <c:bubble3D val="0"/>
            <c:spPr>
              <a:solidFill>
                <a:schemeClr val="accent6">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3-0BFA-4F1A-A9AC-0E0CA1E94917}"/>
              </c:ext>
            </c:extLst>
          </c:dPt>
          <c:dPt>
            <c:idx val="18"/>
            <c:bubble3D val="0"/>
            <c:spPr>
              <a:solidFill>
                <a:schemeClr val="accent1">
                  <a:lumMod val="8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5-0BFA-4F1A-A9AC-0E0CA1E94917}"/>
              </c:ext>
            </c:extLst>
          </c:dPt>
          <c:dPt>
            <c:idx val="19"/>
            <c:bubble3D val="0"/>
            <c:spPr>
              <a:solidFill>
                <a:schemeClr val="accent2">
                  <a:lumMod val="8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7-0BFA-4F1A-A9AC-0E0CA1E949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CFO_MARGIN!$A$2:$A$5</c:f>
              <c:multiLvlStrCache>
                <c:ptCount val="2"/>
                <c:lvl>
                  <c:pt idx="0">
                    <c:v>BRITANNIA LTD</c:v>
                  </c:pt>
                  <c:pt idx="1">
                    <c:v>MARICO</c:v>
                  </c:pt>
                </c:lvl>
                <c:lvl>
                  <c:pt idx="0">
                    <c:v>2017</c:v>
                  </c:pt>
                </c:lvl>
              </c:multiLvlStrCache>
            </c:multiLvlStrRef>
          </c:cat>
          <c:val>
            <c:numRef>
              <c:f>CFO_MARGIN!$B$2:$B$5</c:f>
              <c:numCache>
                <c:formatCode>General</c:formatCode>
                <c:ptCount val="2"/>
                <c:pt idx="0">
                  <c:v>4.873819456179472E-2</c:v>
                </c:pt>
                <c:pt idx="1">
                  <c:v>0.10962369398035415</c:v>
                </c:pt>
              </c:numCache>
            </c:numRef>
          </c:val>
          <c:extLst>
            <c:ext xmlns:c16="http://schemas.microsoft.com/office/drawing/2014/chart" uri="{C3380CC4-5D6E-409C-BE32-E72D297353CC}">
              <c16:uniqueId val="{00000000-6CD2-4EC8-B782-4C8BD45BBBC8}"/>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Dashboard.xlsx]CFO INTEREST!PivotTable15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CFO/INTEREST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'CFO INTEREST'!$B$1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'CFO INTEREST'!$A$2:$A$5</c:f>
              <c:multiLvlStrCache>
                <c:ptCount val="2"/>
                <c:lvl>
                  <c:pt idx="0">
                    <c:v>BRITANNIA LTD</c:v>
                  </c:pt>
                  <c:pt idx="1">
                    <c:v>MARICO</c:v>
                  </c:pt>
                </c:lvl>
                <c:lvl>
                  <c:pt idx="0">
                    <c:v>2017</c:v>
                  </c:pt>
                </c:lvl>
              </c:multiLvlStrCache>
            </c:multiLvlStrRef>
          </c:cat>
          <c:val>
            <c:numRef>
              <c:f>'CFO INTEREST'!$B$2:$B$5</c:f>
              <c:numCache>
                <c:formatCode>General</c:formatCode>
                <c:ptCount val="2"/>
                <c:pt idx="0">
                  <c:v>80.96880733944954</c:v>
                </c:pt>
                <c:pt idx="1">
                  <c:v>39.127261761158024</c:v>
                </c:pt>
              </c:numCache>
            </c:numRef>
          </c:val>
          <c:extLst>
            <c:ext xmlns:c16="http://schemas.microsoft.com/office/drawing/2014/chart" uri="{C3380CC4-5D6E-409C-BE32-E72D297353CC}">
              <c16:uniqueId val="{00000000-3F7F-4A2C-BFDB-9231407F7666}"/>
            </c:ext>
          </c:extLst>
        </c:ser>
        <c:dLbls>
          <c:showLegendKey val="0"/>
          <c:showVal val="0"/>
          <c:showCatName val="0"/>
          <c:showSerName val="0"/>
          <c:showPercent val="0"/>
          <c:showBubbleSize val="0"/>
        </c:dLbls>
        <c:gapWidth val="315"/>
        <c:overlap val="-40"/>
        <c:axId val="282486015"/>
        <c:axId val="202253295"/>
      </c:barChart>
      <c:catAx>
        <c:axId val="282486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253295"/>
        <c:crosses val="autoZero"/>
        <c:auto val="1"/>
        <c:lblAlgn val="ctr"/>
        <c:lblOffset val="100"/>
        <c:noMultiLvlLbl val="0"/>
      </c:catAx>
      <c:valAx>
        <c:axId val="202253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48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Dashboard.xlsx]Sales GR!PivotTable1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'Sales GR'!$B$3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'Sales GR'!$A$4:$A$7</c:f>
              <c:multiLvlStrCache>
                <c:ptCount val="2"/>
                <c:lvl>
                  <c:pt idx="0">
                    <c:v>BRITANNIA LTD</c:v>
                  </c:pt>
                  <c:pt idx="1">
                    <c:v>MARICO</c:v>
                  </c:pt>
                </c:lvl>
                <c:lvl>
                  <c:pt idx="0">
                    <c:v>2017</c:v>
                  </c:pt>
                </c:lvl>
              </c:multiLvlStrCache>
            </c:multiLvlStrRef>
          </c:cat>
          <c:val>
            <c:numRef>
              <c:f>'Sales GR'!$B$4:$B$7</c:f>
              <c:numCache>
                <c:formatCode>General</c:formatCode>
                <c:ptCount val="2"/>
                <c:pt idx="0">
                  <c:v>7.8223414149666048E-2</c:v>
                </c:pt>
                <c:pt idx="1">
                  <c:v>-1.6540586174575989E-2</c:v>
                </c:pt>
              </c:numCache>
            </c:numRef>
          </c:val>
          <c:extLst>
            <c:ext xmlns:c16="http://schemas.microsoft.com/office/drawing/2014/chart" uri="{C3380CC4-5D6E-409C-BE32-E72D297353CC}">
              <c16:uniqueId val="{00000000-E6E5-4D40-897F-A62DA5F23C89}"/>
            </c:ext>
          </c:extLst>
        </c:ser>
        <c:dLbls>
          <c:showLegendKey val="0"/>
          <c:showVal val="0"/>
          <c:showCatName val="0"/>
          <c:showSerName val="0"/>
          <c:showPercent val="0"/>
          <c:showBubbleSize val="0"/>
        </c:dLbls>
        <c:gapWidth val="315"/>
        <c:overlap val="-40"/>
        <c:axId val="2069417167"/>
        <c:axId val="2074698111"/>
      </c:barChart>
      <c:catAx>
        <c:axId val="20694171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4698111"/>
        <c:crosses val="autoZero"/>
        <c:auto val="1"/>
        <c:lblAlgn val="ctr"/>
        <c:lblOffset val="100"/>
        <c:noMultiLvlLbl val="0"/>
      </c:catAx>
      <c:valAx>
        <c:axId val="20746981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6941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Dashboard.xlsx]OP GR!PivotTable2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'OP GR'!$B$1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'OP GR'!$A$2:$A$5</c:f>
              <c:multiLvlStrCache>
                <c:ptCount val="2"/>
                <c:lvl>
                  <c:pt idx="0">
                    <c:v>BRITANNIA LTD</c:v>
                  </c:pt>
                  <c:pt idx="1">
                    <c:v>MARICO</c:v>
                  </c:pt>
                </c:lvl>
                <c:lvl>
                  <c:pt idx="0">
                    <c:v>2017</c:v>
                  </c:pt>
                </c:lvl>
              </c:multiLvlStrCache>
            </c:multiLvlStrRef>
          </c:cat>
          <c:val>
            <c:numRef>
              <c:f>'OP GR'!$B$2:$B$5</c:f>
              <c:numCache>
                <c:formatCode>General</c:formatCode>
                <c:ptCount val="2"/>
                <c:pt idx="0">
                  <c:v>4.4631692506353238E-2</c:v>
                </c:pt>
                <c:pt idx="1">
                  <c:v>0.1026175122220323</c:v>
                </c:pt>
              </c:numCache>
            </c:numRef>
          </c:val>
          <c:extLst>
            <c:ext xmlns:c16="http://schemas.microsoft.com/office/drawing/2014/chart" uri="{C3380CC4-5D6E-409C-BE32-E72D297353CC}">
              <c16:uniqueId val="{00000000-2571-45E2-92CB-8DFB3F680031}"/>
            </c:ext>
          </c:extLst>
        </c:ser>
        <c:dLbls>
          <c:showLegendKey val="0"/>
          <c:showVal val="0"/>
          <c:showCatName val="0"/>
          <c:showSerName val="0"/>
          <c:showPercent val="0"/>
          <c:showBubbleSize val="0"/>
        </c:dLbls>
        <c:gapWidth val="315"/>
        <c:overlap val="-40"/>
        <c:axId val="94311823"/>
        <c:axId val="140378943"/>
      </c:barChart>
      <c:catAx>
        <c:axId val="943118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378943"/>
        <c:crosses val="autoZero"/>
        <c:auto val="1"/>
        <c:lblAlgn val="ctr"/>
        <c:lblOffset val="100"/>
        <c:noMultiLvlLbl val="0"/>
      </c:catAx>
      <c:valAx>
        <c:axId val="140378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31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Dashboard.xlsx]Dividend Payout!PivotTable3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'Dividend Payout'!$B$1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'Dividend Payout'!$A$2:$A$5</c:f>
              <c:multiLvlStrCache>
                <c:ptCount val="2"/>
                <c:lvl>
                  <c:pt idx="0">
                    <c:v>BRITANNIA LTD</c:v>
                  </c:pt>
                  <c:pt idx="1">
                    <c:v>MARICO</c:v>
                  </c:pt>
                </c:lvl>
                <c:lvl>
                  <c:pt idx="0">
                    <c:v>2017</c:v>
                  </c:pt>
                </c:lvl>
              </c:multiLvlStrCache>
            </c:multiLvlStrRef>
          </c:cat>
          <c:val>
            <c:numRef>
              <c:f>'Dividend Payout'!$B$2:$B$5</c:f>
              <c:numCache>
                <c:formatCode>General</c:formatCode>
                <c:ptCount val="2"/>
                <c:pt idx="0">
                  <c:v>0.29848383777855664</c:v>
                </c:pt>
                <c:pt idx="1">
                  <c:v>0.56559686447363478</c:v>
                </c:pt>
              </c:numCache>
            </c:numRef>
          </c:val>
          <c:extLst>
            <c:ext xmlns:c16="http://schemas.microsoft.com/office/drawing/2014/chart" uri="{C3380CC4-5D6E-409C-BE32-E72D297353CC}">
              <c16:uniqueId val="{00000000-DA51-4E8A-986A-88F7484E80FA}"/>
            </c:ext>
          </c:extLst>
        </c:ser>
        <c:dLbls>
          <c:showLegendKey val="0"/>
          <c:showVal val="0"/>
          <c:showCatName val="0"/>
          <c:showSerName val="0"/>
          <c:showPercent val="0"/>
          <c:showBubbleSize val="0"/>
        </c:dLbls>
        <c:gapWidth val="315"/>
        <c:overlap val="-40"/>
        <c:axId val="200157647"/>
        <c:axId val="202214191"/>
      </c:barChart>
      <c:catAx>
        <c:axId val="200157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214191"/>
        <c:crosses val="autoZero"/>
        <c:auto val="1"/>
        <c:lblAlgn val="ctr"/>
        <c:lblOffset val="100"/>
        <c:noMultiLvlLbl val="0"/>
      </c:catAx>
      <c:valAx>
        <c:axId val="202214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15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Dashboard.xlsx]OPM!PivotTable4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OPM!$B$1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OPM!$A$2:$A$5</c:f>
              <c:multiLvlStrCache>
                <c:ptCount val="2"/>
                <c:lvl>
                  <c:pt idx="0">
                    <c:v>BRITANNIA LTD</c:v>
                  </c:pt>
                  <c:pt idx="1">
                    <c:v>MARICO</c:v>
                  </c:pt>
                </c:lvl>
                <c:lvl>
                  <c:pt idx="0">
                    <c:v>2017</c:v>
                  </c:pt>
                </c:lvl>
              </c:multiLvlStrCache>
            </c:multiLvlStrRef>
          </c:cat>
          <c:val>
            <c:numRef>
              <c:f>OPM!$B$2:$B$5</c:f>
              <c:numCache>
                <c:formatCode>General</c:formatCode>
                <c:ptCount val="2"/>
                <c:pt idx="0">
                  <c:v>0.14117155893082578</c:v>
                </c:pt>
                <c:pt idx="1">
                  <c:v>0.19589576514205465</c:v>
                </c:pt>
              </c:numCache>
            </c:numRef>
          </c:val>
          <c:extLst>
            <c:ext xmlns:c16="http://schemas.microsoft.com/office/drawing/2014/chart" uri="{C3380CC4-5D6E-409C-BE32-E72D297353CC}">
              <c16:uniqueId val="{00000000-D068-4169-9860-661CC279E438}"/>
            </c:ext>
          </c:extLst>
        </c:ser>
        <c:dLbls>
          <c:showLegendKey val="0"/>
          <c:showVal val="0"/>
          <c:showCatName val="0"/>
          <c:showSerName val="0"/>
          <c:showPercent val="0"/>
          <c:showBubbleSize val="0"/>
        </c:dLbls>
        <c:gapWidth val="315"/>
        <c:overlap val="-40"/>
        <c:axId val="204188831"/>
        <c:axId val="202331919"/>
      </c:barChart>
      <c:catAx>
        <c:axId val="2041888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331919"/>
        <c:crosses val="autoZero"/>
        <c:auto val="1"/>
        <c:lblAlgn val="ctr"/>
        <c:lblOffset val="100"/>
        <c:noMultiLvlLbl val="0"/>
      </c:catAx>
      <c:valAx>
        <c:axId val="202331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18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Dashboard.xlsx]OP GR!PivotTable2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OPERATING PROFIT GROWTH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'OP GR'!$B$1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'OP GR'!$A$2:$A$5</c:f>
              <c:multiLvlStrCache>
                <c:ptCount val="2"/>
                <c:lvl>
                  <c:pt idx="0">
                    <c:v>BRITANNIA LTD</c:v>
                  </c:pt>
                  <c:pt idx="1">
                    <c:v>MARICO</c:v>
                  </c:pt>
                </c:lvl>
                <c:lvl>
                  <c:pt idx="0">
                    <c:v>2017</c:v>
                  </c:pt>
                </c:lvl>
              </c:multiLvlStrCache>
            </c:multiLvlStrRef>
          </c:cat>
          <c:val>
            <c:numRef>
              <c:f>'OP GR'!$B$2:$B$5</c:f>
              <c:numCache>
                <c:formatCode>General</c:formatCode>
                <c:ptCount val="2"/>
                <c:pt idx="0">
                  <c:v>4.4631692506353238E-2</c:v>
                </c:pt>
                <c:pt idx="1">
                  <c:v>0.1026175122220323</c:v>
                </c:pt>
              </c:numCache>
            </c:numRef>
          </c:val>
          <c:extLst>
            <c:ext xmlns:c16="http://schemas.microsoft.com/office/drawing/2014/chart" uri="{C3380CC4-5D6E-409C-BE32-E72D297353CC}">
              <c16:uniqueId val="{00000000-DC5C-4426-889A-5A143E78DCD4}"/>
            </c:ext>
          </c:extLst>
        </c:ser>
        <c:dLbls>
          <c:showLegendKey val="0"/>
          <c:showVal val="0"/>
          <c:showCatName val="0"/>
          <c:showSerName val="0"/>
          <c:showPercent val="0"/>
          <c:showBubbleSize val="0"/>
        </c:dLbls>
        <c:gapWidth val="315"/>
        <c:overlap val="-40"/>
        <c:axId val="94311823"/>
        <c:axId val="140378943"/>
      </c:barChart>
      <c:catAx>
        <c:axId val="9431182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378943"/>
        <c:crosses val="autoZero"/>
        <c:auto val="1"/>
        <c:lblAlgn val="ctr"/>
        <c:lblOffset val="100"/>
        <c:noMultiLvlLbl val="0"/>
      </c:catAx>
      <c:valAx>
        <c:axId val="1403789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431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Dashboard.xlsx]NPM!PivotTable5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NPM!$B$1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NPM!$A$2:$A$5</c:f>
              <c:multiLvlStrCache>
                <c:ptCount val="2"/>
                <c:lvl>
                  <c:pt idx="0">
                    <c:v>BRITANNIA LTD</c:v>
                  </c:pt>
                  <c:pt idx="1">
                    <c:v>MARICO</c:v>
                  </c:pt>
                </c:lvl>
                <c:lvl>
                  <c:pt idx="0">
                    <c:v>2017</c:v>
                  </c:pt>
                </c:lvl>
              </c:multiLvlStrCache>
            </c:multiLvlStrRef>
          </c:cat>
          <c:val>
            <c:numRef>
              <c:f>NPM!$B$2:$B$5</c:f>
              <c:numCache>
                <c:formatCode>General</c:formatCode>
                <c:ptCount val="2"/>
                <c:pt idx="0">
                  <c:v>9.7687343509949648E-2</c:v>
                </c:pt>
                <c:pt idx="1">
                  <c:v>0.13494733675916179</c:v>
                </c:pt>
              </c:numCache>
            </c:numRef>
          </c:val>
          <c:extLst>
            <c:ext xmlns:c16="http://schemas.microsoft.com/office/drawing/2014/chart" uri="{C3380CC4-5D6E-409C-BE32-E72D297353CC}">
              <c16:uniqueId val="{00000000-4276-4D71-AA64-4E8858D45854}"/>
            </c:ext>
          </c:extLst>
        </c:ser>
        <c:dLbls>
          <c:showLegendKey val="0"/>
          <c:showVal val="0"/>
          <c:showCatName val="0"/>
          <c:showSerName val="0"/>
          <c:showPercent val="0"/>
          <c:showBubbleSize val="0"/>
        </c:dLbls>
        <c:gapWidth val="315"/>
        <c:overlap val="-40"/>
        <c:axId val="204239631"/>
        <c:axId val="86454735"/>
      </c:barChart>
      <c:catAx>
        <c:axId val="204239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454735"/>
        <c:crosses val="autoZero"/>
        <c:auto val="1"/>
        <c:lblAlgn val="ctr"/>
        <c:lblOffset val="100"/>
        <c:noMultiLvlLbl val="0"/>
      </c:catAx>
      <c:valAx>
        <c:axId val="86454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23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Dashboard.xlsx]Interest Coverage Ratio!PivotTable6</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'Interest Coverage Ratio'!$B$1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'Interest Coverage Ratio'!$A$2:$A$5</c:f>
              <c:multiLvlStrCache>
                <c:ptCount val="2"/>
                <c:lvl>
                  <c:pt idx="0">
                    <c:v>BRITANNIA LTD</c:v>
                  </c:pt>
                  <c:pt idx="1">
                    <c:v>MARICO</c:v>
                  </c:pt>
                </c:lvl>
                <c:lvl>
                  <c:pt idx="0">
                    <c:v>2017</c:v>
                  </c:pt>
                </c:lvl>
              </c:multiLvlStrCache>
            </c:multiLvlStrRef>
          </c:cat>
          <c:val>
            <c:numRef>
              <c:f>'Interest Coverage Ratio'!$B$2:$B$5</c:f>
              <c:numCache>
                <c:formatCode>General</c:formatCode>
                <c:ptCount val="2"/>
                <c:pt idx="0">
                  <c:v>234.52844036697252</c:v>
                </c:pt>
                <c:pt idx="1">
                  <c:v>69.919782870928813</c:v>
                </c:pt>
              </c:numCache>
            </c:numRef>
          </c:val>
          <c:extLst>
            <c:ext xmlns:c16="http://schemas.microsoft.com/office/drawing/2014/chart" uri="{C3380CC4-5D6E-409C-BE32-E72D297353CC}">
              <c16:uniqueId val="{00000000-62AC-41DE-BEC1-2273CF2EC800}"/>
            </c:ext>
          </c:extLst>
        </c:ser>
        <c:dLbls>
          <c:showLegendKey val="0"/>
          <c:showVal val="0"/>
          <c:showCatName val="0"/>
          <c:showSerName val="0"/>
          <c:showPercent val="0"/>
          <c:showBubbleSize val="0"/>
        </c:dLbls>
        <c:gapWidth val="315"/>
        <c:overlap val="-40"/>
        <c:axId val="210535967"/>
        <c:axId val="204904751"/>
      </c:barChart>
      <c:catAx>
        <c:axId val="21053596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904751"/>
        <c:crosses val="autoZero"/>
        <c:auto val="1"/>
        <c:lblAlgn val="ctr"/>
        <c:lblOffset val="100"/>
        <c:noMultiLvlLbl val="0"/>
      </c:catAx>
      <c:valAx>
        <c:axId val="204904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053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Dashboard.xlsx]Inventory Turnover!PivotTable7</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'Inventory Turnover'!$B$1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'Inventory Turnover'!$A$2:$A$5</c:f>
              <c:multiLvlStrCache>
                <c:ptCount val="2"/>
                <c:lvl>
                  <c:pt idx="0">
                    <c:v>BRITANNIA LTD</c:v>
                  </c:pt>
                  <c:pt idx="1">
                    <c:v>MARICO</c:v>
                  </c:pt>
                </c:lvl>
                <c:lvl>
                  <c:pt idx="0">
                    <c:v>2017</c:v>
                  </c:pt>
                </c:lvl>
              </c:multiLvlStrCache>
            </c:multiLvlStrRef>
          </c:cat>
          <c:val>
            <c:numRef>
              <c:f>'Inventory Turnover'!$B$2:$B$5</c:f>
              <c:numCache>
                <c:formatCode>General</c:formatCode>
                <c:ptCount val="2"/>
                <c:pt idx="0">
                  <c:v>13.688245521203417</c:v>
                </c:pt>
                <c:pt idx="1">
                  <c:v>4.7212391498595858</c:v>
                </c:pt>
              </c:numCache>
            </c:numRef>
          </c:val>
          <c:extLst>
            <c:ext xmlns:c16="http://schemas.microsoft.com/office/drawing/2014/chart" uri="{C3380CC4-5D6E-409C-BE32-E72D297353CC}">
              <c16:uniqueId val="{00000000-02E5-40CB-B7C8-8D9A7DA8C5F1}"/>
            </c:ext>
          </c:extLst>
        </c:ser>
        <c:dLbls>
          <c:showLegendKey val="0"/>
          <c:showVal val="0"/>
          <c:showCatName val="0"/>
          <c:showSerName val="0"/>
          <c:showPercent val="0"/>
          <c:showBubbleSize val="0"/>
        </c:dLbls>
        <c:gapWidth val="315"/>
        <c:overlap val="-40"/>
        <c:axId val="214173231"/>
        <c:axId val="202135983"/>
      </c:barChart>
      <c:catAx>
        <c:axId val="214173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135983"/>
        <c:crosses val="autoZero"/>
        <c:auto val="1"/>
        <c:lblAlgn val="ctr"/>
        <c:lblOffset val="100"/>
        <c:noMultiLvlLbl val="0"/>
      </c:catAx>
      <c:valAx>
        <c:axId val="202135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17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Dashboard.xlsx]Return on Equity!PivotTable8</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'Return on Equity'!$B$1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'Return on Equity'!$A$2:$A$5</c:f>
              <c:multiLvlStrCache>
                <c:ptCount val="2"/>
                <c:lvl>
                  <c:pt idx="0">
                    <c:v>BRITANNIA LTD</c:v>
                  </c:pt>
                  <c:pt idx="1">
                    <c:v>MARICO</c:v>
                  </c:pt>
                </c:lvl>
                <c:lvl>
                  <c:pt idx="0">
                    <c:v>2017</c:v>
                  </c:pt>
                </c:lvl>
              </c:multiLvlStrCache>
            </c:multiLvlStrRef>
          </c:cat>
          <c:val>
            <c:numRef>
              <c:f>'Return on Equity'!$B$2:$B$5</c:f>
              <c:numCache>
                <c:formatCode>General</c:formatCode>
                <c:ptCount val="2"/>
                <c:pt idx="0">
                  <c:v>0.32801640693957174</c:v>
                </c:pt>
                <c:pt idx="1">
                  <c:v>0.34337914072443326</c:v>
                </c:pt>
              </c:numCache>
            </c:numRef>
          </c:val>
          <c:extLst>
            <c:ext xmlns:c16="http://schemas.microsoft.com/office/drawing/2014/chart" uri="{C3380CC4-5D6E-409C-BE32-E72D297353CC}">
              <c16:uniqueId val="{00000000-A1CC-4E9D-8B83-B6BEFEE7D884}"/>
            </c:ext>
          </c:extLst>
        </c:ser>
        <c:dLbls>
          <c:showLegendKey val="0"/>
          <c:showVal val="0"/>
          <c:showCatName val="0"/>
          <c:showSerName val="0"/>
          <c:showPercent val="0"/>
          <c:showBubbleSize val="0"/>
        </c:dLbls>
        <c:gapWidth val="315"/>
        <c:overlap val="-40"/>
        <c:axId val="220375439"/>
        <c:axId val="204693007"/>
      </c:barChart>
      <c:catAx>
        <c:axId val="220375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693007"/>
        <c:crosses val="autoZero"/>
        <c:auto val="1"/>
        <c:lblAlgn val="ctr"/>
        <c:lblOffset val="100"/>
        <c:noMultiLvlLbl val="0"/>
      </c:catAx>
      <c:valAx>
        <c:axId val="2046930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37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Dashboard.xlsx]Invetory Conversion period!PivotTable9</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'Invetory Conversion period'!$B$1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'Invetory Conversion period'!$A$2:$A$5</c:f>
              <c:multiLvlStrCache>
                <c:ptCount val="2"/>
                <c:lvl>
                  <c:pt idx="0">
                    <c:v>BRITANNIA LTD</c:v>
                  </c:pt>
                  <c:pt idx="1">
                    <c:v>MARICO</c:v>
                  </c:pt>
                </c:lvl>
                <c:lvl>
                  <c:pt idx="0">
                    <c:v>2017</c:v>
                  </c:pt>
                </c:lvl>
              </c:multiLvlStrCache>
            </c:multiLvlStrRef>
          </c:cat>
          <c:val>
            <c:numRef>
              <c:f>'Invetory Conversion period'!$B$2:$B$5</c:f>
              <c:numCache>
                <c:formatCode>General</c:formatCode>
                <c:ptCount val="2"/>
                <c:pt idx="0">
                  <c:v>26.299937376368028</c:v>
                </c:pt>
                <c:pt idx="1">
                  <c:v>76.251168088086942</c:v>
                </c:pt>
              </c:numCache>
            </c:numRef>
          </c:val>
          <c:extLst>
            <c:ext xmlns:c16="http://schemas.microsoft.com/office/drawing/2014/chart" uri="{C3380CC4-5D6E-409C-BE32-E72D297353CC}">
              <c16:uniqueId val="{00000000-BF04-4675-BD66-427FE18EB798}"/>
            </c:ext>
          </c:extLst>
        </c:ser>
        <c:dLbls>
          <c:showLegendKey val="0"/>
          <c:showVal val="0"/>
          <c:showCatName val="0"/>
          <c:showSerName val="0"/>
          <c:showPercent val="0"/>
          <c:showBubbleSize val="0"/>
        </c:dLbls>
        <c:gapWidth val="315"/>
        <c:overlap val="-40"/>
        <c:axId val="220349039"/>
        <c:axId val="204854831"/>
      </c:barChart>
      <c:catAx>
        <c:axId val="2203490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854831"/>
        <c:crosses val="autoZero"/>
        <c:auto val="1"/>
        <c:lblAlgn val="ctr"/>
        <c:lblOffset val="100"/>
        <c:noMultiLvlLbl val="0"/>
      </c:catAx>
      <c:valAx>
        <c:axId val="204854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3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Dashboard.xlsx]Debtor Conversion Period!PivotTable10</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'Debtor Conversion Period'!$B$1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'Debtor Conversion Period'!$A$2:$A$5</c:f>
              <c:multiLvlStrCache>
                <c:ptCount val="2"/>
                <c:lvl>
                  <c:pt idx="0">
                    <c:v>BRITANNIA LTD</c:v>
                  </c:pt>
                  <c:pt idx="1">
                    <c:v>MARICO</c:v>
                  </c:pt>
                </c:lvl>
                <c:lvl>
                  <c:pt idx="0">
                    <c:v>2017</c:v>
                  </c:pt>
                </c:lvl>
              </c:multiLvlStrCache>
            </c:multiLvlStrRef>
          </c:cat>
          <c:val>
            <c:numRef>
              <c:f>'Debtor Conversion Period'!$B$2:$B$5</c:f>
              <c:numCache>
                <c:formatCode>General</c:formatCode>
                <c:ptCount val="2"/>
                <c:pt idx="0">
                  <c:v>7.1235872406834924</c:v>
                </c:pt>
                <c:pt idx="1">
                  <c:v>15.025271258358273</c:v>
                </c:pt>
              </c:numCache>
            </c:numRef>
          </c:val>
          <c:extLst>
            <c:ext xmlns:c16="http://schemas.microsoft.com/office/drawing/2014/chart" uri="{C3380CC4-5D6E-409C-BE32-E72D297353CC}">
              <c16:uniqueId val="{00000000-B9D9-472D-94F0-6CC356CE2CA9}"/>
            </c:ext>
          </c:extLst>
        </c:ser>
        <c:dLbls>
          <c:showLegendKey val="0"/>
          <c:showVal val="0"/>
          <c:showCatName val="0"/>
          <c:showSerName val="0"/>
          <c:showPercent val="0"/>
          <c:showBubbleSize val="0"/>
        </c:dLbls>
        <c:gapWidth val="315"/>
        <c:overlap val="-40"/>
        <c:axId val="217827263"/>
        <c:axId val="202142223"/>
      </c:barChart>
      <c:catAx>
        <c:axId val="2178272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142223"/>
        <c:crosses val="autoZero"/>
        <c:auto val="1"/>
        <c:lblAlgn val="ctr"/>
        <c:lblOffset val="100"/>
        <c:noMultiLvlLbl val="0"/>
      </c:catAx>
      <c:valAx>
        <c:axId val="2021422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7827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Dashboard.xlsx]Reserves as total Capital %!PivotTable11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'Reserves as total Capital %'!$B$1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'Reserves as total Capital %'!$A$2:$A$5</c:f>
              <c:multiLvlStrCache>
                <c:ptCount val="2"/>
                <c:lvl>
                  <c:pt idx="0">
                    <c:v>BRITANNIA LTD</c:v>
                  </c:pt>
                  <c:pt idx="1">
                    <c:v>MARICO</c:v>
                  </c:pt>
                </c:lvl>
                <c:lvl>
                  <c:pt idx="0">
                    <c:v>2017</c:v>
                  </c:pt>
                </c:lvl>
              </c:multiLvlStrCache>
            </c:multiLvlStrRef>
          </c:cat>
          <c:val>
            <c:numRef>
              <c:f>'Reserves as total Capital %'!$B$2:$B$5</c:f>
              <c:numCache>
                <c:formatCode>General</c:formatCode>
                <c:ptCount val="2"/>
                <c:pt idx="0">
                  <c:v>234.52844036697252</c:v>
                </c:pt>
                <c:pt idx="1">
                  <c:v>0.60626626665305072</c:v>
                </c:pt>
              </c:numCache>
            </c:numRef>
          </c:val>
          <c:extLst>
            <c:ext xmlns:c16="http://schemas.microsoft.com/office/drawing/2014/chart" uri="{C3380CC4-5D6E-409C-BE32-E72D297353CC}">
              <c16:uniqueId val="{00000000-2694-4FDA-B991-F10E65286164}"/>
            </c:ext>
          </c:extLst>
        </c:ser>
        <c:dLbls>
          <c:showLegendKey val="0"/>
          <c:showVal val="0"/>
          <c:showCatName val="0"/>
          <c:showSerName val="0"/>
          <c:showPercent val="0"/>
          <c:showBubbleSize val="0"/>
        </c:dLbls>
        <c:gapWidth val="315"/>
        <c:overlap val="-40"/>
        <c:axId val="217819663"/>
        <c:axId val="86425199"/>
      </c:barChart>
      <c:catAx>
        <c:axId val="2178196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425199"/>
        <c:crosses val="autoZero"/>
        <c:auto val="1"/>
        <c:lblAlgn val="ctr"/>
        <c:lblOffset val="100"/>
        <c:noMultiLvlLbl val="0"/>
      </c:catAx>
      <c:valAx>
        <c:axId val="864251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781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Dashboard.xlsx]YOY_CFO!PivotTable12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YOY_CFO!$B$1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YOY_CFO!$A$2:$A$5</c:f>
              <c:multiLvlStrCache>
                <c:ptCount val="2"/>
                <c:lvl>
                  <c:pt idx="0">
                    <c:v>BRITANNIA LTD</c:v>
                  </c:pt>
                  <c:pt idx="1">
                    <c:v>MARICO</c:v>
                  </c:pt>
                </c:lvl>
                <c:lvl>
                  <c:pt idx="0">
                    <c:v>2017</c:v>
                  </c:pt>
                </c:lvl>
              </c:multiLvlStrCache>
            </c:multiLvlStrRef>
          </c:cat>
          <c:val>
            <c:numRef>
              <c:f>YOY_CFO!$B$2:$B$5</c:f>
              <c:numCache>
                <c:formatCode>General</c:formatCode>
                <c:ptCount val="2"/>
                <c:pt idx="0">
                  <c:v>-0.53996434640284396</c:v>
                </c:pt>
                <c:pt idx="1">
                  <c:v>-0.20656295100413391</c:v>
                </c:pt>
              </c:numCache>
            </c:numRef>
          </c:val>
          <c:extLst>
            <c:ext xmlns:c16="http://schemas.microsoft.com/office/drawing/2014/chart" uri="{C3380CC4-5D6E-409C-BE32-E72D297353CC}">
              <c16:uniqueId val="{00000000-FBB3-4BD1-9770-84C808A48877}"/>
            </c:ext>
          </c:extLst>
        </c:ser>
        <c:dLbls>
          <c:showLegendKey val="0"/>
          <c:showVal val="0"/>
          <c:showCatName val="0"/>
          <c:showSerName val="0"/>
          <c:showPercent val="0"/>
          <c:showBubbleSize val="0"/>
        </c:dLbls>
        <c:gapWidth val="315"/>
        <c:overlap val="-40"/>
        <c:axId val="276593231"/>
        <c:axId val="204883535"/>
      </c:barChart>
      <c:catAx>
        <c:axId val="276593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883535"/>
        <c:crosses val="autoZero"/>
        <c:auto val="1"/>
        <c:lblAlgn val="ctr"/>
        <c:lblOffset val="100"/>
        <c:noMultiLvlLbl val="0"/>
      </c:catAx>
      <c:valAx>
        <c:axId val="2048835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659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Dashboard.xlsx]YOY_CFI!PivotTable13</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YOY_CFI!$B$1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YOY_CFI!$A$2:$A$5</c:f>
              <c:multiLvlStrCache>
                <c:ptCount val="2"/>
                <c:lvl>
                  <c:pt idx="0">
                    <c:v>BRITANNIA LTD</c:v>
                  </c:pt>
                  <c:pt idx="1">
                    <c:v>MARICO</c:v>
                  </c:pt>
                </c:lvl>
                <c:lvl>
                  <c:pt idx="0">
                    <c:v>2017</c:v>
                  </c:pt>
                </c:lvl>
              </c:multiLvlStrCache>
            </c:multiLvlStrRef>
          </c:cat>
          <c:val>
            <c:numRef>
              <c:f>YOY_CFI!$B$2:$B$5</c:f>
              <c:numCache>
                <c:formatCode>General</c:formatCode>
                <c:ptCount val="2"/>
                <c:pt idx="0">
                  <c:v>-0.78750709018718101</c:v>
                </c:pt>
                <c:pt idx="1">
                  <c:v>-0.3813755986767392</c:v>
                </c:pt>
              </c:numCache>
            </c:numRef>
          </c:val>
          <c:extLst>
            <c:ext xmlns:c16="http://schemas.microsoft.com/office/drawing/2014/chart" uri="{C3380CC4-5D6E-409C-BE32-E72D297353CC}">
              <c16:uniqueId val="{00000000-CAD2-45B7-AD5B-C41B783E74E2}"/>
            </c:ext>
          </c:extLst>
        </c:ser>
        <c:dLbls>
          <c:showLegendKey val="0"/>
          <c:showVal val="0"/>
          <c:showCatName val="0"/>
          <c:showSerName val="0"/>
          <c:showPercent val="0"/>
          <c:showBubbleSize val="0"/>
        </c:dLbls>
        <c:gapWidth val="315"/>
        <c:overlap val="-40"/>
        <c:axId val="276653231"/>
        <c:axId val="202286575"/>
      </c:barChart>
      <c:catAx>
        <c:axId val="276653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286575"/>
        <c:crosses val="autoZero"/>
        <c:auto val="1"/>
        <c:lblAlgn val="ctr"/>
        <c:lblOffset val="100"/>
        <c:noMultiLvlLbl val="0"/>
      </c:catAx>
      <c:valAx>
        <c:axId val="2022865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665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Dashboard.xlsx]CFO_MARGIN!PivotTable14</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CFO_MARGIN!$B$1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CFO_MARGIN!$A$2:$A$5</c:f>
              <c:multiLvlStrCache>
                <c:ptCount val="2"/>
                <c:lvl>
                  <c:pt idx="0">
                    <c:v>BRITANNIA LTD</c:v>
                  </c:pt>
                  <c:pt idx="1">
                    <c:v>MARICO</c:v>
                  </c:pt>
                </c:lvl>
                <c:lvl>
                  <c:pt idx="0">
                    <c:v>2017</c:v>
                  </c:pt>
                </c:lvl>
              </c:multiLvlStrCache>
            </c:multiLvlStrRef>
          </c:cat>
          <c:val>
            <c:numRef>
              <c:f>CFO_MARGIN!$B$2:$B$5</c:f>
              <c:numCache>
                <c:formatCode>General</c:formatCode>
                <c:ptCount val="2"/>
                <c:pt idx="0">
                  <c:v>4.873819456179472E-2</c:v>
                </c:pt>
                <c:pt idx="1">
                  <c:v>0.10962369398035415</c:v>
                </c:pt>
              </c:numCache>
            </c:numRef>
          </c:val>
          <c:extLst>
            <c:ext xmlns:c16="http://schemas.microsoft.com/office/drawing/2014/chart" uri="{C3380CC4-5D6E-409C-BE32-E72D297353CC}">
              <c16:uniqueId val="{00000000-8736-4425-82E1-C2F0D36D735B}"/>
            </c:ext>
          </c:extLst>
        </c:ser>
        <c:dLbls>
          <c:showLegendKey val="0"/>
          <c:showVal val="0"/>
          <c:showCatName val="0"/>
          <c:showSerName val="0"/>
          <c:showPercent val="0"/>
          <c:showBubbleSize val="0"/>
        </c:dLbls>
        <c:gapWidth val="315"/>
        <c:overlap val="-40"/>
        <c:axId val="276564031"/>
        <c:axId val="2077215407"/>
      </c:barChart>
      <c:catAx>
        <c:axId val="2765640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7215407"/>
        <c:crosses val="autoZero"/>
        <c:auto val="1"/>
        <c:lblAlgn val="ctr"/>
        <c:lblOffset val="100"/>
        <c:noMultiLvlLbl val="0"/>
      </c:catAx>
      <c:valAx>
        <c:axId val="20772154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656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Dashboard.xlsx]Dividend Payout!PivotTable3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DIVIDENT PAYOUT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'Dividend Payout'!$B$1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'Dividend Payout'!$A$2:$A$5</c:f>
              <c:multiLvlStrCache>
                <c:ptCount val="2"/>
                <c:lvl>
                  <c:pt idx="0">
                    <c:v>BRITANNIA LTD</c:v>
                  </c:pt>
                  <c:pt idx="1">
                    <c:v>MARICO</c:v>
                  </c:pt>
                </c:lvl>
                <c:lvl>
                  <c:pt idx="0">
                    <c:v>2017</c:v>
                  </c:pt>
                </c:lvl>
              </c:multiLvlStrCache>
            </c:multiLvlStrRef>
          </c:cat>
          <c:val>
            <c:numRef>
              <c:f>'Dividend Payout'!$B$2:$B$5</c:f>
              <c:numCache>
                <c:formatCode>General</c:formatCode>
                <c:ptCount val="2"/>
                <c:pt idx="0">
                  <c:v>0.29848383777855664</c:v>
                </c:pt>
                <c:pt idx="1">
                  <c:v>0.56559686447363478</c:v>
                </c:pt>
              </c:numCache>
            </c:numRef>
          </c:val>
          <c:extLst>
            <c:ext xmlns:c16="http://schemas.microsoft.com/office/drawing/2014/chart" uri="{C3380CC4-5D6E-409C-BE32-E72D297353CC}">
              <c16:uniqueId val="{00000000-599F-4A19-AB68-F2B8AD3DFEE9}"/>
            </c:ext>
          </c:extLst>
        </c:ser>
        <c:dLbls>
          <c:showLegendKey val="0"/>
          <c:showVal val="0"/>
          <c:showCatName val="0"/>
          <c:showSerName val="0"/>
          <c:showPercent val="0"/>
          <c:showBubbleSize val="0"/>
        </c:dLbls>
        <c:gapWidth val="315"/>
        <c:overlap val="-40"/>
        <c:axId val="200157647"/>
        <c:axId val="202214191"/>
      </c:barChart>
      <c:catAx>
        <c:axId val="2001576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214191"/>
        <c:crosses val="autoZero"/>
        <c:auto val="1"/>
        <c:lblAlgn val="ctr"/>
        <c:lblOffset val="100"/>
        <c:noMultiLvlLbl val="0"/>
      </c:catAx>
      <c:valAx>
        <c:axId val="2022141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015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Dashboard.xlsx]CFO INTEREST!PivotTable15</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'CFO INTEREST'!$B$1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'CFO INTEREST'!$A$2:$A$5</c:f>
              <c:multiLvlStrCache>
                <c:ptCount val="2"/>
                <c:lvl>
                  <c:pt idx="0">
                    <c:v>BRITANNIA LTD</c:v>
                  </c:pt>
                  <c:pt idx="1">
                    <c:v>MARICO</c:v>
                  </c:pt>
                </c:lvl>
                <c:lvl>
                  <c:pt idx="0">
                    <c:v>2017</c:v>
                  </c:pt>
                </c:lvl>
              </c:multiLvlStrCache>
            </c:multiLvlStrRef>
          </c:cat>
          <c:val>
            <c:numRef>
              <c:f>'CFO INTEREST'!$B$2:$B$5</c:f>
              <c:numCache>
                <c:formatCode>General</c:formatCode>
                <c:ptCount val="2"/>
                <c:pt idx="0">
                  <c:v>80.96880733944954</c:v>
                </c:pt>
                <c:pt idx="1">
                  <c:v>39.127261761158024</c:v>
                </c:pt>
              </c:numCache>
            </c:numRef>
          </c:val>
          <c:extLst>
            <c:ext xmlns:c16="http://schemas.microsoft.com/office/drawing/2014/chart" uri="{C3380CC4-5D6E-409C-BE32-E72D297353CC}">
              <c16:uniqueId val="{00000000-AAC3-46C3-B0BB-C5C6417C5CEA}"/>
            </c:ext>
          </c:extLst>
        </c:ser>
        <c:dLbls>
          <c:showLegendKey val="0"/>
          <c:showVal val="0"/>
          <c:showCatName val="0"/>
          <c:showSerName val="0"/>
          <c:showPercent val="0"/>
          <c:showBubbleSize val="0"/>
        </c:dLbls>
        <c:gapWidth val="315"/>
        <c:overlap val="-40"/>
        <c:axId val="282486015"/>
        <c:axId val="202253295"/>
      </c:barChart>
      <c:catAx>
        <c:axId val="282486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253295"/>
        <c:crosses val="autoZero"/>
        <c:auto val="1"/>
        <c:lblAlgn val="ctr"/>
        <c:lblOffset val="100"/>
        <c:noMultiLvlLbl val="0"/>
      </c:catAx>
      <c:valAx>
        <c:axId val="2022532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8248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Dashboard.xlsx]OPM!PivotTable4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OPERATING PROFIT MARGIN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OPM!$B$1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OPM!$A$2:$A$5</c:f>
              <c:multiLvlStrCache>
                <c:ptCount val="2"/>
                <c:lvl>
                  <c:pt idx="0">
                    <c:v>BRITANNIA LTD</c:v>
                  </c:pt>
                  <c:pt idx="1">
                    <c:v>MARICO</c:v>
                  </c:pt>
                </c:lvl>
                <c:lvl>
                  <c:pt idx="0">
                    <c:v>2017</c:v>
                  </c:pt>
                </c:lvl>
              </c:multiLvlStrCache>
            </c:multiLvlStrRef>
          </c:cat>
          <c:val>
            <c:numRef>
              <c:f>OPM!$B$2:$B$5</c:f>
              <c:numCache>
                <c:formatCode>General</c:formatCode>
                <c:ptCount val="2"/>
                <c:pt idx="0">
                  <c:v>0.14117155893082578</c:v>
                </c:pt>
                <c:pt idx="1">
                  <c:v>0.19589576514205465</c:v>
                </c:pt>
              </c:numCache>
            </c:numRef>
          </c:val>
          <c:extLst>
            <c:ext xmlns:c16="http://schemas.microsoft.com/office/drawing/2014/chart" uri="{C3380CC4-5D6E-409C-BE32-E72D297353CC}">
              <c16:uniqueId val="{00000000-F979-43A0-A4B1-2B308980807A}"/>
            </c:ext>
          </c:extLst>
        </c:ser>
        <c:dLbls>
          <c:showLegendKey val="0"/>
          <c:showVal val="0"/>
          <c:showCatName val="0"/>
          <c:showSerName val="0"/>
          <c:showPercent val="0"/>
          <c:showBubbleSize val="0"/>
        </c:dLbls>
        <c:gapWidth val="315"/>
        <c:overlap val="-40"/>
        <c:axId val="204188831"/>
        <c:axId val="202331919"/>
      </c:barChart>
      <c:catAx>
        <c:axId val="2041888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331919"/>
        <c:crosses val="autoZero"/>
        <c:auto val="1"/>
        <c:lblAlgn val="ctr"/>
        <c:lblOffset val="100"/>
        <c:noMultiLvlLbl val="0"/>
      </c:catAx>
      <c:valAx>
        <c:axId val="2023319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188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Dashboard.xlsx]NPM!PivotTable5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NET PROFIT MARGIN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NPM!$B$1</c:f>
              <c:strCache>
                <c:ptCount val="1"/>
                <c:pt idx="0">
                  <c:v>Total</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1-44EA-470C-B25A-89EEAF9FE803}"/>
              </c:ext>
            </c:extLst>
          </c:dPt>
          <c:dPt>
            <c:idx val="1"/>
            <c:bubble3D val="0"/>
            <c:spPr>
              <a:solidFill>
                <a:schemeClr val="accent2"/>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3-44EA-470C-B25A-89EEAF9FE803}"/>
              </c:ext>
            </c:extLst>
          </c:dPt>
          <c:dPt>
            <c:idx val="2"/>
            <c:bubble3D val="0"/>
            <c:spPr>
              <a:solidFill>
                <a:schemeClr val="accent3"/>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5-B5AD-4009-8B77-33C5F0277295}"/>
              </c:ext>
            </c:extLst>
          </c:dPt>
          <c:dPt>
            <c:idx val="3"/>
            <c:bubble3D val="0"/>
            <c:spPr>
              <a:solidFill>
                <a:schemeClr val="accent4"/>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7-B5AD-4009-8B77-33C5F0277295}"/>
              </c:ext>
            </c:extLst>
          </c:dPt>
          <c:dPt>
            <c:idx val="4"/>
            <c:bubble3D val="0"/>
            <c:spPr>
              <a:solidFill>
                <a:schemeClr val="accent5"/>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9-B5AD-4009-8B77-33C5F0277295}"/>
              </c:ext>
            </c:extLst>
          </c:dPt>
          <c:dPt>
            <c:idx val="5"/>
            <c:bubble3D val="0"/>
            <c:spPr>
              <a:solidFill>
                <a:schemeClr val="accent6"/>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B-B5AD-4009-8B77-33C5F0277295}"/>
              </c:ext>
            </c:extLst>
          </c:dPt>
          <c:dPt>
            <c:idx val="6"/>
            <c:bubble3D val="0"/>
            <c:spPr>
              <a:solidFill>
                <a:schemeClr val="accent1">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D-B5AD-4009-8B77-33C5F0277295}"/>
              </c:ext>
            </c:extLst>
          </c:dPt>
          <c:dPt>
            <c:idx val="7"/>
            <c:bubble3D val="0"/>
            <c:spPr>
              <a:solidFill>
                <a:schemeClr val="accent2">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F-B5AD-4009-8B77-33C5F0277295}"/>
              </c:ext>
            </c:extLst>
          </c:dPt>
          <c:dPt>
            <c:idx val="8"/>
            <c:bubble3D val="0"/>
            <c:spPr>
              <a:solidFill>
                <a:schemeClr val="accent3">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1-B5AD-4009-8B77-33C5F0277295}"/>
              </c:ext>
            </c:extLst>
          </c:dPt>
          <c:dPt>
            <c:idx val="9"/>
            <c:bubble3D val="0"/>
            <c:spPr>
              <a:solidFill>
                <a:schemeClr val="accent4">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3-B5AD-4009-8B77-33C5F0277295}"/>
              </c:ext>
            </c:extLst>
          </c:dPt>
          <c:dPt>
            <c:idx val="10"/>
            <c:bubble3D val="0"/>
            <c:spPr>
              <a:solidFill>
                <a:schemeClr val="accent5">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5-B5AD-4009-8B77-33C5F0277295}"/>
              </c:ext>
            </c:extLst>
          </c:dPt>
          <c:dPt>
            <c:idx val="11"/>
            <c:bubble3D val="0"/>
            <c:spPr>
              <a:solidFill>
                <a:schemeClr val="accent6">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7-B5AD-4009-8B77-33C5F0277295}"/>
              </c:ext>
            </c:extLst>
          </c:dPt>
          <c:dPt>
            <c:idx val="12"/>
            <c:bubble3D val="0"/>
            <c:spPr>
              <a:solidFill>
                <a:schemeClr val="accent1">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9-B5AD-4009-8B77-33C5F0277295}"/>
              </c:ext>
            </c:extLst>
          </c:dPt>
          <c:dPt>
            <c:idx val="13"/>
            <c:bubble3D val="0"/>
            <c:spPr>
              <a:solidFill>
                <a:schemeClr val="accent2">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B-B5AD-4009-8B77-33C5F0277295}"/>
              </c:ext>
            </c:extLst>
          </c:dPt>
          <c:dPt>
            <c:idx val="14"/>
            <c:bubble3D val="0"/>
            <c:spPr>
              <a:solidFill>
                <a:schemeClr val="accent3">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D-B5AD-4009-8B77-33C5F0277295}"/>
              </c:ext>
            </c:extLst>
          </c:dPt>
          <c:dPt>
            <c:idx val="15"/>
            <c:bubble3D val="0"/>
            <c:spPr>
              <a:solidFill>
                <a:schemeClr val="accent4">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F-B5AD-4009-8B77-33C5F0277295}"/>
              </c:ext>
            </c:extLst>
          </c:dPt>
          <c:dPt>
            <c:idx val="16"/>
            <c:bubble3D val="0"/>
            <c:spPr>
              <a:solidFill>
                <a:schemeClr val="accent5">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1-B5AD-4009-8B77-33C5F0277295}"/>
              </c:ext>
            </c:extLst>
          </c:dPt>
          <c:dPt>
            <c:idx val="17"/>
            <c:bubble3D val="0"/>
            <c:spPr>
              <a:solidFill>
                <a:schemeClr val="accent6">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3-B5AD-4009-8B77-33C5F0277295}"/>
              </c:ext>
            </c:extLst>
          </c:dPt>
          <c:dPt>
            <c:idx val="18"/>
            <c:bubble3D val="0"/>
            <c:spPr>
              <a:solidFill>
                <a:schemeClr val="accent1">
                  <a:lumMod val="8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5-B5AD-4009-8B77-33C5F0277295}"/>
              </c:ext>
            </c:extLst>
          </c:dPt>
          <c:dPt>
            <c:idx val="19"/>
            <c:bubble3D val="0"/>
            <c:spPr>
              <a:solidFill>
                <a:schemeClr val="accent2">
                  <a:lumMod val="8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7-B5AD-4009-8B77-33C5F02772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NPM!$A$2:$A$5</c:f>
              <c:multiLvlStrCache>
                <c:ptCount val="2"/>
                <c:lvl>
                  <c:pt idx="0">
                    <c:v>BRITANNIA LTD</c:v>
                  </c:pt>
                  <c:pt idx="1">
                    <c:v>MARICO</c:v>
                  </c:pt>
                </c:lvl>
                <c:lvl>
                  <c:pt idx="0">
                    <c:v>2017</c:v>
                  </c:pt>
                </c:lvl>
              </c:multiLvlStrCache>
            </c:multiLvlStrRef>
          </c:cat>
          <c:val>
            <c:numRef>
              <c:f>NPM!$B$2:$B$5</c:f>
              <c:numCache>
                <c:formatCode>General</c:formatCode>
                <c:ptCount val="2"/>
                <c:pt idx="0">
                  <c:v>9.7687343509949648E-2</c:v>
                </c:pt>
                <c:pt idx="1">
                  <c:v>0.13494733675916179</c:v>
                </c:pt>
              </c:numCache>
            </c:numRef>
          </c:val>
          <c:extLst>
            <c:ext xmlns:c16="http://schemas.microsoft.com/office/drawing/2014/chart" uri="{C3380CC4-5D6E-409C-BE32-E72D297353CC}">
              <c16:uniqueId val="{00000000-F135-4E5C-962B-D6E1FB65CB05}"/>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Dashboard.xlsx]Interest Coverage Ratio!PivotTable6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INTEREST COVERAGE RATIO</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3"/>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4"/>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5"/>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6"/>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7"/>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8"/>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19"/>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1"/>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
        <c:idx val="2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'Interest Coverage Ratio'!$B$1</c:f>
              <c:strCache>
                <c:ptCount val="1"/>
                <c:pt idx="0">
                  <c:v>Total</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1-DE1C-4AF2-BA44-F6AD8C312B61}"/>
              </c:ext>
            </c:extLst>
          </c:dPt>
          <c:dPt>
            <c:idx val="1"/>
            <c:bubble3D val="0"/>
            <c:spPr>
              <a:solidFill>
                <a:schemeClr val="accent2"/>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3-DE1C-4AF2-BA44-F6AD8C312B61}"/>
              </c:ext>
            </c:extLst>
          </c:dPt>
          <c:dPt>
            <c:idx val="2"/>
            <c:bubble3D val="0"/>
            <c:spPr>
              <a:solidFill>
                <a:schemeClr val="accent3"/>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5-62F9-4848-AC8E-4676D8159B0E}"/>
              </c:ext>
            </c:extLst>
          </c:dPt>
          <c:dPt>
            <c:idx val="3"/>
            <c:bubble3D val="0"/>
            <c:spPr>
              <a:solidFill>
                <a:schemeClr val="accent4"/>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7-62F9-4848-AC8E-4676D8159B0E}"/>
              </c:ext>
            </c:extLst>
          </c:dPt>
          <c:dPt>
            <c:idx val="4"/>
            <c:bubble3D val="0"/>
            <c:spPr>
              <a:solidFill>
                <a:schemeClr val="accent5"/>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9-62F9-4848-AC8E-4676D8159B0E}"/>
              </c:ext>
            </c:extLst>
          </c:dPt>
          <c:dPt>
            <c:idx val="5"/>
            <c:bubble3D val="0"/>
            <c:spPr>
              <a:solidFill>
                <a:schemeClr val="accent6"/>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B-62F9-4848-AC8E-4676D8159B0E}"/>
              </c:ext>
            </c:extLst>
          </c:dPt>
          <c:dPt>
            <c:idx val="6"/>
            <c:bubble3D val="0"/>
            <c:spPr>
              <a:solidFill>
                <a:schemeClr val="accent1">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D-62F9-4848-AC8E-4676D8159B0E}"/>
              </c:ext>
            </c:extLst>
          </c:dPt>
          <c:dPt>
            <c:idx val="7"/>
            <c:bubble3D val="0"/>
            <c:spPr>
              <a:solidFill>
                <a:schemeClr val="accent2">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0F-62F9-4848-AC8E-4676D8159B0E}"/>
              </c:ext>
            </c:extLst>
          </c:dPt>
          <c:dPt>
            <c:idx val="8"/>
            <c:bubble3D val="0"/>
            <c:spPr>
              <a:solidFill>
                <a:schemeClr val="accent3">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1-62F9-4848-AC8E-4676D8159B0E}"/>
              </c:ext>
            </c:extLst>
          </c:dPt>
          <c:dPt>
            <c:idx val="9"/>
            <c:bubble3D val="0"/>
            <c:spPr>
              <a:solidFill>
                <a:schemeClr val="accent4">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3-62F9-4848-AC8E-4676D8159B0E}"/>
              </c:ext>
            </c:extLst>
          </c:dPt>
          <c:dPt>
            <c:idx val="10"/>
            <c:bubble3D val="0"/>
            <c:spPr>
              <a:solidFill>
                <a:schemeClr val="accent5">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5-62F9-4848-AC8E-4676D8159B0E}"/>
              </c:ext>
            </c:extLst>
          </c:dPt>
          <c:dPt>
            <c:idx val="11"/>
            <c:bubble3D val="0"/>
            <c:spPr>
              <a:solidFill>
                <a:schemeClr val="accent6">
                  <a:lumMod val="6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7-62F9-4848-AC8E-4676D8159B0E}"/>
              </c:ext>
            </c:extLst>
          </c:dPt>
          <c:dPt>
            <c:idx val="12"/>
            <c:bubble3D val="0"/>
            <c:spPr>
              <a:solidFill>
                <a:schemeClr val="accent1">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9-62F9-4848-AC8E-4676D8159B0E}"/>
              </c:ext>
            </c:extLst>
          </c:dPt>
          <c:dPt>
            <c:idx val="13"/>
            <c:bubble3D val="0"/>
            <c:spPr>
              <a:solidFill>
                <a:schemeClr val="accent2">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B-62F9-4848-AC8E-4676D8159B0E}"/>
              </c:ext>
            </c:extLst>
          </c:dPt>
          <c:dPt>
            <c:idx val="14"/>
            <c:bubble3D val="0"/>
            <c:spPr>
              <a:solidFill>
                <a:schemeClr val="accent3">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D-62F9-4848-AC8E-4676D8159B0E}"/>
              </c:ext>
            </c:extLst>
          </c:dPt>
          <c:dPt>
            <c:idx val="15"/>
            <c:bubble3D val="0"/>
            <c:spPr>
              <a:solidFill>
                <a:schemeClr val="accent4">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1F-62F9-4848-AC8E-4676D8159B0E}"/>
              </c:ext>
            </c:extLst>
          </c:dPt>
          <c:dPt>
            <c:idx val="16"/>
            <c:bubble3D val="0"/>
            <c:spPr>
              <a:solidFill>
                <a:schemeClr val="accent5">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1-62F9-4848-AC8E-4676D8159B0E}"/>
              </c:ext>
            </c:extLst>
          </c:dPt>
          <c:dPt>
            <c:idx val="17"/>
            <c:bubble3D val="0"/>
            <c:spPr>
              <a:solidFill>
                <a:schemeClr val="accent6">
                  <a:lumMod val="80000"/>
                  <a:lumOff val="2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3-62F9-4848-AC8E-4676D8159B0E}"/>
              </c:ext>
            </c:extLst>
          </c:dPt>
          <c:dPt>
            <c:idx val="18"/>
            <c:bubble3D val="0"/>
            <c:spPr>
              <a:solidFill>
                <a:schemeClr val="accent1">
                  <a:lumMod val="8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5-62F9-4848-AC8E-4676D8159B0E}"/>
              </c:ext>
            </c:extLst>
          </c:dPt>
          <c:dPt>
            <c:idx val="19"/>
            <c:bubble3D val="0"/>
            <c:spPr>
              <a:solidFill>
                <a:schemeClr val="accent2">
                  <a:lumMod val="80000"/>
                </a:schemeClr>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extLst>
              <c:ext xmlns:c16="http://schemas.microsoft.com/office/drawing/2014/chart" uri="{C3380CC4-5D6E-409C-BE32-E72D297353CC}">
                <c16:uniqueId val="{00000027-62F9-4848-AC8E-4676D8159B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'Interest Coverage Ratio'!$A$2:$A$5</c:f>
              <c:multiLvlStrCache>
                <c:ptCount val="2"/>
                <c:lvl>
                  <c:pt idx="0">
                    <c:v>BRITANNIA LTD</c:v>
                  </c:pt>
                  <c:pt idx="1">
                    <c:v>MARICO</c:v>
                  </c:pt>
                </c:lvl>
                <c:lvl>
                  <c:pt idx="0">
                    <c:v>2017</c:v>
                  </c:pt>
                </c:lvl>
              </c:multiLvlStrCache>
            </c:multiLvlStrRef>
          </c:cat>
          <c:val>
            <c:numRef>
              <c:f>'Interest Coverage Ratio'!$B$2:$B$5</c:f>
              <c:numCache>
                <c:formatCode>General</c:formatCode>
                <c:ptCount val="2"/>
                <c:pt idx="0">
                  <c:v>234.52844036697252</c:v>
                </c:pt>
                <c:pt idx="1">
                  <c:v>69.919782870928813</c:v>
                </c:pt>
              </c:numCache>
            </c:numRef>
          </c:val>
          <c:extLst>
            <c:ext xmlns:c16="http://schemas.microsoft.com/office/drawing/2014/chart" uri="{C3380CC4-5D6E-409C-BE32-E72D297353CC}">
              <c16:uniqueId val="{00000000-8AA2-4E4B-A507-C2E0963A689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Dashboard.xlsx]Inventory Turnover!PivotTable7</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INVENTORY TURNOVER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'Inventory Turnover'!$B$1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'Inventory Turnover'!$A$2:$A$5</c:f>
              <c:multiLvlStrCache>
                <c:ptCount val="2"/>
                <c:lvl>
                  <c:pt idx="0">
                    <c:v>BRITANNIA LTD</c:v>
                  </c:pt>
                  <c:pt idx="1">
                    <c:v>MARICO</c:v>
                  </c:pt>
                </c:lvl>
                <c:lvl>
                  <c:pt idx="0">
                    <c:v>2017</c:v>
                  </c:pt>
                </c:lvl>
              </c:multiLvlStrCache>
            </c:multiLvlStrRef>
          </c:cat>
          <c:val>
            <c:numRef>
              <c:f>'Inventory Turnover'!$B$2:$B$5</c:f>
              <c:numCache>
                <c:formatCode>General</c:formatCode>
                <c:ptCount val="2"/>
                <c:pt idx="0">
                  <c:v>13.688245521203417</c:v>
                </c:pt>
                <c:pt idx="1">
                  <c:v>4.7212391498595858</c:v>
                </c:pt>
              </c:numCache>
            </c:numRef>
          </c:val>
          <c:extLst>
            <c:ext xmlns:c16="http://schemas.microsoft.com/office/drawing/2014/chart" uri="{C3380CC4-5D6E-409C-BE32-E72D297353CC}">
              <c16:uniqueId val="{00000000-3937-411E-AB1B-E82FB9D0F100}"/>
            </c:ext>
          </c:extLst>
        </c:ser>
        <c:dLbls>
          <c:showLegendKey val="0"/>
          <c:showVal val="0"/>
          <c:showCatName val="0"/>
          <c:showSerName val="0"/>
          <c:showPercent val="0"/>
          <c:showBubbleSize val="0"/>
        </c:dLbls>
        <c:gapWidth val="315"/>
        <c:overlap val="-40"/>
        <c:axId val="214173231"/>
        <c:axId val="202135983"/>
      </c:barChart>
      <c:catAx>
        <c:axId val="2141732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135983"/>
        <c:crosses val="autoZero"/>
        <c:auto val="1"/>
        <c:lblAlgn val="ctr"/>
        <c:lblOffset val="100"/>
        <c:noMultiLvlLbl val="0"/>
      </c:catAx>
      <c:valAx>
        <c:axId val="2021359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4173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Dashboard.xlsx]Return on Equity!PivotTable8</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RETURN ON EQUITY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'Return on Equity'!$B$1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'Return on Equity'!$A$2:$A$5</c:f>
              <c:multiLvlStrCache>
                <c:ptCount val="2"/>
                <c:lvl>
                  <c:pt idx="0">
                    <c:v>BRITANNIA LTD</c:v>
                  </c:pt>
                  <c:pt idx="1">
                    <c:v>MARICO</c:v>
                  </c:pt>
                </c:lvl>
                <c:lvl>
                  <c:pt idx="0">
                    <c:v>2017</c:v>
                  </c:pt>
                </c:lvl>
              </c:multiLvlStrCache>
            </c:multiLvlStrRef>
          </c:cat>
          <c:val>
            <c:numRef>
              <c:f>'Return on Equity'!$B$2:$B$5</c:f>
              <c:numCache>
                <c:formatCode>General</c:formatCode>
                <c:ptCount val="2"/>
                <c:pt idx="0">
                  <c:v>0.32801640693957174</c:v>
                </c:pt>
                <c:pt idx="1">
                  <c:v>0.34337914072443326</c:v>
                </c:pt>
              </c:numCache>
            </c:numRef>
          </c:val>
          <c:extLst>
            <c:ext xmlns:c16="http://schemas.microsoft.com/office/drawing/2014/chart" uri="{C3380CC4-5D6E-409C-BE32-E72D297353CC}">
              <c16:uniqueId val="{00000000-55A7-4FCA-AD95-9193F8F79C62}"/>
            </c:ext>
          </c:extLst>
        </c:ser>
        <c:dLbls>
          <c:showLegendKey val="0"/>
          <c:showVal val="0"/>
          <c:showCatName val="0"/>
          <c:showSerName val="0"/>
          <c:showPercent val="0"/>
          <c:showBubbleSize val="0"/>
        </c:dLbls>
        <c:gapWidth val="315"/>
        <c:overlap val="-40"/>
        <c:axId val="220375439"/>
        <c:axId val="204693007"/>
      </c:barChart>
      <c:catAx>
        <c:axId val="2203754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693007"/>
        <c:crosses val="autoZero"/>
        <c:auto val="1"/>
        <c:lblAlgn val="ctr"/>
        <c:lblOffset val="100"/>
        <c:noMultiLvlLbl val="0"/>
      </c:catAx>
      <c:valAx>
        <c:axId val="2046930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37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[Britannia Ltd Dashboard.xlsx]Invetory Conversion period!PivotTable9</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INVENTORY CONVERSION PERIOD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'Invetory Conversion period'!$B$1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'Invetory Conversion period'!$A$2:$A$5</c:f>
              <c:multiLvlStrCache>
                <c:ptCount val="2"/>
                <c:lvl>
                  <c:pt idx="0">
                    <c:v>BRITANNIA LTD</c:v>
                  </c:pt>
                  <c:pt idx="1">
                    <c:v>MARICO</c:v>
                  </c:pt>
                </c:lvl>
                <c:lvl>
                  <c:pt idx="0">
                    <c:v>2017</c:v>
                  </c:pt>
                </c:lvl>
              </c:multiLvlStrCache>
            </c:multiLvlStrRef>
          </c:cat>
          <c:val>
            <c:numRef>
              <c:f>'Invetory Conversion period'!$B$2:$B$5</c:f>
              <c:numCache>
                <c:formatCode>General</c:formatCode>
                <c:ptCount val="2"/>
                <c:pt idx="0">
                  <c:v>26.299937376368028</c:v>
                </c:pt>
                <c:pt idx="1">
                  <c:v>76.251168088086942</c:v>
                </c:pt>
              </c:numCache>
            </c:numRef>
          </c:val>
          <c:extLst>
            <c:ext xmlns:c16="http://schemas.microsoft.com/office/drawing/2014/chart" uri="{C3380CC4-5D6E-409C-BE32-E72D297353CC}">
              <c16:uniqueId val="{00000000-1450-4639-AF90-43BA544CC74A}"/>
            </c:ext>
          </c:extLst>
        </c:ser>
        <c:dLbls>
          <c:showLegendKey val="0"/>
          <c:showVal val="0"/>
          <c:showCatName val="0"/>
          <c:showSerName val="0"/>
          <c:showPercent val="0"/>
          <c:showBubbleSize val="0"/>
        </c:dLbls>
        <c:gapWidth val="315"/>
        <c:overlap val="-40"/>
        <c:axId val="220349039"/>
        <c:axId val="204854831"/>
      </c:barChart>
      <c:catAx>
        <c:axId val="2203490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4854831"/>
        <c:crosses val="autoZero"/>
        <c:auto val="1"/>
        <c:lblAlgn val="ctr"/>
        <c:lblOffset val="100"/>
        <c:noMultiLvlLbl val="0"/>
      </c:catAx>
      <c:valAx>
        <c:axId val="204854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034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xdr:col>
      <xdr:colOff>43295</xdr:colOff>
      <xdr:row>5</xdr:row>
      <xdr:rowOff>1</xdr:rowOff>
    </xdr:from>
    <xdr:to>
      <xdr:col>8</xdr:col>
      <xdr:colOff>468745</xdr:colOff>
      <xdr:row>19</xdr:row>
      <xdr:rowOff>165101</xdr:rowOff>
    </xdr:to>
    <xdr:graphicFrame macro="">
      <xdr:nvGraphicFramePr>
        <xdr:cNvPr id="2" name="Chart 1">
          <a:extLst>
            <a:ext uri="{FF2B5EF4-FFF2-40B4-BE49-F238E27FC236}">
              <a16:creationId xmlns:a16="http://schemas.microsoft.com/office/drawing/2014/main" id="{038A7785-3A3F-48FC-A5C4-D47A43A49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505114</xdr:colOff>
      <xdr:row>5</xdr:row>
      <xdr:rowOff>0</xdr:rowOff>
    </xdr:from>
    <xdr:to>
      <xdr:col>16</xdr:col>
      <xdr:colOff>232641</xdr:colOff>
      <xdr:row>19</xdr:row>
      <xdr:rowOff>165100</xdr:rowOff>
    </xdr:to>
    <xdr:graphicFrame macro="">
      <xdr:nvGraphicFramePr>
        <xdr:cNvPr id="3" name="Chart 2">
          <a:extLst>
            <a:ext uri="{FF2B5EF4-FFF2-40B4-BE49-F238E27FC236}">
              <a16:creationId xmlns:a16="http://schemas.microsoft.com/office/drawing/2014/main" id="{F466DBB6-C7DB-496C-AFE4-F3F97DE50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317500</xdr:colOff>
      <xdr:row>4</xdr:row>
      <xdr:rowOff>173182</xdr:rowOff>
    </xdr:from>
    <xdr:to>
      <xdr:col>24</xdr:col>
      <xdr:colOff>16163</xdr:colOff>
      <xdr:row>19</xdr:row>
      <xdr:rowOff>150668</xdr:rowOff>
    </xdr:to>
    <xdr:graphicFrame macro="">
      <xdr:nvGraphicFramePr>
        <xdr:cNvPr id="4" name="Chart 3">
          <a:extLst>
            <a:ext uri="{FF2B5EF4-FFF2-40B4-BE49-F238E27FC236}">
              <a16:creationId xmlns:a16="http://schemas.microsoft.com/office/drawing/2014/main" id="{71AA7126-12AA-4819-9661-8958D5AE2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57407</xdr:colOff>
      <xdr:row>4</xdr:row>
      <xdr:rowOff>172220</xdr:rowOff>
    </xdr:from>
    <xdr:to>
      <xdr:col>31</xdr:col>
      <xdr:colOff>362206</xdr:colOff>
      <xdr:row>19</xdr:row>
      <xdr:rowOff>153875</xdr:rowOff>
    </xdr:to>
    <xdr:graphicFrame macro="">
      <xdr:nvGraphicFramePr>
        <xdr:cNvPr id="5" name="Chart 4">
          <a:extLst>
            <a:ext uri="{FF2B5EF4-FFF2-40B4-BE49-F238E27FC236}">
              <a16:creationId xmlns:a16="http://schemas.microsoft.com/office/drawing/2014/main" id="{1E42C46D-6B26-495C-A4DA-789151C57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433640</xdr:colOff>
      <xdr:row>4</xdr:row>
      <xdr:rowOff>163834</xdr:rowOff>
    </xdr:from>
    <xdr:to>
      <xdr:col>39</xdr:col>
      <xdr:colOff>152060</xdr:colOff>
      <xdr:row>19</xdr:row>
      <xdr:rowOff>155367</xdr:rowOff>
    </xdr:to>
    <xdr:graphicFrame macro="">
      <xdr:nvGraphicFramePr>
        <xdr:cNvPr id="6" name="Chart 5">
          <a:extLst>
            <a:ext uri="{FF2B5EF4-FFF2-40B4-BE49-F238E27FC236}">
              <a16:creationId xmlns:a16="http://schemas.microsoft.com/office/drawing/2014/main" id="{2F03268D-FD94-42B0-A6AF-E1D380E50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93005</xdr:colOff>
      <xdr:row>20</xdr:row>
      <xdr:rowOff>93830</xdr:rowOff>
    </xdr:from>
    <xdr:to>
      <xdr:col>8</xdr:col>
      <xdr:colOff>415545</xdr:colOff>
      <xdr:row>35</xdr:row>
      <xdr:rowOff>85362</xdr:rowOff>
    </xdr:to>
    <xdr:graphicFrame macro="">
      <xdr:nvGraphicFramePr>
        <xdr:cNvPr id="7" name="Chart 6">
          <a:extLst>
            <a:ext uri="{FF2B5EF4-FFF2-40B4-BE49-F238E27FC236}">
              <a16:creationId xmlns:a16="http://schemas.microsoft.com/office/drawing/2014/main" id="{3D7F39A5-ECBB-4E77-9BB6-78ECC6DC2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478540</xdr:colOff>
      <xdr:row>20</xdr:row>
      <xdr:rowOff>73214</xdr:rowOff>
    </xdr:from>
    <xdr:to>
      <xdr:col>16</xdr:col>
      <xdr:colOff>196318</xdr:colOff>
      <xdr:row>35</xdr:row>
      <xdr:rowOff>64746</xdr:rowOff>
    </xdr:to>
    <xdr:graphicFrame macro="">
      <xdr:nvGraphicFramePr>
        <xdr:cNvPr id="8" name="Chart 7">
          <a:extLst>
            <a:ext uri="{FF2B5EF4-FFF2-40B4-BE49-F238E27FC236}">
              <a16:creationId xmlns:a16="http://schemas.microsoft.com/office/drawing/2014/main" id="{AEB3F616-FDE5-47B9-A3DC-A63F86BCE5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291615</xdr:colOff>
      <xdr:row>20</xdr:row>
      <xdr:rowOff>84943</xdr:rowOff>
    </xdr:from>
    <xdr:to>
      <xdr:col>24</xdr:col>
      <xdr:colOff>9392</xdr:colOff>
      <xdr:row>35</xdr:row>
      <xdr:rowOff>76474</xdr:rowOff>
    </xdr:to>
    <xdr:graphicFrame macro="">
      <xdr:nvGraphicFramePr>
        <xdr:cNvPr id="9" name="Chart 8">
          <a:extLst>
            <a:ext uri="{FF2B5EF4-FFF2-40B4-BE49-F238E27FC236}">
              <a16:creationId xmlns:a16="http://schemas.microsoft.com/office/drawing/2014/main" id="{C7195506-0D7F-4F05-AD24-67F333CA7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72160</xdr:colOff>
      <xdr:row>20</xdr:row>
      <xdr:rowOff>65838</xdr:rowOff>
    </xdr:from>
    <xdr:to>
      <xdr:col>31</xdr:col>
      <xdr:colOff>396716</xdr:colOff>
      <xdr:row>35</xdr:row>
      <xdr:rowOff>57371</xdr:rowOff>
    </xdr:to>
    <xdr:graphicFrame macro="">
      <xdr:nvGraphicFramePr>
        <xdr:cNvPr id="10" name="Chart 9">
          <a:extLst>
            <a:ext uri="{FF2B5EF4-FFF2-40B4-BE49-F238E27FC236}">
              <a16:creationId xmlns:a16="http://schemas.microsoft.com/office/drawing/2014/main" id="{F6CE5423-2C26-4E07-AD16-2F74B338A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436894</xdr:colOff>
      <xdr:row>20</xdr:row>
      <xdr:rowOff>80635</xdr:rowOff>
    </xdr:from>
    <xdr:to>
      <xdr:col>39</xdr:col>
      <xdr:colOff>154672</xdr:colOff>
      <xdr:row>35</xdr:row>
      <xdr:rowOff>72168</xdr:rowOff>
    </xdr:to>
    <xdr:graphicFrame macro="">
      <xdr:nvGraphicFramePr>
        <xdr:cNvPr id="11" name="Chart 10">
          <a:extLst>
            <a:ext uri="{FF2B5EF4-FFF2-40B4-BE49-F238E27FC236}">
              <a16:creationId xmlns:a16="http://schemas.microsoft.com/office/drawing/2014/main" id="{6B9F1C29-D4F7-4906-8ACE-91E581186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54062</xdr:colOff>
      <xdr:row>36</xdr:row>
      <xdr:rowOff>7102</xdr:rowOff>
    </xdr:from>
    <xdr:to>
      <xdr:col>8</xdr:col>
      <xdr:colOff>376602</xdr:colOff>
      <xdr:row>50</xdr:row>
      <xdr:rowOff>186249</xdr:rowOff>
    </xdr:to>
    <xdr:graphicFrame macro="">
      <xdr:nvGraphicFramePr>
        <xdr:cNvPr id="12" name="Chart 11">
          <a:extLst>
            <a:ext uri="{FF2B5EF4-FFF2-40B4-BE49-F238E27FC236}">
              <a16:creationId xmlns:a16="http://schemas.microsoft.com/office/drawing/2014/main" id="{DC5271D6-7CBD-47D7-AC4F-04E53842CA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488638</xdr:colOff>
      <xdr:row>36</xdr:row>
      <xdr:rowOff>20892</xdr:rowOff>
    </xdr:from>
    <xdr:to>
      <xdr:col>16</xdr:col>
      <xdr:colOff>212766</xdr:colOff>
      <xdr:row>51</xdr:row>
      <xdr:rowOff>12425</xdr:rowOff>
    </xdr:to>
    <xdr:graphicFrame macro="">
      <xdr:nvGraphicFramePr>
        <xdr:cNvPr id="13" name="Chart 12">
          <a:extLst>
            <a:ext uri="{FF2B5EF4-FFF2-40B4-BE49-F238E27FC236}">
              <a16:creationId xmlns:a16="http://schemas.microsoft.com/office/drawing/2014/main" id="{728BA2B2-6ABD-4503-9D8F-B15D5595E7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298945</xdr:colOff>
      <xdr:row>36</xdr:row>
      <xdr:rowOff>16494</xdr:rowOff>
    </xdr:from>
    <xdr:to>
      <xdr:col>24</xdr:col>
      <xdr:colOff>18738</xdr:colOff>
      <xdr:row>51</xdr:row>
      <xdr:rowOff>10043</xdr:rowOff>
    </xdr:to>
    <xdr:graphicFrame macro="">
      <xdr:nvGraphicFramePr>
        <xdr:cNvPr id="14" name="Chart 13">
          <a:extLst>
            <a:ext uri="{FF2B5EF4-FFF2-40B4-BE49-F238E27FC236}">
              <a16:creationId xmlns:a16="http://schemas.microsoft.com/office/drawing/2014/main" id="{7F32464B-7D2A-41F2-8B78-1BDF12149F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39</xdr:col>
      <xdr:colOff>256611</xdr:colOff>
      <xdr:row>21</xdr:row>
      <xdr:rowOff>64190</xdr:rowOff>
    </xdr:from>
    <xdr:to>
      <xdr:col>42</xdr:col>
      <xdr:colOff>265076</xdr:colOff>
      <xdr:row>37</xdr:row>
      <xdr:rowOff>144321</xdr:rowOff>
    </xdr:to>
    <mc:AlternateContent xmlns:mc="http://schemas.openxmlformats.org/markup-compatibility/2006" xmlns:a14="http://schemas.microsoft.com/office/drawing/2010/main">
      <mc:Choice Requires="a14">
        <xdr:graphicFrame macro="">
          <xdr:nvGraphicFramePr>
            <xdr:cNvPr id="17" name="Years 1">
              <a:extLst>
                <a:ext uri="{FF2B5EF4-FFF2-40B4-BE49-F238E27FC236}">
                  <a16:creationId xmlns:a16="http://schemas.microsoft.com/office/drawing/2014/main" id="{0B567A11-F1B3-446C-B475-3F6A40B7BDE3}"/>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23867066" y="4249417"/>
              <a:ext cx="1826874" cy="3081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39</xdr:col>
      <xdr:colOff>268981</xdr:colOff>
      <xdr:row>5</xdr:row>
      <xdr:rowOff>-1</xdr:rowOff>
    </xdr:from>
    <xdr:to>
      <xdr:col>42</xdr:col>
      <xdr:colOff>277446</xdr:colOff>
      <xdr:row>20</xdr:row>
      <xdr:rowOff>173180</xdr:rowOff>
    </xdr:to>
    <mc:AlternateContent xmlns:mc="http://schemas.openxmlformats.org/markup-compatibility/2006" xmlns:a14="http://schemas.microsoft.com/office/drawing/2010/main">
      <mc:Choice Requires="a14">
        <xdr:graphicFrame macro="">
          <xdr:nvGraphicFramePr>
            <xdr:cNvPr id="18" name="Company 1">
              <a:extLst>
                <a:ext uri="{FF2B5EF4-FFF2-40B4-BE49-F238E27FC236}">
                  <a16:creationId xmlns:a16="http://schemas.microsoft.com/office/drawing/2014/main" id="{EAC9F259-20CD-46FE-A2C7-48FD4CE261B2}"/>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23879436" y="1183408"/>
              <a:ext cx="1826874" cy="29873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89102</xdr:colOff>
      <xdr:row>36</xdr:row>
      <xdr:rowOff>21126</xdr:rowOff>
    </xdr:from>
    <xdr:to>
      <xdr:col>31</xdr:col>
      <xdr:colOff>408107</xdr:colOff>
      <xdr:row>51</xdr:row>
      <xdr:rowOff>3456</xdr:rowOff>
    </xdr:to>
    <xdr:graphicFrame macro="">
      <xdr:nvGraphicFramePr>
        <xdr:cNvPr id="19" name="Chart 18">
          <a:extLst>
            <a:ext uri="{FF2B5EF4-FFF2-40B4-BE49-F238E27FC236}">
              <a16:creationId xmlns:a16="http://schemas.microsoft.com/office/drawing/2014/main" id="{85290B59-FB4F-4949-809A-6BDBCF8789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31</xdr:col>
      <xdr:colOff>456380</xdr:colOff>
      <xdr:row>36</xdr:row>
      <xdr:rowOff>6694</xdr:rowOff>
    </xdr:from>
    <xdr:to>
      <xdr:col>39</xdr:col>
      <xdr:colOff>169250</xdr:colOff>
      <xdr:row>50</xdr:row>
      <xdr:rowOff>176638</xdr:rowOff>
    </xdr:to>
    <xdr:graphicFrame macro="">
      <xdr:nvGraphicFramePr>
        <xdr:cNvPr id="20" name="Chart 19">
          <a:extLst>
            <a:ext uri="{FF2B5EF4-FFF2-40B4-BE49-F238E27FC236}">
              <a16:creationId xmlns:a16="http://schemas.microsoft.com/office/drawing/2014/main" id="{0D6958C7-9509-4C8C-A5D1-C8ED42A2F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9EDAC3B5-2E18-4E43-A05B-6D4877A399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0797B267-2F97-4311-8B79-D9C5F5F64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2CBDFAA4-F6A1-40C1-B316-E5F00619A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C2716E9A-B5AF-4183-85F7-553D22E1D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12700</xdr:colOff>
      <xdr:row>1</xdr:row>
      <xdr:rowOff>0</xdr:rowOff>
    </xdr:from>
    <xdr:to>
      <xdr:col>11</xdr:col>
      <xdr:colOff>317500</xdr:colOff>
      <xdr:row>15</xdr:row>
      <xdr:rowOff>165100</xdr:rowOff>
    </xdr:to>
    <xdr:graphicFrame macro="">
      <xdr:nvGraphicFramePr>
        <xdr:cNvPr id="2" name="Chart 1">
          <a:extLst>
            <a:ext uri="{FF2B5EF4-FFF2-40B4-BE49-F238E27FC236}">
              <a16:creationId xmlns:a16="http://schemas.microsoft.com/office/drawing/2014/main" id="{49F7D43F-B653-4C00-8641-6B4D20F17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F0D449E4-7C13-4C68-9CE6-5DA4E481E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059DDED2-F643-4E52-A424-D179897FF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1</xdr:row>
      <xdr:rowOff>177800</xdr:rowOff>
    </xdr:from>
    <xdr:to>
      <xdr:col>8</xdr:col>
      <xdr:colOff>488950</xdr:colOff>
      <xdr:row>16</xdr:row>
      <xdr:rowOff>158750</xdr:rowOff>
    </xdr:to>
    <xdr:graphicFrame macro="">
      <xdr:nvGraphicFramePr>
        <xdr:cNvPr id="2" name="Chart 1">
          <a:extLst>
            <a:ext uri="{FF2B5EF4-FFF2-40B4-BE49-F238E27FC236}">
              <a16:creationId xmlns:a16="http://schemas.microsoft.com/office/drawing/2014/main" id="{AED6B077-7A15-4A98-868A-DE9E18090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25400</xdr:colOff>
      <xdr:row>2</xdr:row>
      <xdr:rowOff>19050</xdr:rowOff>
    </xdr:from>
    <xdr:to>
      <xdr:col>11</xdr:col>
      <xdr:colOff>203200</xdr:colOff>
      <xdr:row>15</xdr:row>
      <xdr:rowOff>149225</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05C9163D-78F0-4130-AC9D-6F836E994BA8}"/>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134350" y="387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1136650</xdr:colOff>
      <xdr:row>8</xdr:row>
      <xdr:rowOff>57150</xdr:rowOff>
    </xdr:from>
    <xdr:to>
      <xdr:col>2</xdr:col>
      <xdr:colOff>711200</xdr:colOff>
      <xdr:row>22</xdr:row>
      <xdr:rowOff>3175</xdr:rowOff>
    </xdr:to>
    <mc:AlternateContent xmlns:mc="http://schemas.openxmlformats.org/markup-compatibility/2006" xmlns:a14="http://schemas.microsoft.com/office/drawing/2010/main">
      <mc:Choice Requires="a14">
        <xdr:graphicFrame macro="">
          <xdr:nvGraphicFramePr>
            <xdr:cNvPr id="4" name="Company">
              <a:extLst>
                <a:ext uri="{FF2B5EF4-FFF2-40B4-BE49-F238E27FC236}">
                  <a16:creationId xmlns:a16="http://schemas.microsoft.com/office/drawing/2014/main" id="{39853A10-C7D2-444D-B487-7FF009952634}"/>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136650" y="1530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EB9A10A9-6C05-47AB-953A-4A32AB8914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0C5C80B6-A7C9-457E-9D69-827496D96E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B5AD12BE-1823-454F-AD57-83C43B126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FCD87851-2CA7-4267-B671-7F5BAD764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1</xdr:row>
      <xdr:rowOff>19050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E5E30765-78BD-4CDC-9BD6-482BA1E71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E59D888D-CAE1-450A-AC04-5407D32F4D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165100</xdr:rowOff>
    </xdr:to>
    <xdr:graphicFrame macro="">
      <xdr:nvGraphicFramePr>
        <xdr:cNvPr id="2" name="Chart 1">
          <a:extLst>
            <a:ext uri="{FF2B5EF4-FFF2-40B4-BE49-F238E27FC236}">
              <a16:creationId xmlns:a16="http://schemas.microsoft.com/office/drawing/2014/main" id="{DD83869C-A1F3-4AD6-9C32-BED97644FB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ritannia%20Financial%20Statements_Health%20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 Analysis"/>
      <sheetName val="BS And Ratio Analysis"/>
      <sheetName val="CSF"/>
    </sheetNames>
    <sheetDataSet>
      <sheetData sheetId="0">
        <row r="44">
          <cell r="C44">
            <v>300.14999999999998</v>
          </cell>
          <cell r="D44">
            <v>422.27</v>
          </cell>
          <cell r="E44">
            <v>2839.66</v>
          </cell>
          <cell r="F44">
            <v>1794.47</v>
          </cell>
          <cell r="G44">
            <v>1360.91</v>
          </cell>
        </row>
        <row r="51">
          <cell r="C51">
            <v>43525</v>
          </cell>
          <cell r="D51">
            <v>43891</v>
          </cell>
          <cell r="E51">
            <v>44256</v>
          </cell>
          <cell r="F51">
            <v>44621</v>
          </cell>
          <cell r="G51">
            <v>44986</v>
          </cell>
        </row>
        <row r="52">
          <cell r="C52">
            <v>10389.49</v>
          </cell>
          <cell r="D52">
            <v>10820.57</v>
          </cell>
          <cell r="E52">
            <v>12113.65</v>
          </cell>
          <cell r="F52">
            <v>13169.04</v>
          </cell>
          <cell r="G52">
            <v>15285.12</v>
          </cell>
        </row>
        <row r="61">
          <cell r="C61">
            <v>135</v>
          </cell>
          <cell r="D61">
            <v>151.69</v>
          </cell>
          <cell r="E61">
            <v>166.77</v>
          </cell>
          <cell r="F61">
            <v>170.01</v>
          </cell>
          <cell r="G61">
            <v>195.1</v>
          </cell>
        </row>
        <row r="62">
          <cell r="C62">
            <v>1717.650000000001</v>
          </cell>
          <cell r="D62">
            <v>1954.4300000000003</v>
          </cell>
          <cell r="E62">
            <v>2477.2500000000014</v>
          </cell>
          <cell r="F62">
            <v>2278.579999999999</v>
          </cell>
          <cell r="G62">
            <v>2767.2799999999993</v>
          </cell>
        </row>
        <row r="63">
          <cell r="C63">
            <v>1.54</v>
          </cell>
          <cell r="D63">
            <v>65.17</v>
          </cell>
          <cell r="E63">
            <v>97.81</v>
          </cell>
          <cell r="F63">
            <v>133.46</v>
          </cell>
          <cell r="G63">
            <v>154.94999999999999</v>
          </cell>
        </row>
        <row r="66">
          <cell r="C66">
            <v>1122.2000000000012</v>
          </cell>
          <cell r="D66">
            <v>1465.3000000000002</v>
          </cell>
          <cell r="E66">
            <v>1760.0300000000016</v>
          </cell>
          <cell r="F66">
            <v>1603.1899999999991</v>
          </cell>
          <cell r="G66">
            <v>1911.5599999999995</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rav Singh Rawat" refreshedDate="45228.893314120367" createdVersion="6" refreshedVersion="6" minRefreshableVersion="3" recordCount="20" xr:uid="{294DDAFE-8E77-4548-B097-0F3DD12C6A8C}">
  <cacheSource type="worksheet">
    <worksheetSource ref="B3:R23" sheet="Data"/>
  </cacheSource>
  <cacheFields count="17">
    <cacheField name="Years" numFmtId="0">
      <sharedItems containsSemiMixedTypes="0" containsString="0" containsNumber="1" containsInteger="1" minValue="2014" maxValue="2023" count="10">
        <n v="2014"/>
        <n v="2015"/>
        <n v="2016"/>
        <n v="2017"/>
        <n v="2018"/>
        <n v="2019"/>
        <n v="2020"/>
        <n v="2021"/>
        <n v="2022"/>
        <n v="2023"/>
      </sharedItems>
    </cacheField>
    <cacheField name="Company" numFmtId="0">
      <sharedItems count="2">
        <s v="BRITANNIA LTD"/>
        <s v="MARICO"/>
      </sharedItems>
    </cacheField>
    <cacheField name="SALES GR" numFmtId="0">
      <sharedItems containsString="0" containsBlank="1" containsNumber="1" minValue="-1.6540586174575989E-2" maxValue="0.22329148280600508"/>
    </cacheField>
    <cacheField name="Operating Profit GR" numFmtId="0">
      <sharedItems containsString="0" containsBlank="1" containsNumber="1" minValue="-0.12273591334600598" maxValue="0.40588519165364678"/>
    </cacheField>
    <cacheField name="Dividend Payout" numFmtId="10">
      <sharedItems containsSemiMixedTypes="0" containsString="0" containsNumber="1" minValue="0.27869423791821563" maxValue="2.0356134985782499"/>
    </cacheField>
    <cacheField name="OPM" numFmtId="10">
      <sharedItems containsSemiMixedTypes="0" containsString="0" containsNumber="1" minValue="9.0731420817595387E-2" maxValue="0.20082023239917976"/>
    </cacheField>
    <cacheField name="NPM" numFmtId="10">
      <sharedItems containsSemiMixedTypes="0" containsString="0" containsNumber="1" minValue="5.7191752583284995E-2" maxValue="0.15189528224706844"/>
    </cacheField>
    <cacheField name="Interest Coverage Ratio" numFmtId="2">
      <sharedItems containsSemiMixedTypes="0" containsString="0" containsNumber="1" minValue="15.25615080740177" maxValue="251.2464065708422"/>
    </cacheField>
    <cacheField name="Inventory Turnover" numFmtId="43">
      <sharedItems containsSemiMixedTypes="0" containsString="0" containsNumber="1" minValue="4.1839841164791531" maxValue="19.449608949608947"/>
    </cacheField>
    <cacheField name="Return on Equity" numFmtId="9">
      <sharedItems containsSemiMixedTypes="0" containsString="0" containsNumber="1" minValue="0.27252571562922467" maxValue="0.65693056840592257"/>
    </cacheField>
    <cacheField name="Invetory Coversion period" numFmtId="2">
      <sharedItems containsSemiMixedTypes="0" containsString="0" containsNumber="1" minValue="18.509369567928413" maxValue="86.042391648212586"/>
    </cacheField>
    <cacheField name="Debtor Coversion Period" numFmtId="2">
      <sharedItems containsSemiMixedTypes="0" containsString="0" containsNumber="1" minValue="5.660876848587602" maxValue="37.423187218353135"/>
    </cacheField>
    <cacheField name="Reserves as total Capital %" numFmtId="0">
      <sharedItems containsSemiMixedTypes="0" containsString="0" containsNumber="1" minValue="0.43715408354272423" maxValue="251.2464065708422"/>
    </cacheField>
    <cacheField name="YOY_CFO" numFmtId="0">
      <sharedItems containsString="0" containsBlank="1" containsNumber="1" minValue="-0.53996434640284396" maxValue="1.8298812545322698"/>
    </cacheField>
    <cacheField name="YOY_CFI" numFmtId="0">
      <sharedItems containsString="0" containsBlank="1" containsNumber="1" minValue="-7.2203389830508478" maxValue="41.409090909090907"/>
    </cacheField>
    <cacheField name="CFO_MARGIN" numFmtId="9">
      <sharedItems containsSemiMixedTypes="0" containsString="0" containsNumber="1" minValue="4.873819456179472E-2" maxValue="0.24937872763419483"/>
    </cacheField>
    <cacheField name="CFO/INTRESET" numFmtId="2">
      <sharedItems containsSemiMixedTypes="0" containsString="0" containsNumber="1" minValue="9.0063067433640587" maxValue="196.96714579055441"/>
    </cacheField>
  </cacheFields>
  <extLst>
    <ext xmlns:x14="http://schemas.microsoft.com/office/spreadsheetml/2009/9/main" uri="{725AE2AE-9491-48be-B2B4-4EB974FC3084}">
      <x14:pivotCacheDefinition pivotCacheId="13098457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m/>
    <m/>
    <n v="0.36408245858100413"/>
    <n v="9.0731420817595387E-2"/>
    <n v="5.7191752583284995E-2"/>
    <n v="75.657418576598303"/>
    <n v="16.448259452256885"/>
    <n v="0.49535778276177472"/>
    <n v="21.886814288462844"/>
    <n v="5.660876848587602"/>
    <n v="75.657418576598303"/>
    <m/>
    <m/>
    <n v="9.7137012835776415E-2"/>
    <n v="80.998793727382406"/>
  </r>
  <r>
    <x v="1"/>
    <x v="0"/>
    <n v="0.13680741706219424"/>
    <n v="0.38762755102040813"/>
    <n v="0.27869423791821563"/>
    <n v="0.11074999809121931"/>
    <n v="8.7630846913247185E-2"/>
    <n v="225.47150259067351"/>
    <n v="19.449608949608947"/>
    <n v="0.5530756318718828"/>
    <n v="18.509369567928413"/>
    <n v="6.2215559870813735"/>
    <n v="225.47150259067351"/>
    <n v="-0.12959432894501699"/>
    <n v="0.83317049340498306"/>
    <n v="7.4373729070220232E-2"/>
    <n v="151.41450777202073"/>
  </r>
  <r>
    <x v="2"/>
    <x v="0"/>
    <n v="6.8564673305829826E-2"/>
    <n v="0.40588519165364678"/>
    <n v="0.29105726551699046"/>
    <n v="0.14571114522288917"/>
    <n v="9.8196667234314181E-2"/>
    <n v="251.2464065708422"/>
    <n v="19.056462044706684"/>
    <n v="0.39421900099441604"/>
    <n v="18.891229607858783"/>
    <n v="7.314269110170855"/>
    <n v="251.2464065708422"/>
    <n v="0.64122437805837862"/>
    <n v="0.56606706640017768"/>
    <n v="0.1142317168875927"/>
    <n v="196.96714579055441"/>
  </r>
  <r>
    <x v="3"/>
    <x v="0"/>
    <n v="7.8223414149666048E-2"/>
    <n v="4.4631692506353238E-2"/>
    <n v="0.29848383777855664"/>
    <n v="0.14117155893082578"/>
    <n v="9.7687343509949648E-2"/>
    <n v="234.52844036697252"/>
    <n v="13.688245521203417"/>
    <n v="0.32801640693957174"/>
    <n v="26.299937376368028"/>
    <n v="7.1235872406834924"/>
    <n v="234.52844036697252"/>
    <n v="-0.53996434640284396"/>
    <n v="-0.78750709018718101"/>
    <n v="4.873819456179472E-2"/>
    <n v="80.96880733944954"/>
  </r>
  <r>
    <x v="4"/>
    <x v="0"/>
    <n v="9.4973652791169538E-2"/>
    <n v="0.17469370511195526"/>
    <n v="0.2988558397976559"/>
    <n v="0.15144961816584437"/>
    <n v="0.10129423168673764"/>
    <n v="197.8221343873517"/>
    <n v="15.18710458187166"/>
    <n v="0.29482154757605916"/>
    <n v="23.704320863749103"/>
    <n v="11.060733367695551"/>
    <n v="197.8221343873517"/>
    <n v="1.8298812545322698"/>
    <n v="5.3831831831831831"/>
    <n v="0.12596038527373943"/>
    <n v="164.52832674571806"/>
  </r>
  <r>
    <x v="5"/>
    <x v="0"/>
    <n v="0.11505761050797925"/>
    <n v="0.15383590747733988"/>
    <n v="0.31096866588446409"/>
    <n v="0.15671657317676607"/>
    <n v="0.1048534239375757"/>
    <n v="190.58855885588568"/>
    <n v="14.147623435460339"/>
    <n v="0.27252571562922467"/>
    <n v="25.445969893266827"/>
    <n v="12.838592196781994"/>
    <n v="190.58855885588568"/>
    <n v="-7.4465273829448231E-2"/>
    <n v="-0.10904110734746786"/>
    <n v="0.10455128918366627"/>
    <n v="127.14851485148515"/>
  </r>
  <r>
    <x v="6"/>
    <x v="0"/>
    <n v="4.9289576260530543E-2"/>
    <n v="6.3915264509798009E-2"/>
    <n v="0.60012262677969241"/>
    <n v="0.15890099184882175"/>
    <n v="0.12092107021393073"/>
    <n v="23.968530559167753"/>
    <n v="15.654758691427336"/>
    <n v="0.31857464403576791"/>
    <n v="22.996202438887721"/>
    <n v="9.942592600575022"/>
    <n v="23.968530559167753"/>
    <n v="0.28443994531831307"/>
    <n v="0.79053530778437486"/>
    <n v="0.12798168894482975"/>
    <n v="19.304681404421324"/>
  </r>
  <r>
    <x v="7"/>
    <x v="0"/>
    <n v="0.13246979408683957"/>
    <n v="0.36139172517062934"/>
    <n v="2.0356134985782499"/>
    <n v="0.19102186791553691"/>
    <n v="0.14189099689863233"/>
    <n v="22.626600541027958"/>
    <n v="12.035053000943664"/>
    <n v="0.52538856598433892"/>
    <n v="29.91262273392336"/>
    <n v="7.0505643210258109"/>
    <n v="22.626600541027958"/>
    <n v="0.26337628744451114"/>
    <n v="-1.2838727857765428"/>
    <n v="0.14277557943200972"/>
    <n v="16.911812443642919"/>
  </r>
  <r>
    <x v="8"/>
    <x v="0"/>
    <n v="7.613499856122119E-2"/>
    <n v="-0.12273591334600598"/>
    <n v="0.89261683346231024"/>
    <n v="0.15572082007546559"/>
    <n v="0.10786587117101694"/>
    <n v="15.25615080740177"/>
    <n v="10.33737723859041"/>
    <n v="0.59607521207145919"/>
    <n v="34.825081032748407"/>
    <n v="8.4530703311908528"/>
    <n v="15.25615080740177"/>
    <n v="-0.3071148268213616"/>
    <n v="1.1104647136228269"/>
    <n v="9.1928133749662216E-2"/>
    <n v="9.0063067433640587"/>
  </r>
  <r>
    <x v="9"/>
    <x v="0"/>
    <n v="0.15310202274151719"/>
    <n v="0.28601151132734515"/>
    <n v="0.74705074146017914"/>
    <n v="0.17366960010551791"/>
    <n v="0.14243507120925369"/>
    <n v="16.741040804257835"/>
    <n v="13.660518244137908"/>
    <n v="0.65693056840592257"/>
    <n v="26.353319366524442"/>
    <n v="7.2646873878488769"/>
    <n v="16.741040804257835"/>
    <n v="0.94395622999261275"/>
    <n v="-2.648453822509544"/>
    <n v="0.15497697930437931"/>
    <n v="14.939148432879954"/>
  </r>
  <r>
    <x v="0"/>
    <x v="1"/>
    <m/>
    <m/>
    <n v="0.4650377024187235"/>
    <n v="0.15954055461195107"/>
    <n v="0.10356938623968316"/>
    <n v="21.703628447024698"/>
    <n v="5.885813322616297"/>
    <n v="0.35673180805950183"/>
    <n v="61.164019357647035"/>
    <n v="17.144576359430879"/>
    <n v="0.43715408354272423"/>
    <m/>
    <m/>
    <n v="0.14092973037563053"/>
    <n v="19.171843251088532"/>
  </r>
  <r>
    <x v="1"/>
    <x v="1"/>
    <n v="0.22329148280600508"/>
    <n v="0.16365071085610094"/>
    <n v="0.28119278053884383"/>
    <n v="0.15176225976717159"/>
    <n v="0.10002651326186383"/>
    <n v="37.910675381263587"/>
    <n v="5.7634687496858374"/>
    <n v="0.31425706112517676"/>
    <n v="62.46238430973073"/>
    <n v="11.098939818384157"/>
    <n v="0.56323913377361379"/>
    <n v="6.6165003709479642E-3"/>
    <n v="-7.8237187422629306E-2"/>
    <n v="0.11596761195748112"/>
    <n v="28.969063180827888"/>
  </r>
  <r>
    <x v="2"/>
    <x v="1"/>
    <n v="4.9597242620766258E-2"/>
    <n v="0.20841330957990922"/>
    <n v="0.77070332265137464"/>
    <n v="0.17472562536145647"/>
    <n v="0.11823868433123053"/>
    <n v="50.988360814742926"/>
    <n v="6.5012749038419981"/>
    <n v="0.35267700025280441"/>
    <n v="55.373754428881959"/>
    <n v="15.081863686824034"/>
    <n v="0.56228839929369656"/>
    <n v="0.22979965104386002"/>
    <n v="8.7993553585817841E-2"/>
    <n v="0.13587776618162239"/>
    <n v="39.651794374393788"/>
  </r>
  <r>
    <x v="3"/>
    <x v="1"/>
    <n v="-1.6540586174575989E-2"/>
    <n v="0.1026175122220323"/>
    <n v="0.56559686447363478"/>
    <n v="0.19589576514205465"/>
    <n v="0.13494733675916179"/>
    <n v="69.919782870928813"/>
    <n v="4.7212391498595858"/>
    <n v="0.34337914072443326"/>
    <n v="76.251168088086942"/>
    <n v="15.025271258358273"/>
    <n v="0.60626626665305072"/>
    <n v="-0.20656295100413391"/>
    <n v="-0.3813755986767392"/>
    <n v="0.10962369398035415"/>
    <n v="39.127261761158024"/>
  </r>
  <r>
    <x v="4"/>
    <x v="1"/>
    <n v="6.8304214918069039E-2"/>
    <n v="-1.9210365143581321E-2"/>
    <n v="0.67352579852579852"/>
    <n v="0.1798481493198355"/>
    <n v="0.12875672255615311"/>
    <n v="71.0625"/>
    <n v="4.1839841164791531"/>
    <n v="0.32009437672040897"/>
    <n v="86.042391648212586"/>
    <n v="19.360961720974377"/>
    <n v="0.59282907662082518"/>
    <n v="-0.20459975644721229"/>
    <n v="-1.4709074946124989"/>
    <n v="8.1619740588421391E-2"/>
    <n v="32.25"/>
  </r>
  <r>
    <x v="5"/>
    <x v="1"/>
    <n v="0.1600759253400823"/>
    <n v="0.16534740545294646"/>
    <n v="0.55004488330341117"/>
    <n v="0.18066539405508591"/>
    <n v="0.15189528224706844"/>
    <n v="33.125"/>
    <n v="5.1977321048901493"/>
    <n v="0.37445378151260506"/>
    <n v="69.260976274884101"/>
    <n v="25.37769293700573"/>
    <n v="0.58129084967320266"/>
    <n v="1.058139534883721"/>
    <n v="-7.2203389830508478"/>
    <n v="0.14480501772566132"/>
    <n v="26.55"/>
  </r>
  <r>
    <x v="6"/>
    <x v="1"/>
    <n v="-2.5906735751295429E-3"/>
    <n v="0.10867924528301898"/>
    <n v="0.85284035259549462"/>
    <n v="0.20082023239917976"/>
    <n v="0.1395762132604238"/>
    <n v="29.38"/>
    <n v="5.3007246376811592"/>
    <n v="0.33774396295071124"/>
    <n v="67.915242652084757"/>
    <n v="26.526315789473681"/>
    <n v="0.58299758259468171"/>
    <n v="0.14312617702448205"/>
    <n v="-0.94005449591280654"/>
    <n v="0.16596035543403964"/>
    <n v="24.28"/>
  </r>
  <r>
    <x v="7"/>
    <x v="1"/>
    <n v="0.10020505809979485"/>
    <n v="8.1688223281143557E-2"/>
    <n v="0.82551194539249151"/>
    <n v="0.19744035785288269"/>
    <n v="0.14562624254473161"/>
    <n v="46.735294117647058"/>
    <n v="7.1474245115452932"/>
    <n v="0.36172839506172838"/>
    <n v="50.367793240556658"/>
    <n v="17.355864811133198"/>
    <n v="0.57335053446369333"/>
    <n v="0.65321252059308077"/>
    <n v="41.409090909090907"/>
    <n v="0.24937872763419483"/>
    <n v="59.029411764705884"/>
  </r>
  <r>
    <x v="8"/>
    <x v="1"/>
    <n v="0.18190854870775341"/>
    <n v="5.7898049087476311E-2"/>
    <n v="0.97408163265306125"/>
    <n v="0.17672413793103448"/>
    <n v="0.12878469301934398"/>
    <n v="43.102564102564102"/>
    <n v="6.736543909348442"/>
    <n v="0.36589008363201914"/>
    <n v="53.439865433137093"/>
    <n v="24.676198486122793"/>
    <n v="0.56702483706182838"/>
    <n v="-0.49377179870453414"/>
    <n v="-1.472668810289389"/>
    <n v="0.10681244743481917"/>
    <n v="26.051282051282051"/>
  </r>
  <r>
    <x v="9"/>
    <x v="1"/>
    <n v="2.6492851135407891E-2"/>
    <n v="7.6740035693039887E-2"/>
    <n v="0.44585253456221197"/>
    <n v="0.18537484637443671"/>
    <n v="0.13334698893895944"/>
    <n v="32.321428571428569"/>
    <n v="7.9706122448979588"/>
    <n v="0.34272176888654909"/>
    <n v="45.165915608357231"/>
    <n v="37.423187218353135"/>
    <n v="0.53970588235294115"/>
    <n v="0.39665354330708658"/>
    <n v="-3.1043083900226756"/>
    <n v="0.14532978287587053"/>
    <n v="25.3392857142857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E6D060-B637-4FD9-B6C2-7464474D474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dataField="1" showAll="0"/>
    <pivotField showAll="0"/>
    <pivotField numFmtId="10" showAll="0"/>
    <pivotField numFmtId="10" showAll="0"/>
    <pivotField numFmtId="10" showAll="0"/>
    <pivotField numFmtId="2" showAll="0"/>
    <pivotField numFmtId="43" showAll="0"/>
    <pivotField numFmtId="9" showAll="0"/>
    <pivotField numFmtId="2" showAll="0"/>
    <pivotField numFmtId="2" showAll="0"/>
    <pivotField showAll="0"/>
    <pivotField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SALES GR"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41F58E-2AB1-48C0-BBFA-E67EB6E587EE}"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numFmtId="10" showAll="0"/>
    <pivotField numFmtId="10" showAll="0"/>
    <pivotField numFmtId="2" showAll="0"/>
    <pivotField numFmtId="43" showAll="0"/>
    <pivotField numFmtId="9" showAll="0"/>
    <pivotField numFmtId="2" showAll="0"/>
    <pivotField dataField="1" numFmtId="2" showAll="0"/>
    <pivotField showAll="0"/>
    <pivotField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Debtor Coversion Period"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C2A0F0-9788-4A7B-974C-6ED686E944F6}"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numFmtId="10" showAll="0"/>
    <pivotField numFmtId="10" showAll="0"/>
    <pivotField numFmtId="2" showAll="0"/>
    <pivotField numFmtId="43" showAll="0"/>
    <pivotField numFmtId="9" showAll="0"/>
    <pivotField numFmtId="2" showAll="0"/>
    <pivotField numFmtId="2" showAll="0"/>
    <pivotField dataField="1" showAll="0"/>
    <pivotField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Reserves as total Capital %"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28E92CA-38DC-490E-930C-57D47C29EEA3}"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numFmtId="10" showAll="0"/>
    <pivotField numFmtId="10" showAll="0"/>
    <pivotField numFmtId="2" showAll="0"/>
    <pivotField numFmtId="43" showAll="0"/>
    <pivotField numFmtId="9" showAll="0"/>
    <pivotField numFmtId="2" showAll="0"/>
    <pivotField numFmtId="2" showAll="0"/>
    <pivotField showAll="0"/>
    <pivotField dataField="1"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YOY_CFO" fld="13" baseField="0" baseItem="0"/>
  </dataFields>
  <chartFormats count="2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3">
          <reference field="4294967294" count="1" selected="0">
            <x v="0"/>
          </reference>
          <reference field="0" count="1" selected="0">
            <x v="3"/>
          </reference>
          <reference field="1" count="1" selected="0">
            <x v="0"/>
          </reference>
        </references>
      </pivotArea>
    </chartFormat>
    <chartFormat chart="2" format="5">
      <pivotArea type="data" outline="0" fieldPosition="0">
        <references count="3">
          <reference field="4294967294" count="1" selected="0">
            <x v="0"/>
          </reference>
          <reference field="0" count="1" selected="0">
            <x v="3"/>
          </reference>
          <reference field="1" count="1" selected="0">
            <x v="1"/>
          </reference>
        </references>
      </pivotArea>
    </chartFormat>
    <chartFormat chart="2" format="6">
      <pivotArea type="data" outline="0" fieldPosition="0">
        <references count="3">
          <reference field="4294967294" count="1" selected="0">
            <x v="0"/>
          </reference>
          <reference field="0" count="1" selected="0">
            <x v="0"/>
          </reference>
          <reference field="1" count="1" selected="0">
            <x v="0"/>
          </reference>
        </references>
      </pivotArea>
    </chartFormat>
    <chartFormat chart="2" format="7">
      <pivotArea type="data" outline="0" fieldPosition="0">
        <references count="3">
          <reference field="4294967294" count="1" selected="0">
            <x v="0"/>
          </reference>
          <reference field="0" count="1" selected="0">
            <x v="0"/>
          </reference>
          <reference field="1" count="1" selected="0">
            <x v="1"/>
          </reference>
        </references>
      </pivotArea>
    </chartFormat>
    <chartFormat chart="2" format="8">
      <pivotArea type="data" outline="0" fieldPosition="0">
        <references count="3">
          <reference field="4294967294" count="1" selected="0">
            <x v="0"/>
          </reference>
          <reference field="0" count="1" selected="0">
            <x v="1"/>
          </reference>
          <reference field="1" count="1" selected="0">
            <x v="0"/>
          </reference>
        </references>
      </pivotArea>
    </chartFormat>
    <chartFormat chart="2" format="9">
      <pivotArea type="data" outline="0" fieldPosition="0">
        <references count="3">
          <reference field="4294967294" count="1" selected="0">
            <x v="0"/>
          </reference>
          <reference field="0" count="1" selected="0">
            <x v="1"/>
          </reference>
          <reference field="1" count="1" selected="0">
            <x v="1"/>
          </reference>
        </references>
      </pivotArea>
    </chartFormat>
    <chartFormat chart="2" format="10">
      <pivotArea type="data" outline="0" fieldPosition="0">
        <references count="3">
          <reference field="4294967294" count="1" selected="0">
            <x v="0"/>
          </reference>
          <reference field="0" count="1" selected="0">
            <x v="2"/>
          </reference>
          <reference field="1" count="1" selected="0">
            <x v="0"/>
          </reference>
        </references>
      </pivotArea>
    </chartFormat>
    <chartFormat chart="2" format="11">
      <pivotArea type="data" outline="0" fieldPosition="0">
        <references count="3">
          <reference field="4294967294" count="1" selected="0">
            <x v="0"/>
          </reference>
          <reference field="0" count="1" selected="0">
            <x v="2"/>
          </reference>
          <reference field="1" count="1" selected="0">
            <x v="1"/>
          </reference>
        </references>
      </pivotArea>
    </chartFormat>
    <chartFormat chart="2" format="12">
      <pivotArea type="data" outline="0" fieldPosition="0">
        <references count="3">
          <reference field="4294967294" count="1" selected="0">
            <x v="0"/>
          </reference>
          <reference field="0" count="1" selected="0">
            <x v="4"/>
          </reference>
          <reference field="1" count="1" selected="0">
            <x v="0"/>
          </reference>
        </references>
      </pivotArea>
    </chartFormat>
    <chartFormat chart="2" format="13">
      <pivotArea type="data" outline="0" fieldPosition="0">
        <references count="3">
          <reference field="4294967294" count="1" selected="0">
            <x v="0"/>
          </reference>
          <reference field="0" count="1" selected="0">
            <x v="4"/>
          </reference>
          <reference field="1" count="1" selected="0">
            <x v="1"/>
          </reference>
        </references>
      </pivotArea>
    </chartFormat>
    <chartFormat chart="2" format="14">
      <pivotArea type="data" outline="0" fieldPosition="0">
        <references count="3">
          <reference field="4294967294" count="1" selected="0">
            <x v="0"/>
          </reference>
          <reference field="0" count="1" selected="0">
            <x v="5"/>
          </reference>
          <reference field="1" count="1" selected="0">
            <x v="0"/>
          </reference>
        </references>
      </pivotArea>
    </chartFormat>
    <chartFormat chart="2" format="15">
      <pivotArea type="data" outline="0" fieldPosition="0">
        <references count="3">
          <reference field="4294967294" count="1" selected="0">
            <x v="0"/>
          </reference>
          <reference field="0" count="1" selected="0">
            <x v="5"/>
          </reference>
          <reference field="1" count="1" selected="0">
            <x v="1"/>
          </reference>
        </references>
      </pivotArea>
    </chartFormat>
    <chartFormat chart="2" format="16">
      <pivotArea type="data" outline="0" fieldPosition="0">
        <references count="3">
          <reference field="4294967294" count="1" selected="0">
            <x v="0"/>
          </reference>
          <reference field="0" count="1" selected="0">
            <x v="6"/>
          </reference>
          <reference field="1" count="1" selected="0">
            <x v="0"/>
          </reference>
        </references>
      </pivotArea>
    </chartFormat>
    <chartFormat chart="2" format="17">
      <pivotArea type="data" outline="0" fieldPosition="0">
        <references count="3">
          <reference field="4294967294" count="1" selected="0">
            <x v="0"/>
          </reference>
          <reference field="0" count="1" selected="0">
            <x v="6"/>
          </reference>
          <reference field="1" count="1" selected="0">
            <x v="1"/>
          </reference>
        </references>
      </pivotArea>
    </chartFormat>
    <chartFormat chart="2" format="18">
      <pivotArea type="data" outline="0" fieldPosition="0">
        <references count="3">
          <reference field="4294967294" count="1" selected="0">
            <x v="0"/>
          </reference>
          <reference field="0" count="1" selected="0">
            <x v="7"/>
          </reference>
          <reference field="1" count="1" selected="0">
            <x v="0"/>
          </reference>
        </references>
      </pivotArea>
    </chartFormat>
    <chartFormat chart="2" format="19">
      <pivotArea type="data" outline="0" fieldPosition="0">
        <references count="3">
          <reference field="4294967294" count="1" selected="0">
            <x v="0"/>
          </reference>
          <reference field="0" count="1" selected="0">
            <x v="7"/>
          </reference>
          <reference field="1" count="1" selected="0">
            <x v="1"/>
          </reference>
        </references>
      </pivotArea>
    </chartFormat>
    <chartFormat chart="2" format="20">
      <pivotArea type="data" outline="0" fieldPosition="0">
        <references count="3">
          <reference field="4294967294" count="1" selected="0">
            <x v="0"/>
          </reference>
          <reference field="0" count="1" selected="0">
            <x v="8"/>
          </reference>
          <reference field="1" count="1" selected="0">
            <x v="0"/>
          </reference>
        </references>
      </pivotArea>
    </chartFormat>
    <chartFormat chart="2" format="21">
      <pivotArea type="data" outline="0" fieldPosition="0">
        <references count="3">
          <reference field="4294967294" count="1" selected="0">
            <x v="0"/>
          </reference>
          <reference field="0" count="1" selected="0">
            <x v="8"/>
          </reference>
          <reference field="1" count="1" selected="0">
            <x v="1"/>
          </reference>
        </references>
      </pivotArea>
    </chartFormat>
    <chartFormat chart="2" format="22">
      <pivotArea type="data" outline="0" fieldPosition="0">
        <references count="3">
          <reference field="4294967294" count="1" selected="0">
            <x v="0"/>
          </reference>
          <reference field="0" count="1" selected="0">
            <x v="9"/>
          </reference>
          <reference field="1" count="1" selected="0">
            <x v="0"/>
          </reference>
        </references>
      </pivotArea>
    </chartFormat>
    <chartFormat chart="2" format="23">
      <pivotArea type="data" outline="0" fieldPosition="0">
        <references count="3">
          <reference field="4294967294" count="1" selected="0">
            <x v="0"/>
          </reference>
          <reference field="0" count="1" selected="0">
            <x v="9"/>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3045843-46A2-4651-969F-E07FE4B0D051}"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numFmtId="10" showAll="0"/>
    <pivotField numFmtId="10" showAll="0"/>
    <pivotField numFmtId="2" showAll="0"/>
    <pivotField numFmtId="43" showAll="0"/>
    <pivotField numFmtId="9" showAll="0"/>
    <pivotField numFmtId="2" showAll="0"/>
    <pivotField numFmtId="2" showAll="0"/>
    <pivotField showAll="0"/>
    <pivotField showAll="0"/>
    <pivotField dataField="1" showAll="0"/>
    <pivotField numFmtId="9" showAll="0"/>
    <pivotField numFmtId="2" showAll="0"/>
  </pivotFields>
  <rowFields count="2">
    <field x="0"/>
    <field x="1"/>
  </rowFields>
  <rowItems count="4">
    <i>
      <x v="3"/>
    </i>
    <i r="1">
      <x/>
    </i>
    <i r="1">
      <x v="1"/>
    </i>
    <i t="grand">
      <x/>
    </i>
  </rowItems>
  <colItems count="1">
    <i/>
  </colItems>
  <dataFields count="1">
    <dataField name="Sum of YOY_CFI" fld="14" baseField="0" baseItem="0"/>
  </dataFields>
  <chartFormats count="2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3"/>
          </reference>
          <reference field="1" count="1" selected="0">
            <x v="0"/>
          </reference>
        </references>
      </pivotArea>
    </chartFormat>
    <chartFormat chart="2" format="4">
      <pivotArea type="data" outline="0" fieldPosition="0">
        <references count="3">
          <reference field="4294967294" count="1" selected="0">
            <x v="0"/>
          </reference>
          <reference field="0" count="1" selected="0">
            <x v="3"/>
          </reference>
          <reference field="1" count="1" selected="0">
            <x v="1"/>
          </reference>
        </references>
      </pivotArea>
    </chartFormat>
    <chartFormat chart="2" format="5">
      <pivotArea type="data" outline="0" fieldPosition="0">
        <references count="3">
          <reference field="4294967294" count="1" selected="0">
            <x v="0"/>
          </reference>
          <reference field="0" count="1" selected="0">
            <x v="0"/>
          </reference>
          <reference field="1" count="1" selected="0">
            <x v="0"/>
          </reference>
        </references>
      </pivotArea>
    </chartFormat>
    <chartFormat chart="2" format="6">
      <pivotArea type="data" outline="0" fieldPosition="0">
        <references count="3">
          <reference field="4294967294" count="1" selected="0">
            <x v="0"/>
          </reference>
          <reference field="0" count="1" selected="0">
            <x v="0"/>
          </reference>
          <reference field="1" count="1" selected="0">
            <x v="1"/>
          </reference>
        </references>
      </pivotArea>
    </chartFormat>
    <chartFormat chart="2" format="7">
      <pivotArea type="data" outline="0" fieldPosition="0">
        <references count="3">
          <reference field="4294967294" count="1" selected="0">
            <x v="0"/>
          </reference>
          <reference field="0" count="1" selected="0">
            <x v="1"/>
          </reference>
          <reference field="1" count="1" selected="0">
            <x v="0"/>
          </reference>
        </references>
      </pivotArea>
    </chartFormat>
    <chartFormat chart="2" format="8">
      <pivotArea type="data" outline="0" fieldPosition="0">
        <references count="3">
          <reference field="4294967294" count="1" selected="0">
            <x v="0"/>
          </reference>
          <reference field="0" count="1" selected="0">
            <x v="1"/>
          </reference>
          <reference field="1" count="1" selected="0">
            <x v="1"/>
          </reference>
        </references>
      </pivotArea>
    </chartFormat>
    <chartFormat chart="2" format="9">
      <pivotArea type="data" outline="0" fieldPosition="0">
        <references count="3">
          <reference field="4294967294" count="1" selected="0">
            <x v="0"/>
          </reference>
          <reference field="0" count="1" selected="0">
            <x v="2"/>
          </reference>
          <reference field="1" count="1" selected="0">
            <x v="0"/>
          </reference>
        </references>
      </pivotArea>
    </chartFormat>
    <chartFormat chart="2" format="10">
      <pivotArea type="data" outline="0" fieldPosition="0">
        <references count="3">
          <reference field="4294967294" count="1" selected="0">
            <x v="0"/>
          </reference>
          <reference field="0" count="1" selected="0">
            <x v="2"/>
          </reference>
          <reference field="1" count="1" selected="0">
            <x v="1"/>
          </reference>
        </references>
      </pivotArea>
    </chartFormat>
    <chartFormat chart="2" format="11">
      <pivotArea type="data" outline="0" fieldPosition="0">
        <references count="3">
          <reference field="4294967294" count="1" selected="0">
            <x v="0"/>
          </reference>
          <reference field="0" count="1" selected="0">
            <x v="4"/>
          </reference>
          <reference field="1" count="1" selected="0">
            <x v="0"/>
          </reference>
        </references>
      </pivotArea>
    </chartFormat>
    <chartFormat chart="2" format="12">
      <pivotArea type="data" outline="0" fieldPosition="0">
        <references count="3">
          <reference field="4294967294" count="1" selected="0">
            <x v="0"/>
          </reference>
          <reference field="0" count="1" selected="0">
            <x v="4"/>
          </reference>
          <reference field="1" count="1" selected="0">
            <x v="1"/>
          </reference>
        </references>
      </pivotArea>
    </chartFormat>
    <chartFormat chart="2" format="13">
      <pivotArea type="data" outline="0" fieldPosition="0">
        <references count="3">
          <reference field="4294967294" count="1" selected="0">
            <x v="0"/>
          </reference>
          <reference field="0" count="1" selected="0">
            <x v="5"/>
          </reference>
          <reference field="1" count="1" selected="0">
            <x v="0"/>
          </reference>
        </references>
      </pivotArea>
    </chartFormat>
    <chartFormat chart="2" format="14">
      <pivotArea type="data" outline="0" fieldPosition="0">
        <references count="3">
          <reference field="4294967294" count="1" selected="0">
            <x v="0"/>
          </reference>
          <reference field="0" count="1" selected="0">
            <x v="5"/>
          </reference>
          <reference field="1" count="1" selected="0">
            <x v="1"/>
          </reference>
        </references>
      </pivotArea>
    </chartFormat>
    <chartFormat chart="2" format="15">
      <pivotArea type="data" outline="0" fieldPosition="0">
        <references count="3">
          <reference field="4294967294" count="1" selected="0">
            <x v="0"/>
          </reference>
          <reference field="0" count="1" selected="0">
            <x v="6"/>
          </reference>
          <reference field="1" count="1" selected="0">
            <x v="0"/>
          </reference>
        </references>
      </pivotArea>
    </chartFormat>
    <chartFormat chart="2" format="16">
      <pivotArea type="data" outline="0" fieldPosition="0">
        <references count="3">
          <reference field="4294967294" count="1" selected="0">
            <x v="0"/>
          </reference>
          <reference field="0" count="1" selected="0">
            <x v="6"/>
          </reference>
          <reference field="1" count="1" selected="0">
            <x v="1"/>
          </reference>
        </references>
      </pivotArea>
    </chartFormat>
    <chartFormat chart="2" format="17">
      <pivotArea type="data" outline="0" fieldPosition="0">
        <references count="3">
          <reference field="4294967294" count="1" selected="0">
            <x v="0"/>
          </reference>
          <reference field="0" count="1" selected="0">
            <x v="7"/>
          </reference>
          <reference field="1" count="1" selected="0">
            <x v="0"/>
          </reference>
        </references>
      </pivotArea>
    </chartFormat>
    <chartFormat chart="2" format="18">
      <pivotArea type="data" outline="0" fieldPosition="0">
        <references count="3">
          <reference field="4294967294" count="1" selected="0">
            <x v="0"/>
          </reference>
          <reference field="0" count="1" selected="0">
            <x v="7"/>
          </reference>
          <reference field="1" count="1" selected="0">
            <x v="1"/>
          </reference>
        </references>
      </pivotArea>
    </chartFormat>
    <chartFormat chart="2" format="19">
      <pivotArea type="data" outline="0" fieldPosition="0">
        <references count="3">
          <reference field="4294967294" count="1" selected="0">
            <x v="0"/>
          </reference>
          <reference field="0" count="1" selected="0">
            <x v="8"/>
          </reference>
          <reference field="1" count="1" selected="0">
            <x v="0"/>
          </reference>
        </references>
      </pivotArea>
    </chartFormat>
    <chartFormat chart="2" format="20">
      <pivotArea type="data" outline="0" fieldPosition="0">
        <references count="3">
          <reference field="4294967294" count="1" selected="0">
            <x v="0"/>
          </reference>
          <reference field="0" count="1" selected="0">
            <x v="8"/>
          </reference>
          <reference field="1" count="1" selected="0">
            <x v="1"/>
          </reference>
        </references>
      </pivotArea>
    </chartFormat>
    <chartFormat chart="2" format="21">
      <pivotArea type="data" outline="0" fieldPosition="0">
        <references count="3">
          <reference field="4294967294" count="1" selected="0">
            <x v="0"/>
          </reference>
          <reference field="0" count="1" selected="0">
            <x v="9"/>
          </reference>
          <reference field="1" count="1" selected="0">
            <x v="0"/>
          </reference>
        </references>
      </pivotArea>
    </chartFormat>
    <chartFormat chart="2" format="22">
      <pivotArea type="data" outline="0" fieldPosition="0">
        <references count="3">
          <reference field="4294967294" count="1" selected="0">
            <x v="0"/>
          </reference>
          <reference field="0" count="1" selected="0">
            <x v="9"/>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CCD590-23EA-491E-802E-D6E11EB93B2B}"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numFmtId="10" showAll="0"/>
    <pivotField numFmtId="10" showAll="0"/>
    <pivotField numFmtId="2" showAll="0"/>
    <pivotField numFmtId="43" showAll="0"/>
    <pivotField numFmtId="9" showAll="0"/>
    <pivotField numFmtId="2" showAll="0"/>
    <pivotField numFmtId="2" showAll="0"/>
    <pivotField showAll="0"/>
    <pivotField showAll="0"/>
    <pivotField showAll="0"/>
    <pivotField dataField="1" numFmtId="9" showAll="0"/>
    <pivotField numFmtId="2" showAll="0"/>
  </pivotFields>
  <rowFields count="2">
    <field x="0"/>
    <field x="1"/>
  </rowFields>
  <rowItems count="4">
    <i>
      <x v="3"/>
    </i>
    <i r="1">
      <x/>
    </i>
    <i r="1">
      <x v="1"/>
    </i>
    <i t="grand">
      <x/>
    </i>
  </rowItems>
  <colItems count="1">
    <i/>
  </colItems>
  <dataFields count="1">
    <dataField name="Sum of CFO_MARGIN" fld="15" baseField="0" baseItem="0"/>
  </dataFields>
  <chartFormats count="2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4"/>
          </reference>
          <reference field="1" count="1" selected="0">
            <x v="0"/>
          </reference>
        </references>
      </pivotArea>
    </chartFormat>
    <chartFormat chart="2" format="4">
      <pivotArea type="data" outline="0" fieldPosition="0">
        <references count="3">
          <reference field="4294967294" count="1" selected="0">
            <x v="0"/>
          </reference>
          <reference field="0" count="1" selected="0">
            <x v="3"/>
          </reference>
          <reference field="1" count="1" selected="0">
            <x v="0"/>
          </reference>
        </references>
      </pivotArea>
    </chartFormat>
    <chartFormat chart="2" format="5">
      <pivotArea type="data" outline="0" fieldPosition="0">
        <references count="3">
          <reference field="4294967294" count="1" selected="0">
            <x v="0"/>
          </reference>
          <reference field="0" count="1" selected="0">
            <x v="3"/>
          </reference>
          <reference field="1" count="1" selected="0">
            <x v="1"/>
          </reference>
        </references>
      </pivotArea>
    </chartFormat>
    <chartFormat chart="2" format="6">
      <pivotArea type="data" outline="0" fieldPosition="0">
        <references count="3">
          <reference field="4294967294" count="1" selected="0">
            <x v="0"/>
          </reference>
          <reference field="0" count="1" selected="0">
            <x v="0"/>
          </reference>
          <reference field="1" count="1" selected="0">
            <x v="0"/>
          </reference>
        </references>
      </pivotArea>
    </chartFormat>
    <chartFormat chart="2" format="7">
      <pivotArea type="data" outline="0" fieldPosition="0">
        <references count="3">
          <reference field="4294967294" count="1" selected="0">
            <x v="0"/>
          </reference>
          <reference field="0" count="1" selected="0">
            <x v="0"/>
          </reference>
          <reference field="1" count="1" selected="0">
            <x v="1"/>
          </reference>
        </references>
      </pivotArea>
    </chartFormat>
    <chartFormat chart="2" format="8">
      <pivotArea type="data" outline="0" fieldPosition="0">
        <references count="3">
          <reference field="4294967294" count="1" selected="0">
            <x v="0"/>
          </reference>
          <reference field="0" count="1" selected="0">
            <x v="1"/>
          </reference>
          <reference field="1" count="1" selected="0">
            <x v="0"/>
          </reference>
        </references>
      </pivotArea>
    </chartFormat>
    <chartFormat chart="2" format="9">
      <pivotArea type="data" outline="0" fieldPosition="0">
        <references count="3">
          <reference field="4294967294" count="1" selected="0">
            <x v="0"/>
          </reference>
          <reference field="0" count="1" selected="0">
            <x v="1"/>
          </reference>
          <reference field="1" count="1" selected="0">
            <x v="1"/>
          </reference>
        </references>
      </pivotArea>
    </chartFormat>
    <chartFormat chart="2" format="10">
      <pivotArea type="data" outline="0" fieldPosition="0">
        <references count="3">
          <reference field="4294967294" count="1" selected="0">
            <x v="0"/>
          </reference>
          <reference field="0" count="1" selected="0">
            <x v="2"/>
          </reference>
          <reference field="1" count="1" selected="0">
            <x v="0"/>
          </reference>
        </references>
      </pivotArea>
    </chartFormat>
    <chartFormat chart="2" format="11">
      <pivotArea type="data" outline="0" fieldPosition="0">
        <references count="3">
          <reference field="4294967294" count="1" selected="0">
            <x v="0"/>
          </reference>
          <reference field="0" count="1" selected="0">
            <x v="2"/>
          </reference>
          <reference field="1" count="1" selected="0">
            <x v="1"/>
          </reference>
        </references>
      </pivotArea>
    </chartFormat>
    <chartFormat chart="2" format="12">
      <pivotArea type="data" outline="0" fieldPosition="0">
        <references count="3">
          <reference field="4294967294" count="1" selected="0">
            <x v="0"/>
          </reference>
          <reference field="0" count="1" selected="0">
            <x v="4"/>
          </reference>
          <reference field="1" count="1" selected="0">
            <x v="1"/>
          </reference>
        </references>
      </pivotArea>
    </chartFormat>
    <chartFormat chart="2" format="13">
      <pivotArea type="data" outline="0" fieldPosition="0">
        <references count="3">
          <reference field="4294967294" count="1" selected="0">
            <x v="0"/>
          </reference>
          <reference field="0" count="1" selected="0">
            <x v="5"/>
          </reference>
          <reference field="1" count="1" selected="0">
            <x v="0"/>
          </reference>
        </references>
      </pivotArea>
    </chartFormat>
    <chartFormat chart="2" format="14">
      <pivotArea type="data" outline="0" fieldPosition="0">
        <references count="3">
          <reference field="4294967294" count="1" selected="0">
            <x v="0"/>
          </reference>
          <reference field="0" count="1" selected="0">
            <x v="5"/>
          </reference>
          <reference field="1" count="1" selected="0">
            <x v="1"/>
          </reference>
        </references>
      </pivotArea>
    </chartFormat>
    <chartFormat chart="2" format="15">
      <pivotArea type="data" outline="0" fieldPosition="0">
        <references count="3">
          <reference field="4294967294" count="1" selected="0">
            <x v="0"/>
          </reference>
          <reference field="0" count="1" selected="0">
            <x v="6"/>
          </reference>
          <reference field="1" count="1" selected="0">
            <x v="0"/>
          </reference>
        </references>
      </pivotArea>
    </chartFormat>
    <chartFormat chart="2" format="16">
      <pivotArea type="data" outline="0" fieldPosition="0">
        <references count="3">
          <reference field="4294967294" count="1" selected="0">
            <x v="0"/>
          </reference>
          <reference field="0" count="1" selected="0">
            <x v="6"/>
          </reference>
          <reference field="1" count="1" selected="0">
            <x v="1"/>
          </reference>
        </references>
      </pivotArea>
    </chartFormat>
    <chartFormat chart="2" format="17">
      <pivotArea type="data" outline="0" fieldPosition="0">
        <references count="3">
          <reference field="4294967294" count="1" selected="0">
            <x v="0"/>
          </reference>
          <reference field="0" count="1" selected="0">
            <x v="7"/>
          </reference>
          <reference field="1" count="1" selected="0">
            <x v="0"/>
          </reference>
        </references>
      </pivotArea>
    </chartFormat>
    <chartFormat chart="2" format="18">
      <pivotArea type="data" outline="0" fieldPosition="0">
        <references count="3">
          <reference field="4294967294" count="1" selected="0">
            <x v="0"/>
          </reference>
          <reference field="0" count="1" selected="0">
            <x v="7"/>
          </reference>
          <reference field="1" count="1" selected="0">
            <x v="1"/>
          </reference>
        </references>
      </pivotArea>
    </chartFormat>
    <chartFormat chart="2" format="19">
      <pivotArea type="data" outline="0" fieldPosition="0">
        <references count="3">
          <reference field="4294967294" count="1" selected="0">
            <x v="0"/>
          </reference>
          <reference field="0" count="1" selected="0">
            <x v="8"/>
          </reference>
          <reference field="1" count="1" selected="0">
            <x v="0"/>
          </reference>
        </references>
      </pivotArea>
    </chartFormat>
    <chartFormat chart="2" format="20">
      <pivotArea type="data" outline="0" fieldPosition="0">
        <references count="3">
          <reference field="4294967294" count="1" selected="0">
            <x v="0"/>
          </reference>
          <reference field="0" count="1" selected="0">
            <x v="8"/>
          </reference>
          <reference field="1" count="1" selected="0">
            <x v="1"/>
          </reference>
        </references>
      </pivotArea>
    </chartFormat>
    <chartFormat chart="2" format="21">
      <pivotArea type="data" outline="0" fieldPosition="0">
        <references count="3">
          <reference field="4294967294" count="1" selected="0">
            <x v="0"/>
          </reference>
          <reference field="0" count="1" selected="0">
            <x v="9"/>
          </reference>
          <reference field="1" count="1" selected="0">
            <x v="0"/>
          </reference>
        </references>
      </pivotArea>
    </chartFormat>
    <chartFormat chart="2" format="22">
      <pivotArea type="data" outline="0" fieldPosition="0">
        <references count="3">
          <reference field="4294967294" count="1" selected="0">
            <x v="0"/>
          </reference>
          <reference field="0" count="1" selected="0">
            <x v="9"/>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C067C68-7DA5-4F1A-BFE9-58AD0D4E7A3C}"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numFmtId="10" showAll="0"/>
    <pivotField numFmtId="10" showAll="0"/>
    <pivotField numFmtId="2" showAll="0"/>
    <pivotField numFmtId="43" showAll="0"/>
    <pivotField numFmtId="9" showAll="0"/>
    <pivotField numFmtId="2" showAll="0"/>
    <pivotField numFmtId="2" showAll="0"/>
    <pivotField showAll="0"/>
    <pivotField showAll="0"/>
    <pivotField showAll="0"/>
    <pivotField numFmtId="9" showAll="0"/>
    <pivotField dataField="1" numFmtId="2" showAll="0"/>
  </pivotFields>
  <rowFields count="2">
    <field x="0"/>
    <field x="1"/>
  </rowFields>
  <rowItems count="4">
    <i>
      <x v="3"/>
    </i>
    <i r="1">
      <x/>
    </i>
    <i r="1">
      <x v="1"/>
    </i>
    <i t="grand">
      <x/>
    </i>
  </rowItems>
  <colItems count="1">
    <i/>
  </colItems>
  <dataFields count="1">
    <dataField name="Sum of CFO/INTRESET" fld="1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347C08-2511-46B7-891F-99DDB0D1222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dataField="1" showAll="0"/>
    <pivotField numFmtId="10" showAll="0"/>
    <pivotField numFmtId="10" showAll="0"/>
    <pivotField numFmtId="10" showAll="0"/>
    <pivotField numFmtId="2" showAll="0"/>
    <pivotField numFmtId="43" showAll="0"/>
    <pivotField numFmtId="9" showAll="0"/>
    <pivotField numFmtId="2" showAll="0"/>
    <pivotField numFmtId="2" showAll="0"/>
    <pivotField showAll="0"/>
    <pivotField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Operating Profit GR"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6A5C02-68B2-4A66-84FB-02812D624D84}"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dataField="1" numFmtId="10" showAll="0"/>
    <pivotField numFmtId="10" showAll="0"/>
    <pivotField numFmtId="10" showAll="0"/>
    <pivotField numFmtId="2" showAll="0"/>
    <pivotField numFmtId="43" showAll="0"/>
    <pivotField numFmtId="9" showAll="0"/>
    <pivotField numFmtId="2" showAll="0"/>
    <pivotField numFmtId="2" showAll="0"/>
    <pivotField showAll="0"/>
    <pivotField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Dividend Payout" fld="4"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BFC05-98DC-409A-B8CD-D6C8CE6AA6F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dataField="1" numFmtId="10" showAll="0"/>
    <pivotField numFmtId="10" showAll="0"/>
    <pivotField numFmtId="2" showAll="0"/>
    <pivotField numFmtId="43" showAll="0"/>
    <pivotField numFmtId="9" showAll="0"/>
    <pivotField numFmtId="2" showAll="0"/>
    <pivotField numFmtId="2" showAll="0"/>
    <pivotField showAll="0"/>
    <pivotField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OPM"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3A3B3E5-00A1-4F9B-94E8-3B4F644D9C74}"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numFmtId="10" showAll="0"/>
    <pivotField dataField="1" numFmtId="10" showAll="0"/>
    <pivotField numFmtId="2" showAll="0"/>
    <pivotField numFmtId="43" showAll="0"/>
    <pivotField numFmtId="9" showAll="0"/>
    <pivotField numFmtId="2" showAll="0"/>
    <pivotField numFmtId="2" showAll="0"/>
    <pivotField showAll="0"/>
    <pivotField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NPM" fld="6" baseField="0" baseItem="0"/>
  </dataFields>
  <chartFormats count="2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3"/>
          </reference>
          <reference field="1" count="1" selected="0">
            <x v="0"/>
          </reference>
        </references>
      </pivotArea>
    </chartFormat>
    <chartFormat chart="2" format="4">
      <pivotArea type="data" outline="0" fieldPosition="0">
        <references count="3">
          <reference field="4294967294" count="1" selected="0">
            <x v="0"/>
          </reference>
          <reference field="0" count="1" selected="0">
            <x v="3"/>
          </reference>
          <reference field="1" count="1" selected="0">
            <x v="1"/>
          </reference>
        </references>
      </pivotArea>
    </chartFormat>
    <chartFormat chart="2" format="5">
      <pivotArea type="data" outline="0" fieldPosition="0">
        <references count="3">
          <reference field="4294967294" count="1" selected="0">
            <x v="0"/>
          </reference>
          <reference field="0" count="1" selected="0">
            <x v="0"/>
          </reference>
          <reference field="1" count="1" selected="0">
            <x v="0"/>
          </reference>
        </references>
      </pivotArea>
    </chartFormat>
    <chartFormat chart="2" format="6">
      <pivotArea type="data" outline="0" fieldPosition="0">
        <references count="3">
          <reference field="4294967294" count="1" selected="0">
            <x v="0"/>
          </reference>
          <reference field="0" count="1" selected="0">
            <x v="0"/>
          </reference>
          <reference field="1" count="1" selected="0">
            <x v="1"/>
          </reference>
        </references>
      </pivotArea>
    </chartFormat>
    <chartFormat chart="2" format="7">
      <pivotArea type="data" outline="0" fieldPosition="0">
        <references count="3">
          <reference field="4294967294" count="1" selected="0">
            <x v="0"/>
          </reference>
          <reference field="0" count="1" selected="0">
            <x v="1"/>
          </reference>
          <reference field="1" count="1" selected="0">
            <x v="0"/>
          </reference>
        </references>
      </pivotArea>
    </chartFormat>
    <chartFormat chart="2" format="8">
      <pivotArea type="data" outline="0" fieldPosition="0">
        <references count="3">
          <reference field="4294967294" count="1" selected="0">
            <x v="0"/>
          </reference>
          <reference field="0" count="1" selected="0">
            <x v="1"/>
          </reference>
          <reference field="1" count="1" selected="0">
            <x v="1"/>
          </reference>
        </references>
      </pivotArea>
    </chartFormat>
    <chartFormat chart="2" format="9">
      <pivotArea type="data" outline="0" fieldPosition="0">
        <references count="3">
          <reference field="4294967294" count="1" selected="0">
            <x v="0"/>
          </reference>
          <reference field="0" count="1" selected="0">
            <x v="2"/>
          </reference>
          <reference field="1" count="1" selected="0">
            <x v="0"/>
          </reference>
        </references>
      </pivotArea>
    </chartFormat>
    <chartFormat chart="2" format="10">
      <pivotArea type="data" outline="0" fieldPosition="0">
        <references count="3">
          <reference field="4294967294" count="1" selected="0">
            <x v="0"/>
          </reference>
          <reference field="0" count="1" selected="0">
            <x v="2"/>
          </reference>
          <reference field="1" count="1" selected="0">
            <x v="1"/>
          </reference>
        </references>
      </pivotArea>
    </chartFormat>
    <chartFormat chart="2" format="11">
      <pivotArea type="data" outline="0" fieldPosition="0">
        <references count="3">
          <reference field="4294967294" count="1" selected="0">
            <x v="0"/>
          </reference>
          <reference field="0" count="1" selected="0">
            <x v="4"/>
          </reference>
          <reference field="1" count="1" selected="0">
            <x v="0"/>
          </reference>
        </references>
      </pivotArea>
    </chartFormat>
    <chartFormat chart="2" format="12">
      <pivotArea type="data" outline="0" fieldPosition="0">
        <references count="3">
          <reference field="4294967294" count="1" selected="0">
            <x v="0"/>
          </reference>
          <reference field="0" count="1" selected="0">
            <x v="4"/>
          </reference>
          <reference field="1" count="1" selected="0">
            <x v="1"/>
          </reference>
        </references>
      </pivotArea>
    </chartFormat>
    <chartFormat chart="2" format="13">
      <pivotArea type="data" outline="0" fieldPosition="0">
        <references count="3">
          <reference field="4294967294" count="1" selected="0">
            <x v="0"/>
          </reference>
          <reference field="0" count="1" selected="0">
            <x v="5"/>
          </reference>
          <reference field="1" count="1" selected="0">
            <x v="0"/>
          </reference>
        </references>
      </pivotArea>
    </chartFormat>
    <chartFormat chart="2" format="14">
      <pivotArea type="data" outline="0" fieldPosition="0">
        <references count="3">
          <reference field="4294967294" count="1" selected="0">
            <x v="0"/>
          </reference>
          <reference field="0" count="1" selected="0">
            <x v="5"/>
          </reference>
          <reference field="1" count="1" selected="0">
            <x v="1"/>
          </reference>
        </references>
      </pivotArea>
    </chartFormat>
    <chartFormat chart="2" format="15">
      <pivotArea type="data" outline="0" fieldPosition="0">
        <references count="3">
          <reference field="4294967294" count="1" selected="0">
            <x v="0"/>
          </reference>
          <reference field="0" count="1" selected="0">
            <x v="6"/>
          </reference>
          <reference field="1" count="1" selected="0">
            <x v="0"/>
          </reference>
        </references>
      </pivotArea>
    </chartFormat>
    <chartFormat chart="2" format="16">
      <pivotArea type="data" outline="0" fieldPosition="0">
        <references count="3">
          <reference field="4294967294" count="1" selected="0">
            <x v="0"/>
          </reference>
          <reference field="0" count="1" selected="0">
            <x v="6"/>
          </reference>
          <reference field="1" count="1" selected="0">
            <x v="1"/>
          </reference>
        </references>
      </pivotArea>
    </chartFormat>
    <chartFormat chart="2" format="17">
      <pivotArea type="data" outline="0" fieldPosition="0">
        <references count="3">
          <reference field="4294967294" count="1" selected="0">
            <x v="0"/>
          </reference>
          <reference field="0" count="1" selected="0">
            <x v="7"/>
          </reference>
          <reference field="1" count="1" selected="0">
            <x v="0"/>
          </reference>
        </references>
      </pivotArea>
    </chartFormat>
    <chartFormat chart="2" format="18">
      <pivotArea type="data" outline="0" fieldPosition="0">
        <references count="3">
          <reference field="4294967294" count="1" selected="0">
            <x v="0"/>
          </reference>
          <reference field="0" count="1" selected="0">
            <x v="7"/>
          </reference>
          <reference field="1" count="1" selected="0">
            <x v="1"/>
          </reference>
        </references>
      </pivotArea>
    </chartFormat>
    <chartFormat chart="2" format="19">
      <pivotArea type="data" outline="0" fieldPosition="0">
        <references count="3">
          <reference field="4294967294" count="1" selected="0">
            <x v="0"/>
          </reference>
          <reference field="0" count="1" selected="0">
            <x v="8"/>
          </reference>
          <reference field="1" count="1" selected="0">
            <x v="0"/>
          </reference>
        </references>
      </pivotArea>
    </chartFormat>
    <chartFormat chart="2" format="20">
      <pivotArea type="data" outline="0" fieldPosition="0">
        <references count="3">
          <reference field="4294967294" count="1" selected="0">
            <x v="0"/>
          </reference>
          <reference field="0" count="1" selected="0">
            <x v="8"/>
          </reference>
          <reference field="1" count="1" selected="0">
            <x v="1"/>
          </reference>
        </references>
      </pivotArea>
    </chartFormat>
    <chartFormat chart="2" format="21">
      <pivotArea type="data" outline="0" fieldPosition="0">
        <references count="3">
          <reference field="4294967294" count="1" selected="0">
            <x v="0"/>
          </reference>
          <reference field="0" count="1" selected="0">
            <x v="9"/>
          </reference>
          <reference field="1" count="1" selected="0">
            <x v="0"/>
          </reference>
        </references>
      </pivotArea>
    </chartFormat>
    <chartFormat chart="2" format="22">
      <pivotArea type="data" outline="0" fieldPosition="0">
        <references count="3">
          <reference field="4294967294" count="1" selected="0">
            <x v="0"/>
          </reference>
          <reference field="0" count="1" selected="0">
            <x v="9"/>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4BEFEB-0C61-4A28-A6DA-9A37A479E1A7}"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numFmtId="10" showAll="0"/>
    <pivotField numFmtId="10" showAll="0"/>
    <pivotField dataField="1" numFmtId="2" showAll="0"/>
    <pivotField numFmtId="43" showAll="0"/>
    <pivotField numFmtId="9" showAll="0"/>
    <pivotField numFmtId="2" showAll="0"/>
    <pivotField numFmtId="2" showAll="0"/>
    <pivotField showAll="0"/>
    <pivotField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Interest Coverage Ratio" fld="7" baseField="0" baseItem="0"/>
  </dataFields>
  <chartFormats count="2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0" count="1" selected="0">
            <x v="3"/>
          </reference>
          <reference field="1" count="1" selected="0">
            <x v="0"/>
          </reference>
        </references>
      </pivotArea>
    </chartFormat>
    <chartFormat chart="2" format="4">
      <pivotArea type="data" outline="0" fieldPosition="0">
        <references count="3">
          <reference field="4294967294" count="1" selected="0">
            <x v="0"/>
          </reference>
          <reference field="0" count="1" selected="0">
            <x v="3"/>
          </reference>
          <reference field="1" count="1" selected="0">
            <x v="1"/>
          </reference>
        </references>
      </pivotArea>
    </chartFormat>
    <chartFormat chart="2" format="5">
      <pivotArea type="data" outline="0" fieldPosition="0">
        <references count="3">
          <reference field="4294967294" count="1" selected="0">
            <x v="0"/>
          </reference>
          <reference field="0" count="1" selected="0">
            <x v="0"/>
          </reference>
          <reference field="1" count="1" selected="0">
            <x v="0"/>
          </reference>
        </references>
      </pivotArea>
    </chartFormat>
    <chartFormat chart="2" format="6">
      <pivotArea type="data" outline="0" fieldPosition="0">
        <references count="3">
          <reference field="4294967294" count="1" selected="0">
            <x v="0"/>
          </reference>
          <reference field="0" count="1" selected="0">
            <x v="0"/>
          </reference>
          <reference field="1" count="1" selected="0">
            <x v="1"/>
          </reference>
        </references>
      </pivotArea>
    </chartFormat>
    <chartFormat chart="2" format="7">
      <pivotArea type="data" outline="0" fieldPosition="0">
        <references count="3">
          <reference field="4294967294" count="1" selected="0">
            <x v="0"/>
          </reference>
          <reference field="0" count="1" selected="0">
            <x v="1"/>
          </reference>
          <reference field="1" count="1" selected="0">
            <x v="0"/>
          </reference>
        </references>
      </pivotArea>
    </chartFormat>
    <chartFormat chart="2" format="8">
      <pivotArea type="data" outline="0" fieldPosition="0">
        <references count="3">
          <reference field="4294967294" count="1" selected="0">
            <x v="0"/>
          </reference>
          <reference field="0" count="1" selected="0">
            <x v="1"/>
          </reference>
          <reference field="1" count="1" selected="0">
            <x v="1"/>
          </reference>
        </references>
      </pivotArea>
    </chartFormat>
    <chartFormat chart="2" format="9">
      <pivotArea type="data" outline="0" fieldPosition="0">
        <references count="3">
          <reference field="4294967294" count="1" selected="0">
            <x v="0"/>
          </reference>
          <reference field="0" count="1" selected="0">
            <x v="2"/>
          </reference>
          <reference field="1" count="1" selected="0">
            <x v="0"/>
          </reference>
        </references>
      </pivotArea>
    </chartFormat>
    <chartFormat chart="2" format="10">
      <pivotArea type="data" outline="0" fieldPosition="0">
        <references count="3">
          <reference field="4294967294" count="1" selected="0">
            <x v="0"/>
          </reference>
          <reference field="0" count="1" selected="0">
            <x v="2"/>
          </reference>
          <reference field="1" count="1" selected="0">
            <x v="1"/>
          </reference>
        </references>
      </pivotArea>
    </chartFormat>
    <chartFormat chart="2" format="11">
      <pivotArea type="data" outline="0" fieldPosition="0">
        <references count="3">
          <reference field="4294967294" count="1" selected="0">
            <x v="0"/>
          </reference>
          <reference field="0" count="1" selected="0">
            <x v="4"/>
          </reference>
          <reference field="1" count="1" selected="0">
            <x v="0"/>
          </reference>
        </references>
      </pivotArea>
    </chartFormat>
    <chartFormat chart="2" format="12">
      <pivotArea type="data" outline="0" fieldPosition="0">
        <references count="3">
          <reference field="4294967294" count="1" selected="0">
            <x v="0"/>
          </reference>
          <reference field="0" count="1" selected="0">
            <x v="4"/>
          </reference>
          <reference field="1" count="1" selected="0">
            <x v="1"/>
          </reference>
        </references>
      </pivotArea>
    </chartFormat>
    <chartFormat chart="2" format="13">
      <pivotArea type="data" outline="0" fieldPosition="0">
        <references count="3">
          <reference field="4294967294" count="1" selected="0">
            <x v="0"/>
          </reference>
          <reference field="0" count="1" selected="0">
            <x v="5"/>
          </reference>
          <reference field="1" count="1" selected="0">
            <x v="0"/>
          </reference>
        </references>
      </pivotArea>
    </chartFormat>
    <chartFormat chart="2" format="14">
      <pivotArea type="data" outline="0" fieldPosition="0">
        <references count="3">
          <reference field="4294967294" count="1" selected="0">
            <x v="0"/>
          </reference>
          <reference field="0" count="1" selected="0">
            <x v="5"/>
          </reference>
          <reference field="1" count="1" selected="0">
            <x v="1"/>
          </reference>
        </references>
      </pivotArea>
    </chartFormat>
    <chartFormat chart="2" format="15">
      <pivotArea type="data" outline="0" fieldPosition="0">
        <references count="3">
          <reference field="4294967294" count="1" selected="0">
            <x v="0"/>
          </reference>
          <reference field="0" count="1" selected="0">
            <x v="6"/>
          </reference>
          <reference field="1" count="1" selected="0">
            <x v="0"/>
          </reference>
        </references>
      </pivotArea>
    </chartFormat>
    <chartFormat chart="2" format="16">
      <pivotArea type="data" outline="0" fieldPosition="0">
        <references count="3">
          <reference field="4294967294" count="1" selected="0">
            <x v="0"/>
          </reference>
          <reference field="0" count="1" selected="0">
            <x v="6"/>
          </reference>
          <reference field="1" count="1" selected="0">
            <x v="1"/>
          </reference>
        </references>
      </pivotArea>
    </chartFormat>
    <chartFormat chart="2" format="17">
      <pivotArea type="data" outline="0" fieldPosition="0">
        <references count="3">
          <reference field="4294967294" count="1" selected="0">
            <x v="0"/>
          </reference>
          <reference field="0" count="1" selected="0">
            <x v="7"/>
          </reference>
          <reference field="1" count="1" selected="0">
            <x v="0"/>
          </reference>
        </references>
      </pivotArea>
    </chartFormat>
    <chartFormat chart="2" format="18">
      <pivotArea type="data" outline="0" fieldPosition="0">
        <references count="3">
          <reference field="4294967294" count="1" selected="0">
            <x v="0"/>
          </reference>
          <reference field="0" count="1" selected="0">
            <x v="7"/>
          </reference>
          <reference field="1" count="1" selected="0">
            <x v="1"/>
          </reference>
        </references>
      </pivotArea>
    </chartFormat>
    <chartFormat chart="2" format="19">
      <pivotArea type="data" outline="0" fieldPosition="0">
        <references count="3">
          <reference field="4294967294" count="1" selected="0">
            <x v="0"/>
          </reference>
          <reference field="0" count="1" selected="0">
            <x v="8"/>
          </reference>
          <reference field="1" count="1" selected="0">
            <x v="0"/>
          </reference>
        </references>
      </pivotArea>
    </chartFormat>
    <chartFormat chart="2" format="20">
      <pivotArea type="data" outline="0" fieldPosition="0">
        <references count="3">
          <reference field="4294967294" count="1" selected="0">
            <x v="0"/>
          </reference>
          <reference field="0" count="1" selected="0">
            <x v="8"/>
          </reference>
          <reference field="1" count="1" selected="0">
            <x v="1"/>
          </reference>
        </references>
      </pivotArea>
    </chartFormat>
    <chartFormat chart="2" format="21">
      <pivotArea type="data" outline="0" fieldPosition="0">
        <references count="3">
          <reference field="4294967294" count="1" selected="0">
            <x v="0"/>
          </reference>
          <reference field="0" count="1" selected="0">
            <x v="9"/>
          </reference>
          <reference field="1" count="1" selected="0">
            <x v="0"/>
          </reference>
        </references>
      </pivotArea>
    </chartFormat>
    <chartFormat chart="2" format="22">
      <pivotArea type="data" outline="0" fieldPosition="0">
        <references count="3">
          <reference field="4294967294" count="1" selected="0">
            <x v="0"/>
          </reference>
          <reference field="0" count="1" selected="0">
            <x v="9"/>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ACAD922-D2C8-48F0-BBFC-9451A8817689}"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numFmtId="10" showAll="0"/>
    <pivotField numFmtId="10" showAll="0"/>
    <pivotField numFmtId="2" showAll="0"/>
    <pivotField dataField="1" numFmtId="43" showAll="0"/>
    <pivotField numFmtId="9" showAll="0"/>
    <pivotField numFmtId="2" showAll="0"/>
    <pivotField numFmtId="2" showAll="0"/>
    <pivotField showAll="0"/>
    <pivotField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Inventory Turnover"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F5C54C-E9DF-440D-A817-8D0606193657}"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numFmtId="10" showAll="0"/>
    <pivotField numFmtId="10" showAll="0"/>
    <pivotField numFmtId="2" showAll="0"/>
    <pivotField numFmtId="43" showAll="0"/>
    <pivotField dataField="1" numFmtId="9" showAll="0"/>
    <pivotField numFmtId="2" showAll="0"/>
    <pivotField numFmtId="2" showAll="0"/>
    <pivotField showAll="0"/>
    <pivotField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Return on Equity"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E81AE1-0084-4B84-B44D-95ADB4C745BC}"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5" firstHeaderRow="1" firstDataRow="1" firstDataCol="1"/>
  <pivotFields count="17">
    <pivotField axis="axisRow" showAll="0">
      <items count="11">
        <item h="1" x="0"/>
        <item h="1" x="1"/>
        <item h="1" x="2"/>
        <item x="3"/>
        <item h="1" x="4"/>
        <item h="1" x="5"/>
        <item h="1" x="6"/>
        <item h="1" x="7"/>
        <item h="1" x="8"/>
        <item h="1" x="9"/>
        <item t="default"/>
      </items>
    </pivotField>
    <pivotField axis="axisRow" showAll="0">
      <items count="3">
        <item x="0"/>
        <item x="1"/>
        <item t="default"/>
      </items>
    </pivotField>
    <pivotField showAll="0"/>
    <pivotField showAll="0"/>
    <pivotField numFmtId="10" showAll="0"/>
    <pivotField numFmtId="10" showAll="0"/>
    <pivotField numFmtId="10" showAll="0"/>
    <pivotField numFmtId="2" showAll="0"/>
    <pivotField numFmtId="43" showAll="0"/>
    <pivotField numFmtId="9" showAll="0"/>
    <pivotField dataField="1" numFmtId="2" showAll="0"/>
    <pivotField numFmtId="2" showAll="0"/>
    <pivotField showAll="0"/>
    <pivotField showAll="0"/>
    <pivotField showAll="0"/>
    <pivotField numFmtId="9" showAll="0"/>
    <pivotField numFmtId="2" showAll="0"/>
  </pivotFields>
  <rowFields count="2">
    <field x="0"/>
    <field x="1"/>
  </rowFields>
  <rowItems count="4">
    <i>
      <x v="3"/>
    </i>
    <i r="1">
      <x/>
    </i>
    <i r="1">
      <x v="1"/>
    </i>
    <i t="grand">
      <x/>
    </i>
  </rowItems>
  <colItems count="1">
    <i/>
  </colItems>
  <dataFields count="1">
    <dataField name="Sum of Invetory Coversion period" fld="1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7F37D0A-1A8D-4715-AA78-903D5E50EE34}" sourceName="Years">
  <pivotTables>
    <pivotTable tabId="8" name="PivotTable1"/>
    <pivotTable tabId="22" name="PivotTable15"/>
    <pivotTable tabId="21" name="PivotTable14"/>
    <pivotTable tabId="17" name="PivotTable10"/>
    <pivotTable tabId="10" name="PivotTable3"/>
    <pivotTable tabId="13" name="PivotTable6"/>
    <pivotTable tabId="14" name="PivotTable7"/>
    <pivotTable tabId="16" name="PivotTable9"/>
    <pivotTable tabId="12" name="PivotTable5"/>
    <pivotTable tabId="9" name="PivotTable2"/>
    <pivotTable tabId="11" name="PivotTable4"/>
    <pivotTable tabId="18" name="PivotTable11"/>
    <pivotTable tabId="15" name="PivotTable8"/>
    <pivotTable tabId="20" name="PivotTable13"/>
    <pivotTable tabId="19" name="PivotTable12"/>
  </pivotTables>
  <data>
    <tabular pivotCacheId="1309845786">
      <items count="10">
        <i x="0"/>
        <i x="1"/>
        <i x="2"/>
        <i x="3" s="1"/>
        <i x="4"/>
        <i x="5"/>
        <i x="6"/>
        <i x="7"/>
        <i x="8"/>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330F7550-E823-4931-ABBF-3832B90E9311}" sourceName="Company">
  <pivotTables>
    <pivotTable tabId="8" name="PivotTable1"/>
    <pivotTable tabId="22" name="PivotTable15"/>
    <pivotTable tabId="21" name="PivotTable14"/>
    <pivotTable tabId="17" name="PivotTable10"/>
    <pivotTable tabId="10" name="PivotTable3"/>
    <pivotTable tabId="13" name="PivotTable6"/>
    <pivotTable tabId="14" name="PivotTable7"/>
    <pivotTable tabId="16" name="PivotTable9"/>
    <pivotTable tabId="12" name="PivotTable5"/>
    <pivotTable tabId="9" name="PivotTable2"/>
    <pivotTable tabId="11" name="PivotTable4"/>
    <pivotTable tabId="18" name="PivotTable11"/>
    <pivotTable tabId="15" name="PivotTable8"/>
    <pivotTable tabId="20" name="PivotTable13"/>
    <pivotTable tabId="19" name="PivotTable12"/>
  </pivotTables>
  <data>
    <tabular pivotCacheId="130984578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64D8934B-C280-48F1-A8AC-03A1E7253770}" cache="Slicer_Years" caption="Years" rowHeight="241300"/>
  <slicer name="Company 1" xr10:uid="{B3A44EDB-BCC8-4CBD-8CCF-1F97DC9F2C76}" cache="Slicer_Company" caption="Compan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72ACA855-918F-4818-B503-6364B70AB5D9}" cache="Slicer_Years" caption="Years" rowHeight="241300"/>
  <slicer name="Company" xr10:uid="{6501C124-0049-4B47-8661-3B62037A9392}" cache="Slicer_Company" caption="Compan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N23" headerRowCount="0" totalsRowShown="0" headerRowDxfId="30">
  <tableColumns count="14">
    <tableColumn id="1" xr3:uid="{00000000-0010-0000-0000-000001000000}" name="Column1" headerRowDxfId="29" dataDxfId="28"/>
    <tableColumn id="2" xr3:uid="{00000000-0010-0000-0000-000002000000}" name="Column2" headerRowDxfId="27"/>
    <tableColumn id="3" xr3:uid="{00000000-0010-0000-0000-000003000000}" name="Column3" headerRowDxfId="26"/>
    <tableColumn id="4" xr3:uid="{00000000-0010-0000-0000-000004000000}" name="Column4" headerRowDxfId="25"/>
    <tableColumn id="5" xr3:uid="{00000000-0010-0000-0000-000005000000}" name="Column5" headerRowDxfId="24"/>
    <tableColumn id="6" xr3:uid="{00000000-0010-0000-0000-000006000000}" name="Column6" headerRowDxfId="23"/>
    <tableColumn id="7" xr3:uid="{00000000-0010-0000-0000-000007000000}" name="Column7" headerRowDxfId="22"/>
    <tableColumn id="8" xr3:uid="{00000000-0010-0000-0000-000008000000}" name="Column8" headerRowDxfId="21"/>
    <tableColumn id="9" xr3:uid="{00000000-0010-0000-0000-000009000000}" name="Column9" headerRowDxfId="20"/>
    <tableColumn id="10" xr3:uid="{00000000-0010-0000-0000-00000A000000}" name="Column10" headerRowDxfId="19"/>
    <tableColumn id="11" xr3:uid="{00000000-0010-0000-0000-00000B000000}" name="Column11" headerRowDxfId="18"/>
    <tableColumn id="12" xr3:uid="{00000000-0010-0000-0000-00000C000000}" name="Column12" headerRowDxfId="17"/>
    <tableColumn id="13" xr3:uid="{00000000-0010-0000-0000-00000D000000}" name="Column13" headerRowDxfId="16" dataDxfId="15"/>
    <tableColumn id="14" xr3:uid="{00000000-0010-0000-0000-00000E000000}" name="Column14" headerRowDxfId="14" dataDxfId="1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4" headerRowCount="0" totalsRowShown="0" headerRowDxfId="12">
  <tableColumns count="11">
    <tableColumn id="1" xr3:uid="{00000000-0010-0000-0100-000001000000}" name="Column1" headerRowDxfId="11"/>
    <tableColumn id="2" xr3:uid="{00000000-0010-0000-0100-000002000000}" name="Column2" headerRowDxfId="10"/>
    <tableColumn id="3" xr3:uid="{00000000-0010-0000-0100-000003000000}" name="Column3" headerRowDxfId="9"/>
    <tableColumn id="4" xr3:uid="{00000000-0010-0000-0100-000004000000}" name="Column4" headerRowDxfId="8"/>
    <tableColumn id="5" xr3:uid="{00000000-0010-0000-0100-000005000000}" name="Column5" headerRowDxfId="7"/>
    <tableColumn id="6" xr3:uid="{00000000-0010-0000-0100-000006000000}" name="Column6" headerRowDxfId="6"/>
    <tableColumn id="7" xr3:uid="{00000000-0010-0000-0100-000007000000}" name="Column7" headerRowDxfId="5"/>
    <tableColumn id="8" xr3:uid="{00000000-0010-0000-0100-000008000000}" name="Column8" headerRowDxfId="4"/>
    <tableColumn id="9" xr3:uid="{00000000-0010-0000-0100-000009000000}" name="Column9" headerRowDxfId="3"/>
    <tableColumn id="10" xr3:uid="{00000000-0010-0000-0100-00000A000000}" name="Column10" headerRowDxfId="2"/>
    <tableColumn id="11" xr3:uid="{00000000-0010-0000-0100-00000B000000}" name="Column11" headerRow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3.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15.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9.bin"/><Relationship Id="rId1" Type="http://schemas.openxmlformats.org/officeDocument/2006/relationships/hyperlink" Target="http://www.screener.in/"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screener.in/exce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4.bin"/><Relationship Id="rId1" Type="http://schemas.openxmlformats.org/officeDocument/2006/relationships/hyperlink" Target="http://www.screener.in/"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reener.i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creener.i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769D7-8B92-46EC-B110-A764061FE7F2}">
  <dimension ref="A1:AC442"/>
  <sheetViews>
    <sheetView showGridLines="0" topLeftCell="D1" zoomScale="56" zoomScaleNormal="56" workbookViewId="0">
      <selection activeCell="N36" sqref="N36"/>
    </sheetView>
  </sheetViews>
  <sheetFormatPr defaultRowHeight="14" x14ac:dyDescent="0.3"/>
  <cols>
    <col min="1" max="1" width="3.26953125" style="113" customWidth="1"/>
    <col min="2" max="2" width="37.453125" style="112" customWidth="1"/>
    <col min="3" max="3" width="11.7265625" style="112" customWidth="1"/>
    <col min="4" max="4" width="13.26953125" style="112" customWidth="1"/>
    <col min="5" max="5" width="11.26953125" style="112" customWidth="1"/>
    <col min="6" max="6" width="11.90625" style="112" customWidth="1"/>
    <col min="7" max="7" width="12.54296875" style="112" customWidth="1"/>
    <col min="8" max="8" width="14.6328125" style="112" customWidth="1"/>
    <col min="9" max="9" width="9.36328125" style="112" bestFit="1" customWidth="1"/>
    <col min="10" max="10" width="36.08984375" style="112" customWidth="1"/>
    <col min="11" max="11" width="8.81640625" style="112" customWidth="1"/>
    <col min="12" max="12" width="8.81640625" style="112" bestFit="1" customWidth="1"/>
    <col min="13" max="13" width="9.7265625" style="112" customWidth="1"/>
    <col min="14" max="14" width="10" style="112" customWidth="1"/>
    <col min="15" max="15" width="8.81640625" style="112" customWidth="1"/>
    <col min="16" max="16" width="12.54296875" style="112" customWidth="1"/>
    <col min="17" max="17" width="10.36328125" style="112" customWidth="1"/>
    <col min="18" max="18" width="11.81640625" style="112" customWidth="1"/>
    <col min="19" max="19" width="36.1796875" style="112" customWidth="1"/>
    <col min="20" max="20" width="9.7265625" style="112" customWidth="1"/>
    <col min="21" max="21" width="10.08984375" style="112" customWidth="1"/>
    <col min="22" max="22" width="9.6328125" style="112" customWidth="1"/>
    <col min="23" max="23" width="9.7265625" style="112" customWidth="1"/>
    <col min="24" max="24" width="9.6328125" style="112" customWidth="1"/>
    <col min="25" max="25" width="11.08984375" style="112" customWidth="1"/>
    <col min="26" max="26" width="8.7265625" style="112"/>
    <col min="27" max="27" width="30.1796875" style="112" bestFit="1" customWidth="1"/>
    <col min="28" max="28" width="8.453125" style="112" bestFit="1" customWidth="1"/>
    <col min="29" max="16384" width="8.7265625" style="112"/>
  </cols>
  <sheetData>
    <row r="1" spans="1:29" s="110" customFormat="1" ht="14.5" thickBot="1" x14ac:dyDescent="0.35">
      <c r="A1" s="229"/>
      <c r="B1" s="230" t="s">
        <v>288</v>
      </c>
      <c r="C1" s="230"/>
      <c r="D1" s="230"/>
      <c r="E1" s="230"/>
      <c r="F1" s="230"/>
      <c r="G1" s="230"/>
      <c r="H1" s="230"/>
      <c r="I1" s="163"/>
      <c r="J1" s="234" t="s">
        <v>168</v>
      </c>
      <c r="K1" s="234"/>
      <c r="L1" s="234"/>
      <c r="M1" s="234"/>
      <c r="N1" s="234"/>
      <c r="O1" s="234"/>
      <c r="P1" s="163"/>
      <c r="Q1" s="163"/>
      <c r="R1" s="163"/>
      <c r="S1" s="234" t="s">
        <v>168</v>
      </c>
      <c r="T1" s="234"/>
      <c r="U1" s="234"/>
      <c r="V1" s="234"/>
      <c r="W1" s="234"/>
      <c r="X1" s="234"/>
      <c r="Y1" s="163"/>
    </row>
    <row r="2" spans="1:29" ht="14.5" customHeight="1" x14ac:dyDescent="0.3">
      <c r="A2" s="111"/>
      <c r="B2" s="190" t="s">
        <v>131</v>
      </c>
      <c r="C2" s="191">
        <v>43525</v>
      </c>
      <c r="D2" s="191">
        <v>43891</v>
      </c>
      <c r="E2" s="191">
        <v>44256</v>
      </c>
      <c r="F2" s="191">
        <v>44621</v>
      </c>
      <c r="G2" s="191">
        <v>44986</v>
      </c>
      <c r="H2" s="192" t="s">
        <v>132</v>
      </c>
      <c r="I2" s="163"/>
      <c r="J2" s="217" t="s">
        <v>169</v>
      </c>
      <c r="K2" s="218">
        <v>43525</v>
      </c>
      <c r="L2" s="218">
        <v>43891</v>
      </c>
      <c r="M2" s="218">
        <v>44256</v>
      </c>
      <c r="N2" s="218">
        <v>44621</v>
      </c>
      <c r="O2" s="218">
        <v>44986</v>
      </c>
      <c r="P2" s="163"/>
      <c r="Q2" s="163"/>
      <c r="R2" s="163"/>
      <c r="S2" s="217" t="s">
        <v>169</v>
      </c>
      <c r="T2" s="218">
        <v>43525</v>
      </c>
      <c r="U2" s="218">
        <v>43891</v>
      </c>
      <c r="V2" s="218">
        <v>44256</v>
      </c>
      <c r="W2" s="218">
        <v>44621</v>
      </c>
      <c r="X2" s="218">
        <v>44986</v>
      </c>
      <c r="Y2" s="163"/>
    </row>
    <row r="3" spans="1:29" s="110" customFormat="1" x14ac:dyDescent="0.3">
      <c r="A3" s="229"/>
      <c r="B3" s="189" t="s">
        <v>133</v>
      </c>
      <c r="C3" s="116"/>
      <c r="D3" s="116"/>
      <c r="E3" s="116"/>
      <c r="F3" s="116"/>
      <c r="G3" s="116"/>
      <c r="H3" s="116"/>
      <c r="I3" s="163"/>
      <c r="J3" s="229" t="s">
        <v>170</v>
      </c>
      <c r="K3" s="132">
        <f>C5</f>
        <v>10389.49</v>
      </c>
      <c r="L3" s="132">
        <f>D5</f>
        <v>10820.57</v>
      </c>
      <c r="M3" s="132">
        <f>E5</f>
        <v>12113.65</v>
      </c>
      <c r="N3" s="132">
        <f>F5</f>
        <v>13169.04</v>
      </c>
      <c r="O3" s="132">
        <f>G5</f>
        <v>15285.12</v>
      </c>
      <c r="P3" s="163"/>
      <c r="Q3" s="163"/>
      <c r="R3" s="163"/>
      <c r="S3" s="229" t="s">
        <v>170</v>
      </c>
      <c r="T3" s="132"/>
      <c r="U3" s="133">
        <f t="shared" ref="U3:U17" si="0">(L3-$K3)/$K3</f>
        <v>4.1491930787747995E-2</v>
      </c>
      <c r="V3" s="133">
        <f t="shared" ref="V3:V17" si="1">(M3-$K3)/$K3</f>
        <v>0.16595232297254242</v>
      </c>
      <c r="W3" s="133">
        <f t="shared" ref="W3:W17" si="2">(N3-$K3)/$K3</f>
        <v>0.26753478755935095</v>
      </c>
      <c r="X3" s="133">
        <f t="shared" ref="X3:X17" si="3">(O3-$K3)/$K3</f>
        <v>0.47120984764410967</v>
      </c>
      <c r="Y3" s="163"/>
    </row>
    <row r="4" spans="1:29" s="110" customFormat="1" ht="19" customHeight="1" x14ac:dyDescent="0.3">
      <c r="A4" s="229"/>
      <c r="B4" s="116" t="s">
        <v>134</v>
      </c>
      <c r="C4" s="125">
        <v>10389.49</v>
      </c>
      <c r="D4" s="125">
        <v>10820.57</v>
      </c>
      <c r="E4" s="125">
        <v>12113.65</v>
      </c>
      <c r="F4" s="125">
        <v>13169.04</v>
      </c>
      <c r="G4" s="125">
        <v>15285.12</v>
      </c>
      <c r="H4" s="112"/>
      <c r="I4" s="163"/>
      <c r="J4" s="135" t="s">
        <v>171</v>
      </c>
      <c r="K4" s="136">
        <f>C6-C5</f>
        <v>92.960000000000946</v>
      </c>
      <c r="L4" s="136">
        <f>D6-D5</f>
        <v>166.11000000000058</v>
      </c>
      <c r="M4" s="136">
        <f>E6-E5</f>
        <v>265.18000000000029</v>
      </c>
      <c r="N4" s="136">
        <f>F6-F5</f>
        <v>202.57999999999993</v>
      </c>
      <c r="O4" s="136">
        <f>G6-G5</f>
        <v>333.29999999999927</v>
      </c>
      <c r="P4" s="163"/>
      <c r="Q4" s="163"/>
      <c r="R4" s="163"/>
      <c r="S4" s="135" t="s">
        <v>171</v>
      </c>
      <c r="T4" s="136"/>
      <c r="U4" s="133">
        <f t="shared" si="0"/>
        <v>0.78689759036143381</v>
      </c>
      <c r="V4" s="133">
        <f t="shared" si="1"/>
        <v>1.8526247848536745</v>
      </c>
      <c r="W4" s="133">
        <f t="shared" si="2"/>
        <v>1.1792168674698567</v>
      </c>
      <c r="X4" s="133">
        <f t="shared" si="3"/>
        <v>2.5854130808949645</v>
      </c>
      <c r="Y4" s="163"/>
    </row>
    <row r="5" spans="1:29" ht="20" customHeight="1" x14ac:dyDescent="0.3">
      <c r="B5" s="118" t="s">
        <v>135</v>
      </c>
      <c r="C5" s="119">
        <v>10389.49</v>
      </c>
      <c r="D5" s="119">
        <v>10820.57</v>
      </c>
      <c r="E5" s="119">
        <v>12113.65</v>
      </c>
      <c r="F5" s="119">
        <v>13169.04</v>
      </c>
      <c r="G5" s="119">
        <v>15285.12</v>
      </c>
      <c r="I5" s="163"/>
      <c r="J5" s="137" t="s">
        <v>172</v>
      </c>
      <c r="K5" s="138">
        <f>K3+K4</f>
        <v>10482.450000000001</v>
      </c>
      <c r="L5" s="138">
        <f t="shared" ref="L5:O5" si="4">L3+L4</f>
        <v>10986.68</v>
      </c>
      <c r="M5" s="138">
        <f t="shared" si="4"/>
        <v>12378.83</v>
      </c>
      <c r="N5" s="138">
        <f t="shared" si="4"/>
        <v>13371.62</v>
      </c>
      <c r="O5" s="138">
        <f t="shared" si="4"/>
        <v>15618.42</v>
      </c>
      <c r="P5" s="163"/>
      <c r="Q5" s="163"/>
      <c r="R5" s="163"/>
      <c r="S5" s="137" t="s">
        <v>172</v>
      </c>
      <c r="T5" s="138"/>
      <c r="U5" s="133">
        <f t="shared" si="0"/>
        <v>4.8102304327709601E-2</v>
      </c>
      <c r="V5" s="133">
        <f t="shared" si="1"/>
        <v>0.18090999718577233</v>
      </c>
      <c r="W5" s="133">
        <f t="shared" si="2"/>
        <v>0.27561972630444215</v>
      </c>
      <c r="X5" s="133">
        <f t="shared" si="3"/>
        <v>0.4899589313566961</v>
      </c>
      <c r="Y5" s="163"/>
      <c r="Z5" s="110"/>
      <c r="AA5" s="110"/>
      <c r="AB5" s="110"/>
      <c r="AC5" s="110"/>
    </row>
    <row r="6" spans="1:29" ht="14.5" thickBot="1" x14ac:dyDescent="0.35">
      <c r="B6" s="118" t="s">
        <v>136</v>
      </c>
      <c r="C6" s="119">
        <v>10482.450000000001</v>
      </c>
      <c r="D6" s="119">
        <v>10986.68</v>
      </c>
      <c r="E6" s="119">
        <v>12378.83</v>
      </c>
      <c r="F6" s="119">
        <v>13371.62</v>
      </c>
      <c r="G6" s="119">
        <v>15618.42</v>
      </c>
      <c r="I6" s="163"/>
      <c r="J6" s="135" t="s">
        <v>173</v>
      </c>
      <c r="K6" s="139">
        <f>C7</f>
        <v>190.52</v>
      </c>
      <c r="L6" s="139">
        <f>D7</f>
        <v>335.43</v>
      </c>
      <c r="M6" s="139">
        <f>E7</f>
        <v>292.7</v>
      </c>
      <c r="N6" s="139">
        <f>F7</f>
        <v>359.43</v>
      </c>
      <c r="O6" s="139">
        <f>G7</f>
        <v>220.59</v>
      </c>
      <c r="P6" s="163"/>
      <c r="Q6" s="163"/>
      <c r="R6" s="163"/>
      <c r="S6" s="135" t="s">
        <v>173</v>
      </c>
      <c r="U6" s="133">
        <f t="shared" si="0"/>
        <v>0.76060256141087546</v>
      </c>
      <c r="V6" s="133">
        <f t="shared" si="1"/>
        <v>0.53632164602141497</v>
      </c>
      <c r="W6" s="133">
        <f t="shared" si="2"/>
        <v>0.88657358807474274</v>
      </c>
      <c r="X6" s="133">
        <f t="shared" si="3"/>
        <v>0.15783119882427038</v>
      </c>
      <c r="Y6" s="163"/>
      <c r="Z6" s="110"/>
      <c r="AA6" s="110"/>
      <c r="AB6" s="110"/>
      <c r="AC6" s="110"/>
    </row>
    <row r="7" spans="1:29" ht="14.5" thickBot="1" x14ac:dyDescent="0.35">
      <c r="B7" s="120" t="s">
        <v>9</v>
      </c>
      <c r="C7" s="121">
        <v>190.52</v>
      </c>
      <c r="D7" s="121">
        <v>335.43</v>
      </c>
      <c r="E7" s="121">
        <v>292.7</v>
      </c>
      <c r="F7" s="121">
        <v>359.43</v>
      </c>
      <c r="G7" s="121">
        <v>220.59</v>
      </c>
      <c r="I7" s="163"/>
      <c r="J7" s="140" t="s">
        <v>137</v>
      </c>
      <c r="K7" s="141">
        <f>K5+K6</f>
        <v>10672.970000000001</v>
      </c>
      <c r="L7" s="141">
        <f t="shared" ref="L7:O7" si="5">L5+L6</f>
        <v>11322.11</v>
      </c>
      <c r="M7" s="141">
        <f t="shared" si="5"/>
        <v>12671.53</v>
      </c>
      <c r="N7" s="141">
        <f t="shared" si="5"/>
        <v>13731.050000000001</v>
      </c>
      <c r="O7" s="141">
        <f t="shared" si="5"/>
        <v>15839.01</v>
      </c>
      <c r="P7" s="163"/>
      <c r="Q7" s="163"/>
      <c r="R7" s="163"/>
      <c r="S7" s="140" t="s">
        <v>137</v>
      </c>
      <c r="T7" s="141"/>
      <c r="U7" s="142">
        <f t="shared" si="0"/>
        <v>6.0820933629533239E-2</v>
      </c>
      <c r="V7" s="142">
        <f t="shared" si="1"/>
        <v>0.18725434438586441</v>
      </c>
      <c r="W7" s="142">
        <f t="shared" si="2"/>
        <v>0.28652568123024796</v>
      </c>
      <c r="X7" s="142">
        <f t="shared" si="3"/>
        <v>0.48403021839281835</v>
      </c>
      <c r="Y7" s="163"/>
      <c r="Z7" s="110"/>
      <c r="AA7" s="110"/>
      <c r="AB7" s="110"/>
      <c r="AC7" s="110"/>
    </row>
    <row r="8" spans="1:29" ht="14.5" thickBot="1" x14ac:dyDescent="0.35">
      <c r="B8" s="122" t="s">
        <v>137</v>
      </c>
      <c r="C8" s="123">
        <v>10672.97</v>
      </c>
      <c r="D8" s="123">
        <v>11322.11</v>
      </c>
      <c r="E8" s="123">
        <v>12671.53</v>
      </c>
      <c r="F8" s="123">
        <v>13731.05</v>
      </c>
      <c r="G8" s="123">
        <v>15839.01</v>
      </c>
      <c r="I8" s="163"/>
      <c r="J8" s="137" t="s">
        <v>174</v>
      </c>
      <c r="K8" s="138">
        <f>C10+C11+C12+C13</f>
        <v>6277.63</v>
      </c>
      <c r="L8" s="138">
        <f>D10+D11+D12+D13</f>
        <v>6657.7300000000005</v>
      </c>
      <c r="M8" s="138">
        <f>E10+E11+E12+E13</f>
        <v>7374.9699999999993</v>
      </c>
      <c r="N8" s="138">
        <f>F10+F11+F12+F13</f>
        <v>8475.760000000002</v>
      </c>
      <c r="O8" s="138">
        <f>G10+G11+G12+G13</f>
        <v>9455.380000000001</v>
      </c>
      <c r="P8" s="163"/>
      <c r="Q8" s="163"/>
      <c r="R8" s="163"/>
      <c r="S8" s="137" t="s">
        <v>174</v>
      </c>
      <c r="T8" s="138"/>
      <c r="U8" s="133">
        <f t="shared" si="0"/>
        <v>6.0548327951790777E-2</v>
      </c>
      <c r="V8" s="133">
        <f t="shared" si="1"/>
        <v>0.17480163692348852</v>
      </c>
      <c r="W8" s="133">
        <f t="shared" si="2"/>
        <v>0.35015284430589283</v>
      </c>
      <c r="X8" s="133">
        <f t="shared" si="3"/>
        <v>0.50620218139648254</v>
      </c>
      <c r="Y8" s="163"/>
      <c r="Z8" s="110"/>
      <c r="AA8" s="110"/>
      <c r="AB8" s="110"/>
      <c r="AC8" s="110"/>
    </row>
    <row r="9" spans="1:29" x14ac:dyDescent="0.3">
      <c r="B9" s="189" t="s">
        <v>138</v>
      </c>
      <c r="C9" s="168"/>
      <c r="D9" s="168"/>
      <c r="E9" s="168"/>
      <c r="F9" s="168"/>
      <c r="G9" s="168"/>
      <c r="I9" s="163"/>
      <c r="J9" s="144" t="s">
        <v>175</v>
      </c>
      <c r="K9" s="141">
        <f>K7-K8</f>
        <v>4395.3400000000011</v>
      </c>
      <c r="L9" s="141">
        <f t="shared" ref="L9:O9" si="6">L7-L8</f>
        <v>4664.38</v>
      </c>
      <c r="M9" s="141">
        <f t="shared" si="6"/>
        <v>5296.5600000000013</v>
      </c>
      <c r="N9" s="141">
        <f t="shared" si="6"/>
        <v>5255.2899999999991</v>
      </c>
      <c r="O9" s="141">
        <f t="shared" si="6"/>
        <v>6383.6299999999992</v>
      </c>
      <c r="P9" s="163"/>
      <c r="Q9" s="163"/>
      <c r="R9" s="163"/>
      <c r="S9" s="144" t="s">
        <v>175</v>
      </c>
      <c r="T9" s="141"/>
      <c r="U9" s="142">
        <f t="shared" si="0"/>
        <v>6.121028179844995E-2</v>
      </c>
      <c r="V9" s="142">
        <f t="shared" si="1"/>
        <v>0.20503988314897142</v>
      </c>
      <c r="W9" s="142">
        <f t="shared" si="2"/>
        <v>0.19565039337116077</v>
      </c>
      <c r="X9" s="142">
        <f t="shared" si="3"/>
        <v>0.45236318464555592</v>
      </c>
      <c r="Y9" s="163"/>
      <c r="Z9" s="110"/>
      <c r="AA9" s="110"/>
      <c r="AB9" s="110"/>
      <c r="AC9" s="110"/>
    </row>
    <row r="10" spans="1:29" ht="14.5" thickBot="1" x14ac:dyDescent="0.35">
      <c r="B10" s="120" t="s">
        <v>139</v>
      </c>
      <c r="C10" s="124">
        <v>4944.7700000000004</v>
      </c>
      <c r="D10" s="124">
        <v>5052.67</v>
      </c>
      <c r="E10" s="124">
        <v>5509.69</v>
      </c>
      <c r="F10" s="124">
        <v>6366.31</v>
      </c>
      <c r="G10" s="124">
        <v>7084.09</v>
      </c>
      <c r="I10" s="163"/>
      <c r="J10" s="229" t="s">
        <v>176</v>
      </c>
      <c r="K10" s="138">
        <f>C14+C17</f>
        <v>2542.69</v>
      </c>
      <c r="L10" s="138">
        <f>D14+D17</f>
        <v>2558.2599999999998</v>
      </c>
      <c r="M10" s="138">
        <f>E14+E17</f>
        <v>2652.54</v>
      </c>
      <c r="N10" s="138">
        <f>F14+F17</f>
        <v>2806.7</v>
      </c>
      <c r="O10" s="138">
        <f>G14+G17</f>
        <v>3421.25</v>
      </c>
      <c r="P10" s="163"/>
      <c r="Q10" s="163"/>
      <c r="R10" s="163"/>
      <c r="S10" s="229" t="s">
        <v>176</v>
      </c>
      <c r="T10" s="138"/>
      <c r="U10" s="133">
        <f t="shared" si="0"/>
        <v>6.1234362033907828E-3</v>
      </c>
      <c r="V10" s="133">
        <f t="shared" si="1"/>
        <v>4.3202277902536251E-2</v>
      </c>
      <c r="W10" s="133">
        <f t="shared" si="2"/>
        <v>0.10383098214882654</v>
      </c>
      <c r="X10" s="133">
        <f t="shared" si="3"/>
        <v>0.34552383499364842</v>
      </c>
      <c r="Y10" s="163"/>
      <c r="Z10" s="110"/>
      <c r="AA10" s="110"/>
      <c r="AB10" s="110"/>
      <c r="AC10" s="110"/>
    </row>
    <row r="11" spans="1:29" x14ac:dyDescent="0.3">
      <c r="B11" s="120" t="s">
        <v>140</v>
      </c>
      <c r="C11" s="124">
        <v>1381.88</v>
      </c>
      <c r="D11" s="124">
        <v>1543.55</v>
      </c>
      <c r="E11" s="124">
        <v>1908.5</v>
      </c>
      <c r="F11" s="124">
        <v>2183.41</v>
      </c>
      <c r="G11" s="124">
        <v>2453.42</v>
      </c>
      <c r="I11" s="163"/>
      <c r="J11" s="144" t="s">
        <v>177</v>
      </c>
      <c r="K11" s="145">
        <f>K9-K10</f>
        <v>1852.650000000001</v>
      </c>
      <c r="L11" s="145">
        <f t="shared" ref="L11:O11" si="7">L9-L10</f>
        <v>2106.1200000000003</v>
      </c>
      <c r="M11" s="145">
        <f t="shared" si="7"/>
        <v>2644.0200000000013</v>
      </c>
      <c r="N11" s="145">
        <f t="shared" si="7"/>
        <v>2448.5899999999992</v>
      </c>
      <c r="O11" s="145">
        <f t="shared" si="7"/>
        <v>2962.3799999999992</v>
      </c>
      <c r="P11" s="163"/>
      <c r="Q11" s="163"/>
      <c r="R11" s="163"/>
      <c r="S11" s="144" t="s">
        <v>177</v>
      </c>
      <c r="T11" s="145"/>
      <c r="U11" s="142">
        <f t="shared" si="0"/>
        <v>0.13681483280705972</v>
      </c>
      <c r="V11" s="142">
        <f t="shared" si="1"/>
        <v>0.42715569589506919</v>
      </c>
      <c r="W11" s="142">
        <f t="shared" si="2"/>
        <v>0.3216689606779467</v>
      </c>
      <c r="X11" s="142">
        <f t="shared" si="3"/>
        <v>0.59899603270990076</v>
      </c>
      <c r="Y11" s="163"/>
      <c r="Z11" s="110"/>
      <c r="AA11" s="110"/>
      <c r="AB11" s="114"/>
      <c r="AC11" s="110"/>
    </row>
    <row r="12" spans="1:29" ht="14.5" thickBot="1" x14ac:dyDescent="0.35">
      <c r="B12" s="120" t="s">
        <v>141</v>
      </c>
      <c r="C12" s="121">
        <v>0</v>
      </c>
      <c r="D12" s="121">
        <v>0</v>
      </c>
      <c r="E12" s="121">
        <v>0</v>
      </c>
      <c r="F12" s="121">
        <v>0</v>
      </c>
      <c r="G12" s="121">
        <v>0</v>
      </c>
      <c r="I12" s="163"/>
      <c r="J12" s="229" t="s">
        <v>178</v>
      </c>
      <c r="K12" s="110">
        <f>C16</f>
        <v>135</v>
      </c>
      <c r="L12" s="110">
        <f>D16</f>
        <v>151.69</v>
      </c>
      <c r="M12" s="110">
        <f>E16</f>
        <v>166.77</v>
      </c>
      <c r="N12" s="110">
        <f>F16</f>
        <v>170.01</v>
      </c>
      <c r="O12" s="110">
        <f>G16</f>
        <v>195.1</v>
      </c>
      <c r="P12" s="163"/>
      <c r="Q12" s="163"/>
      <c r="R12" s="163"/>
      <c r="S12" s="229" t="s">
        <v>178</v>
      </c>
      <c r="T12" s="110"/>
      <c r="U12" s="133">
        <f t="shared" si="0"/>
        <v>0.12362962962962962</v>
      </c>
      <c r="V12" s="133">
        <f t="shared" si="1"/>
        <v>0.23533333333333342</v>
      </c>
      <c r="W12" s="133">
        <f t="shared" si="2"/>
        <v>0.25933333333333325</v>
      </c>
      <c r="X12" s="133">
        <f t="shared" si="3"/>
        <v>0.44518518518518513</v>
      </c>
      <c r="Y12" s="163"/>
      <c r="Z12" s="110"/>
      <c r="AA12" s="110"/>
      <c r="AB12" s="110"/>
      <c r="AC12" s="110"/>
    </row>
    <row r="13" spans="1:29" ht="18" customHeight="1" x14ac:dyDescent="0.3">
      <c r="B13" s="120" t="s">
        <v>142</v>
      </c>
      <c r="C13" s="121">
        <v>-49.02</v>
      </c>
      <c r="D13" s="121">
        <v>61.51</v>
      </c>
      <c r="E13" s="121">
        <v>-43.22</v>
      </c>
      <c r="F13" s="121">
        <v>-73.959999999999994</v>
      </c>
      <c r="G13" s="121">
        <v>-82.13</v>
      </c>
      <c r="I13" s="163"/>
      <c r="J13" s="144" t="s">
        <v>179</v>
      </c>
      <c r="K13" s="145">
        <f>K11-K12</f>
        <v>1717.650000000001</v>
      </c>
      <c r="L13" s="145">
        <f t="shared" ref="L13:O13" si="8">L11-L12</f>
        <v>1954.4300000000003</v>
      </c>
      <c r="M13" s="145">
        <f t="shared" si="8"/>
        <v>2477.2500000000014</v>
      </c>
      <c r="N13" s="145">
        <f t="shared" si="8"/>
        <v>2278.579999999999</v>
      </c>
      <c r="O13" s="145">
        <f t="shared" si="8"/>
        <v>2767.2799999999993</v>
      </c>
      <c r="P13" s="163"/>
      <c r="Q13" s="163"/>
      <c r="R13" s="163"/>
      <c r="S13" s="144" t="s">
        <v>179</v>
      </c>
      <c r="T13" s="145"/>
      <c r="U13" s="142">
        <f t="shared" si="0"/>
        <v>0.1378511338165512</v>
      </c>
      <c r="V13" s="142">
        <f t="shared" si="1"/>
        <v>0.4422321194655488</v>
      </c>
      <c r="W13" s="142">
        <f t="shared" si="2"/>
        <v>0.32656827642418285</v>
      </c>
      <c r="X13" s="142">
        <f t="shared" si="3"/>
        <v>0.61108491252583341</v>
      </c>
      <c r="Y13" s="163"/>
      <c r="Z13" s="110"/>
      <c r="AA13" s="110"/>
      <c r="AB13" s="110"/>
      <c r="AC13" s="110"/>
    </row>
    <row r="14" spans="1:29" ht="14.5" thickBot="1" x14ac:dyDescent="0.35">
      <c r="B14" s="120" t="s">
        <v>143</v>
      </c>
      <c r="C14" s="121">
        <v>321.64</v>
      </c>
      <c r="D14" s="121">
        <v>368.87</v>
      </c>
      <c r="E14" s="121">
        <v>402.85</v>
      </c>
      <c r="F14" s="121">
        <v>413.56</v>
      </c>
      <c r="G14" s="121">
        <v>520.54999999999995</v>
      </c>
      <c r="I14" s="163"/>
      <c r="J14" s="229" t="s">
        <v>180</v>
      </c>
      <c r="K14" s="110">
        <f>C15</f>
        <v>1.54</v>
      </c>
      <c r="L14" s="110">
        <f>D15</f>
        <v>65.17</v>
      </c>
      <c r="M14" s="110">
        <f>E15</f>
        <v>97.81</v>
      </c>
      <c r="N14" s="110">
        <f>F15</f>
        <v>133.46</v>
      </c>
      <c r="O14" s="110">
        <f>G15</f>
        <v>154.94999999999999</v>
      </c>
      <c r="P14" s="163"/>
      <c r="Q14" s="163"/>
      <c r="R14" s="163"/>
      <c r="S14" s="229" t="s">
        <v>180</v>
      </c>
      <c r="T14" s="110"/>
      <c r="U14" s="133">
        <f t="shared" si="0"/>
        <v>41.31818181818182</v>
      </c>
      <c r="V14" s="133">
        <f t="shared" si="1"/>
        <v>62.512987012987011</v>
      </c>
      <c r="W14" s="133">
        <f t="shared" si="2"/>
        <v>85.662337662337677</v>
      </c>
      <c r="X14" s="133">
        <f t="shared" si="3"/>
        <v>99.616883116883116</v>
      </c>
      <c r="Y14" s="163"/>
      <c r="Z14" s="110"/>
      <c r="AA14" s="110"/>
      <c r="AB14" s="110"/>
      <c r="AC14" s="110"/>
    </row>
    <row r="15" spans="1:29" x14ac:dyDescent="0.3">
      <c r="B15" s="120" t="s">
        <v>144</v>
      </c>
      <c r="C15" s="121">
        <v>1.54</v>
      </c>
      <c r="D15" s="121">
        <v>65.17</v>
      </c>
      <c r="E15" s="121">
        <v>97.81</v>
      </c>
      <c r="F15" s="121">
        <v>133.46</v>
      </c>
      <c r="G15" s="121">
        <v>154.94999999999999</v>
      </c>
      <c r="I15" s="163"/>
      <c r="J15" s="144" t="s">
        <v>181</v>
      </c>
      <c r="K15" s="145">
        <f>K13-K14</f>
        <v>1716.110000000001</v>
      </c>
      <c r="L15" s="145">
        <f t="shared" ref="L15:O15" si="9">L13-L14</f>
        <v>1889.2600000000002</v>
      </c>
      <c r="M15" s="145">
        <f t="shared" si="9"/>
        <v>2379.4400000000014</v>
      </c>
      <c r="N15" s="145">
        <f t="shared" si="9"/>
        <v>2145.119999999999</v>
      </c>
      <c r="O15" s="145">
        <f t="shared" si="9"/>
        <v>2612.3299999999995</v>
      </c>
      <c r="P15" s="163"/>
      <c r="Q15" s="163"/>
      <c r="R15" s="163"/>
      <c r="S15" s="144" t="s">
        <v>181</v>
      </c>
      <c r="T15" s="145"/>
      <c r="U15" s="142">
        <f t="shared" si="0"/>
        <v>0.10089679565995133</v>
      </c>
      <c r="V15" s="142">
        <f t="shared" si="1"/>
        <v>0.38653116641707114</v>
      </c>
      <c r="W15" s="142">
        <f t="shared" si="2"/>
        <v>0.24998980251848524</v>
      </c>
      <c r="X15" s="142">
        <f t="shared" si="3"/>
        <v>0.52223925039770058</v>
      </c>
      <c r="Y15" s="163"/>
      <c r="Z15" s="110"/>
      <c r="AA15" s="110"/>
      <c r="AB15" s="110"/>
      <c r="AC15" s="110"/>
    </row>
    <row r="16" spans="1:29" ht="14.5" thickBot="1" x14ac:dyDescent="0.35">
      <c r="B16" s="120" t="s">
        <v>145</v>
      </c>
      <c r="C16" s="121">
        <v>135</v>
      </c>
      <c r="D16" s="121">
        <v>151.69</v>
      </c>
      <c r="E16" s="121">
        <v>166.77</v>
      </c>
      <c r="F16" s="121">
        <v>170.01</v>
      </c>
      <c r="G16" s="121">
        <v>195.1</v>
      </c>
      <c r="I16" s="163"/>
      <c r="J16" s="229" t="s">
        <v>182</v>
      </c>
      <c r="K16" s="110">
        <f>C27</f>
        <v>593.91</v>
      </c>
      <c r="L16" s="110">
        <f>D27</f>
        <v>423.96</v>
      </c>
      <c r="M16" s="110">
        <f>E27</f>
        <v>619.41</v>
      </c>
      <c r="N16" s="110">
        <f>F27</f>
        <v>541.92999999999995</v>
      </c>
      <c r="O16" s="110">
        <f>G27</f>
        <v>700.77</v>
      </c>
      <c r="P16" s="163"/>
      <c r="Q16" s="163"/>
      <c r="R16" s="163"/>
      <c r="S16" s="229" t="s">
        <v>182</v>
      </c>
      <c r="T16" s="110"/>
      <c r="U16" s="133">
        <f t="shared" si="0"/>
        <v>-0.28615446784866394</v>
      </c>
      <c r="V16" s="133">
        <f t="shared" si="1"/>
        <v>4.2935798353285856E-2</v>
      </c>
      <c r="W16" s="133">
        <f t="shared" si="2"/>
        <v>-8.7521678368776445E-2</v>
      </c>
      <c r="X16" s="133">
        <f t="shared" si="3"/>
        <v>0.17992625145224028</v>
      </c>
      <c r="Y16" s="163"/>
      <c r="Z16" s="110"/>
      <c r="AA16" s="110"/>
      <c r="AB16" s="110"/>
      <c r="AC16" s="110"/>
    </row>
    <row r="17" spans="2:29" ht="14.5" thickBot="1" x14ac:dyDescent="0.35">
      <c r="B17" s="120" t="s">
        <v>86</v>
      </c>
      <c r="C17" s="124">
        <v>2221.0500000000002</v>
      </c>
      <c r="D17" s="124">
        <v>2189.39</v>
      </c>
      <c r="E17" s="124">
        <v>2249.69</v>
      </c>
      <c r="F17" s="124">
        <v>2393.14</v>
      </c>
      <c r="G17" s="124">
        <v>2900.7</v>
      </c>
      <c r="I17" s="163"/>
      <c r="J17" s="144" t="s">
        <v>183</v>
      </c>
      <c r="K17" s="145">
        <f>K15-K16</f>
        <v>1122.2000000000012</v>
      </c>
      <c r="L17" s="145">
        <f t="shared" ref="L17:O17" si="10">L15-L16</f>
        <v>1465.3000000000002</v>
      </c>
      <c r="M17" s="145">
        <f t="shared" si="10"/>
        <v>1760.0300000000016</v>
      </c>
      <c r="N17" s="145">
        <f t="shared" si="10"/>
        <v>1603.1899999999991</v>
      </c>
      <c r="O17" s="145">
        <f t="shared" si="10"/>
        <v>1911.5599999999995</v>
      </c>
      <c r="P17" s="163"/>
      <c r="Q17" s="163"/>
      <c r="R17" s="163"/>
      <c r="S17" s="144" t="s">
        <v>183</v>
      </c>
      <c r="T17" s="145"/>
      <c r="U17" s="142">
        <f t="shared" si="0"/>
        <v>0.30573872749955322</v>
      </c>
      <c r="V17" s="142">
        <f t="shared" si="1"/>
        <v>0.56837462127962901</v>
      </c>
      <c r="W17" s="142">
        <f t="shared" si="2"/>
        <v>0.42861343788985695</v>
      </c>
      <c r="X17" s="142">
        <f t="shared" si="3"/>
        <v>0.70340402780252853</v>
      </c>
      <c r="Y17" s="163"/>
      <c r="Z17" s="110"/>
      <c r="AA17" s="110"/>
      <c r="AB17" s="110"/>
      <c r="AC17" s="110"/>
    </row>
    <row r="18" spans="2:29" ht="14.5" thickBot="1" x14ac:dyDescent="0.35">
      <c r="B18" s="122" t="s">
        <v>146</v>
      </c>
      <c r="C18" s="123">
        <v>8956.86</v>
      </c>
      <c r="D18" s="123">
        <v>2189.39</v>
      </c>
      <c r="E18" s="123">
        <v>10292.09</v>
      </c>
      <c r="F18" s="123">
        <v>11585.93</v>
      </c>
      <c r="G18" s="123">
        <v>13226.68</v>
      </c>
      <c r="I18" s="163"/>
      <c r="J18" s="163"/>
      <c r="K18" s="163"/>
      <c r="L18" s="163"/>
      <c r="M18" s="163"/>
      <c r="N18" s="163"/>
      <c r="O18" s="163"/>
      <c r="P18" s="163"/>
      <c r="Q18" s="163"/>
      <c r="R18" s="163"/>
      <c r="S18" s="163"/>
      <c r="T18" s="163"/>
      <c r="U18" s="163"/>
      <c r="V18" s="163"/>
      <c r="W18" s="163"/>
      <c r="X18" s="163"/>
      <c r="Y18" s="163"/>
      <c r="Z18" s="110"/>
      <c r="AA18" s="110"/>
      <c r="AB18" s="114"/>
      <c r="AC18" s="110"/>
    </row>
    <row r="19" spans="2:29" ht="16" customHeight="1" thickBot="1" x14ac:dyDescent="0.35">
      <c r="B19" s="116" t="s">
        <v>147</v>
      </c>
      <c r="C19" s="125">
        <v>1716.11</v>
      </c>
      <c r="D19" s="126">
        <v>2189.39</v>
      </c>
      <c r="E19" s="125">
        <v>2379.44</v>
      </c>
      <c r="F19" s="125">
        <v>2145.12</v>
      </c>
      <c r="G19" s="125">
        <v>2612.33</v>
      </c>
      <c r="I19" s="163"/>
      <c r="J19" s="163"/>
      <c r="K19" s="163"/>
      <c r="L19" s="163"/>
      <c r="M19" s="163"/>
      <c r="N19" s="163"/>
      <c r="O19" s="163"/>
      <c r="P19" s="163"/>
      <c r="Q19" s="163"/>
      <c r="R19" s="163"/>
      <c r="S19" s="235" t="s">
        <v>168</v>
      </c>
      <c r="T19" s="235"/>
      <c r="U19" s="235"/>
      <c r="V19" s="235"/>
      <c r="W19" s="235"/>
      <c r="X19" s="235"/>
      <c r="Y19" s="163"/>
      <c r="Z19" s="110"/>
      <c r="AA19" s="110"/>
      <c r="AB19" s="110"/>
      <c r="AC19" s="110"/>
    </row>
    <row r="20" spans="2:29" ht="14.5" thickBot="1" x14ac:dyDescent="0.35">
      <c r="B20" s="120" t="s">
        <v>148</v>
      </c>
      <c r="C20" s="121">
        <v>0</v>
      </c>
      <c r="D20" s="124">
        <v>2189.39</v>
      </c>
      <c r="E20" s="121">
        <v>0</v>
      </c>
      <c r="F20" s="121">
        <v>0</v>
      </c>
      <c r="G20" s="121">
        <v>227.74</v>
      </c>
      <c r="I20" s="163"/>
      <c r="J20" s="231" t="s">
        <v>184</v>
      </c>
      <c r="K20" s="232"/>
      <c r="L20" s="232"/>
      <c r="M20" s="232"/>
      <c r="N20" s="232"/>
      <c r="O20" s="232"/>
      <c r="P20" s="232"/>
      <c r="Q20" s="233"/>
      <c r="R20" s="163"/>
      <c r="S20" s="115" t="s">
        <v>169</v>
      </c>
      <c r="T20" s="131">
        <v>43525</v>
      </c>
      <c r="U20" s="131">
        <v>43891</v>
      </c>
      <c r="V20" s="131">
        <v>44256</v>
      </c>
      <c r="W20" s="131">
        <v>44621</v>
      </c>
      <c r="X20" s="131">
        <v>44986</v>
      </c>
      <c r="Y20" s="163"/>
      <c r="Z20" s="110"/>
      <c r="AA20" s="110"/>
      <c r="AB20" s="110"/>
      <c r="AC20" s="110"/>
    </row>
    <row r="21" spans="2:29" ht="14.5" thickBot="1" x14ac:dyDescent="0.35">
      <c r="B21" s="116" t="s">
        <v>149</v>
      </c>
      <c r="C21" s="125">
        <v>1716.11</v>
      </c>
      <c r="D21" s="126">
        <v>2189.39</v>
      </c>
      <c r="E21" s="125">
        <v>2379.44</v>
      </c>
      <c r="F21" s="125">
        <v>2145.12</v>
      </c>
      <c r="G21" s="125">
        <v>2840.07</v>
      </c>
      <c r="I21" s="163"/>
      <c r="J21" s="186" t="s">
        <v>185</v>
      </c>
      <c r="K21" s="187">
        <v>43525</v>
      </c>
      <c r="L21" s="187">
        <v>43891</v>
      </c>
      <c r="M21" s="187">
        <v>44256</v>
      </c>
      <c r="N21" s="187">
        <v>44621</v>
      </c>
      <c r="O21" s="187">
        <v>44986</v>
      </c>
      <c r="P21" s="115" t="s">
        <v>186</v>
      </c>
      <c r="Q21" s="188" t="s">
        <v>187</v>
      </c>
      <c r="R21" s="163"/>
      <c r="S21" s="229" t="s">
        <v>170</v>
      </c>
      <c r="T21" s="134">
        <f t="shared" ref="T21:T35" si="11">K3/K$3</f>
        <v>1</v>
      </c>
      <c r="U21" s="134">
        <f t="shared" ref="U21:U35" si="12">L3/L$3</f>
        <v>1</v>
      </c>
      <c r="V21" s="134">
        <f t="shared" ref="V21:V35" si="13">M3/M$3</f>
        <v>1</v>
      </c>
      <c r="W21" s="134">
        <f t="shared" ref="W21:W35" si="14">N3/N$3</f>
        <v>1</v>
      </c>
      <c r="X21" s="134">
        <f t="shared" ref="X21:X35" si="15">O3/O$3</f>
        <v>1</v>
      </c>
      <c r="Y21" s="163"/>
      <c r="Z21" s="110"/>
      <c r="AA21" s="110"/>
      <c r="AB21" s="110"/>
      <c r="AC21" s="110"/>
    </row>
    <row r="22" spans="2:29" ht="14" customHeight="1" x14ac:dyDescent="0.3">
      <c r="B22" s="189" t="s">
        <v>150</v>
      </c>
      <c r="C22" s="168"/>
      <c r="D22" s="168"/>
      <c r="E22" s="168"/>
      <c r="F22" s="168"/>
      <c r="G22" s="168"/>
      <c r="I22" s="163"/>
      <c r="J22" s="146" t="s">
        <v>188</v>
      </c>
      <c r="L22" s="147">
        <f>(L3/K3)-1</f>
        <v>4.1491930787747933E-2</v>
      </c>
      <c r="M22" s="147">
        <f>(M3/L3)-1</f>
        <v>0.11950202253670561</v>
      </c>
      <c r="N22" s="147">
        <f>(N3/M3)-1</f>
        <v>8.7124029503906852E-2</v>
      </c>
      <c r="O22" s="147">
        <f>(O3/N3)-1</f>
        <v>0.1606859725538079</v>
      </c>
      <c r="Q22" s="148">
        <f>AVERAGE(L22:O22)</f>
        <v>0.10220098884554207</v>
      </c>
      <c r="R22" s="163"/>
      <c r="S22" s="135" t="s">
        <v>171</v>
      </c>
      <c r="T22" s="134">
        <f t="shared" si="11"/>
        <v>8.9475036791989739E-3</v>
      </c>
      <c r="U22" s="134">
        <f t="shared" si="12"/>
        <v>1.5351316982377138E-2</v>
      </c>
      <c r="V22" s="134">
        <f t="shared" si="13"/>
        <v>2.1891007252149458E-2</v>
      </c>
      <c r="W22" s="134">
        <f t="shared" si="14"/>
        <v>1.5383049941377649E-2</v>
      </c>
      <c r="X22" s="134">
        <f t="shared" si="15"/>
        <v>2.1805520663233213E-2</v>
      </c>
      <c r="Y22" s="163"/>
      <c r="Z22" s="110"/>
      <c r="AA22" s="110"/>
      <c r="AB22" s="110"/>
      <c r="AC22" s="110"/>
    </row>
    <row r="23" spans="2:29" x14ac:dyDescent="0.3">
      <c r="B23" s="120" t="s">
        <v>151</v>
      </c>
      <c r="C23" s="121">
        <v>581.36</v>
      </c>
      <c r="D23" s="121">
        <v>416.86</v>
      </c>
      <c r="E23" s="121">
        <v>622.53</v>
      </c>
      <c r="F23" s="121">
        <v>590.36</v>
      </c>
      <c r="G23" s="121">
        <v>708.5</v>
      </c>
      <c r="I23" s="163"/>
      <c r="J23" s="146" t="s">
        <v>189</v>
      </c>
      <c r="K23" s="147"/>
      <c r="L23" s="147">
        <f>(L11/K11)-1</f>
        <v>0.13681483280705975</v>
      </c>
      <c r="M23" s="147">
        <f>(M11/L11)-1</f>
        <v>0.25539855278901524</v>
      </c>
      <c r="N23" s="147">
        <f>(N11/M11)-1</f>
        <v>-7.3913964342176675E-2</v>
      </c>
      <c r="O23" s="147">
        <f>(O11/N11)-1</f>
        <v>0.20983096394251399</v>
      </c>
      <c r="Q23" s="148">
        <f t="shared" ref="Q23:Q24" si="16">AVERAGE(L23:O23)</f>
        <v>0.13203259629910308</v>
      </c>
      <c r="R23" s="174"/>
      <c r="S23" s="137" t="s">
        <v>172</v>
      </c>
      <c r="T23" s="134">
        <f t="shared" si="11"/>
        <v>1.0089475036791991</v>
      </c>
      <c r="U23" s="134">
        <f t="shared" si="12"/>
        <v>1.0153513169823771</v>
      </c>
      <c r="V23" s="134">
        <f t="shared" si="13"/>
        <v>1.0218910072521494</v>
      </c>
      <c r="W23" s="134">
        <f t="shared" si="14"/>
        <v>1.0153830499413776</v>
      </c>
      <c r="X23" s="134">
        <f t="shared" si="15"/>
        <v>1.0218055206632333</v>
      </c>
      <c r="Y23" s="163"/>
      <c r="Z23" s="110"/>
      <c r="AA23" s="110"/>
      <c r="AB23" s="114"/>
      <c r="AC23" s="110"/>
    </row>
    <row r="24" spans="2:29" ht="14.5" thickBot="1" x14ac:dyDescent="0.35">
      <c r="B24" s="120" t="s">
        <v>152</v>
      </c>
      <c r="C24" s="121">
        <v>0</v>
      </c>
      <c r="D24" s="121">
        <v>0</v>
      </c>
      <c r="E24" s="121">
        <v>0</v>
      </c>
      <c r="F24" s="121">
        <v>0</v>
      </c>
      <c r="G24" s="121">
        <v>0</v>
      </c>
      <c r="I24" s="163"/>
      <c r="J24" s="146" t="s">
        <v>190</v>
      </c>
      <c r="K24" s="147"/>
      <c r="L24" s="147">
        <f>(L17/K17)-1</f>
        <v>0.30573872749955333</v>
      </c>
      <c r="M24" s="147">
        <f>(M17/L17)-1</f>
        <v>0.20113969835528644</v>
      </c>
      <c r="N24" s="147">
        <f>(N17/M17)-1</f>
        <v>-8.9112117407090907E-2</v>
      </c>
      <c r="O24" s="147">
        <f>(O17/N17)-1</f>
        <v>0.19234775666015902</v>
      </c>
      <c r="Q24" s="148">
        <f t="shared" si="16"/>
        <v>0.15252851627697697</v>
      </c>
      <c r="R24" s="174"/>
      <c r="S24" s="135" t="s">
        <v>173</v>
      </c>
      <c r="T24" s="134">
        <f t="shared" si="11"/>
        <v>1.833776248882284E-2</v>
      </c>
      <c r="U24" s="134">
        <f t="shared" si="12"/>
        <v>3.0999291164883182E-2</v>
      </c>
      <c r="V24" s="134">
        <f t="shared" si="13"/>
        <v>2.4162824582186212E-2</v>
      </c>
      <c r="W24" s="134">
        <f t="shared" si="14"/>
        <v>2.7293561261868746E-2</v>
      </c>
      <c r="X24" s="134">
        <f t="shared" si="15"/>
        <v>1.4431682577565632E-2</v>
      </c>
      <c r="Y24" s="163"/>
      <c r="Z24" s="110"/>
      <c r="AA24" s="110"/>
      <c r="AB24" s="110"/>
      <c r="AC24" s="110"/>
    </row>
    <row r="25" spans="2:29" x14ac:dyDescent="0.3">
      <c r="B25" s="120" t="s">
        <v>153</v>
      </c>
      <c r="C25" s="121">
        <v>12.55</v>
      </c>
      <c r="D25" s="121">
        <v>7.1</v>
      </c>
      <c r="E25" s="121">
        <v>-3.12</v>
      </c>
      <c r="F25" s="121">
        <v>-48.43</v>
      </c>
      <c r="G25" s="121">
        <v>-7.73</v>
      </c>
      <c r="I25" s="163"/>
      <c r="J25" s="146" t="s">
        <v>191</v>
      </c>
      <c r="K25" s="149">
        <f>K9/K3</f>
        <v>0.42305637716577049</v>
      </c>
      <c r="L25" s="149">
        <f>L9/L3</f>
        <v>0.43106601593076893</v>
      </c>
      <c r="M25" s="149">
        <f>M9/M3</f>
        <v>0.43723898247018872</v>
      </c>
      <c r="N25" s="149">
        <f>N9/N3</f>
        <v>0.39906401681519676</v>
      </c>
      <c r="O25" s="149">
        <f>O9/O3</f>
        <v>0.41763689130343751</v>
      </c>
      <c r="Q25" s="148">
        <f>AVERAGE(K25:O25)</f>
        <v>0.42161245673707254</v>
      </c>
      <c r="R25" s="174"/>
      <c r="S25" s="140" t="s">
        <v>137</v>
      </c>
      <c r="T25" s="143">
        <f t="shared" si="11"/>
        <v>1.0272852661680218</v>
      </c>
      <c r="U25" s="143">
        <f t="shared" si="12"/>
        <v>1.0463506081472604</v>
      </c>
      <c r="V25" s="143">
        <f t="shared" si="13"/>
        <v>1.0460538318343358</v>
      </c>
      <c r="W25" s="143">
        <f t="shared" si="14"/>
        <v>1.0426766112032464</v>
      </c>
      <c r="X25" s="143">
        <f t="shared" si="15"/>
        <v>1.0362372032407989</v>
      </c>
      <c r="Y25" s="163"/>
      <c r="Z25" s="110"/>
      <c r="AA25" s="110"/>
      <c r="AB25" s="110"/>
      <c r="AC25" s="110"/>
    </row>
    <row r="26" spans="2:29" ht="14.5" thickBot="1" x14ac:dyDescent="0.35">
      <c r="B26" s="120" t="s">
        <v>154</v>
      </c>
      <c r="C26" s="121">
        <v>0</v>
      </c>
      <c r="D26" s="121">
        <v>0</v>
      </c>
      <c r="E26" s="121">
        <v>0</v>
      </c>
      <c r="F26" s="121">
        <v>0</v>
      </c>
      <c r="G26" s="121">
        <v>0</v>
      </c>
      <c r="I26" s="163"/>
      <c r="J26" s="146" t="s">
        <v>192</v>
      </c>
      <c r="K26" s="147">
        <f>K11/K3</f>
        <v>0.17831962877869859</v>
      </c>
      <c r="L26" s="147">
        <f>L11/L3</f>
        <v>0.19464039325100252</v>
      </c>
      <c r="M26" s="147">
        <f>M11/M3</f>
        <v>0.21826782183734889</v>
      </c>
      <c r="N26" s="147">
        <f>N11/N3</f>
        <v>0.18593534532509576</v>
      </c>
      <c r="O26" s="147">
        <f>O11/O3</f>
        <v>0.19380809571661844</v>
      </c>
      <c r="Q26" s="148">
        <f t="shared" ref="Q26:Q28" si="17">AVERAGE(K26:O26)</f>
        <v>0.19419425698175283</v>
      </c>
      <c r="R26" s="174"/>
      <c r="S26" s="137" t="s">
        <v>174</v>
      </c>
      <c r="T26" s="134">
        <f t="shared" si="11"/>
        <v>0.60422888900225136</v>
      </c>
      <c r="U26" s="134">
        <f t="shared" si="12"/>
        <v>0.61528459221649145</v>
      </c>
      <c r="V26" s="134">
        <f t="shared" si="13"/>
        <v>0.60881484936414698</v>
      </c>
      <c r="W26" s="134">
        <f t="shared" si="14"/>
        <v>0.64361259438804963</v>
      </c>
      <c r="X26" s="134">
        <f t="shared" si="15"/>
        <v>0.61860031193736131</v>
      </c>
      <c r="Y26" s="163"/>
      <c r="Z26" s="110"/>
      <c r="AA26" s="110"/>
      <c r="AB26" s="114"/>
      <c r="AC26" s="110"/>
    </row>
    <row r="27" spans="2:29" x14ac:dyDescent="0.3">
      <c r="B27" s="127" t="s">
        <v>155</v>
      </c>
      <c r="C27" s="128">
        <v>593.91</v>
      </c>
      <c r="D27" s="128">
        <v>423.96</v>
      </c>
      <c r="E27" s="128">
        <v>619.41</v>
      </c>
      <c r="F27" s="128">
        <v>541.92999999999995</v>
      </c>
      <c r="G27" s="128">
        <v>700.77</v>
      </c>
      <c r="I27" s="163"/>
      <c r="J27" s="146" t="s">
        <v>95</v>
      </c>
      <c r="K27" s="147">
        <f>K17/K3</f>
        <v>0.10801300160065616</v>
      </c>
      <c r="L27" s="147">
        <f>L17/L3</f>
        <v>0.13541800478163352</v>
      </c>
      <c r="M27" s="147">
        <f>M17/M3</f>
        <v>0.14529311974508111</v>
      </c>
      <c r="N27" s="147">
        <f>N17/N3</f>
        <v>0.12173932192475678</v>
      </c>
      <c r="O27" s="147">
        <f>O17/O3</f>
        <v>0.12506018925595608</v>
      </c>
      <c r="Q27" s="148">
        <f t="shared" si="17"/>
        <v>0.12710472746161672</v>
      </c>
      <c r="R27" s="174"/>
      <c r="S27" s="144" t="s">
        <v>175</v>
      </c>
      <c r="T27" s="143">
        <f t="shared" si="11"/>
        <v>0.42305637716577049</v>
      </c>
      <c r="U27" s="143">
        <f t="shared" si="12"/>
        <v>0.43106601593076893</v>
      </c>
      <c r="V27" s="143">
        <f t="shared" si="13"/>
        <v>0.43723898247018872</v>
      </c>
      <c r="W27" s="143">
        <f t="shared" si="14"/>
        <v>0.39906401681519676</v>
      </c>
      <c r="X27" s="143">
        <f t="shared" si="15"/>
        <v>0.41763689130343751</v>
      </c>
      <c r="Y27" s="163"/>
      <c r="Z27" s="110"/>
      <c r="AA27" s="110"/>
      <c r="AB27" s="110"/>
      <c r="AC27" s="110"/>
    </row>
    <row r="28" spans="2:29" ht="17" customHeight="1" thickBot="1" x14ac:dyDescent="0.35">
      <c r="B28" s="118" t="s">
        <v>156</v>
      </c>
      <c r="C28" s="119">
        <v>1122.2</v>
      </c>
      <c r="D28" s="119">
        <v>1484.3</v>
      </c>
      <c r="E28" s="119">
        <v>1760.03</v>
      </c>
      <c r="F28" s="119">
        <v>1603.19</v>
      </c>
      <c r="G28" s="119">
        <v>2139.3000000000002</v>
      </c>
      <c r="I28" s="163"/>
      <c r="J28" s="150" t="s">
        <v>193</v>
      </c>
      <c r="K28" s="151">
        <f>K13/K14</f>
        <v>1115.3571428571436</v>
      </c>
      <c r="L28" s="151">
        <f>L13/L14</f>
        <v>29.989719195949061</v>
      </c>
      <c r="M28" s="151">
        <f>M13/M14</f>
        <v>25.327164911563248</v>
      </c>
      <c r="N28" s="151">
        <f>N13/N14</f>
        <v>17.073130526000291</v>
      </c>
      <c r="O28" s="151">
        <f>O13/O14</f>
        <v>17.859180380767988</v>
      </c>
      <c r="P28" s="152"/>
      <c r="Q28" s="153">
        <f t="shared" si="17"/>
        <v>241.12126757428481</v>
      </c>
      <c r="R28" s="174"/>
      <c r="S28" s="229" t="s">
        <v>176</v>
      </c>
      <c r="T28" s="134">
        <f t="shared" si="11"/>
        <v>0.24473674838707193</v>
      </c>
      <c r="U28" s="134">
        <f t="shared" si="12"/>
        <v>0.23642562267976638</v>
      </c>
      <c r="V28" s="134">
        <f t="shared" si="13"/>
        <v>0.21897116063283981</v>
      </c>
      <c r="W28" s="134">
        <f t="shared" si="14"/>
        <v>0.21312867149010101</v>
      </c>
      <c r="X28" s="134">
        <f t="shared" si="15"/>
        <v>0.22382879558681906</v>
      </c>
      <c r="Y28" s="163"/>
      <c r="Z28" s="110"/>
      <c r="AA28" s="110"/>
      <c r="AB28" s="110"/>
      <c r="AC28" s="110"/>
    </row>
    <row r="29" spans="2:29" ht="28" x14ac:dyDescent="0.3">
      <c r="B29" s="118" t="s">
        <v>157</v>
      </c>
      <c r="C29" s="119">
        <v>1122.2</v>
      </c>
      <c r="D29" s="119">
        <v>1484.3</v>
      </c>
      <c r="E29" s="119">
        <v>1760.03</v>
      </c>
      <c r="F29" s="119">
        <v>1603.19</v>
      </c>
      <c r="G29" s="119">
        <v>2139.3000000000002</v>
      </c>
      <c r="I29" s="163"/>
      <c r="J29" s="163"/>
      <c r="K29" s="163"/>
      <c r="L29" s="163"/>
      <c r="M29" s="163"/>
      <c r="N29" s="163"/>
      <c r="O29" s="163"/>
      <c r="P29" s="163"/>
      <c r="Q29" s="163"/>
      <c r="R29" s="163"/>
      <c r="S29" s="144" t="s">
        <v>177</v>
      </c>
      <c r="T29" s="143">
        <f t="shared" si="11"/>
        <v>0.17831962877869859</v>
      </c>
      <c r="U29" s="143">
        <f t="shared" si="12"/>
        <v>0.19464039325100252</v>
      </c>
      <c r="V29" s="143">
        <f t="shared" si="13"/>
        <v>0.21826782183734889</v>
      </c>
      <c r="W29" s="143">
        <f t="shared" si="14"/>
        <v>0.18593534532509576</v>
      </c>
      <c r="X29" s="143">
        <f t="shared" si="15"/>
        <v>0.19380809571661844</v>
      </c>
      <c r="Y29" s="163"/>
    </row>
    <row r="30" spans="2:29" ht="14.5" thickBot="1" x14ac:dyDescent="0.35">
      <c r="B30" s="116" t="s">
        <v>158</v>
      </c>
      <c r="C30" s="125">
        <v>1122.2</v>
      </c>
      <c r="D30" s="125">
        <v>1484.3</v>
      </c>
      <c r="E30" s="125">
        <v>1760.03</v>
      </c>
      <c r="F30" s="125">
        <v>1603.19</v>
      </c>
      <c r="G30" s="125">
        <v>2139.3000000000002</v>
      </c>
      <c r="I30" s="163"/>
      <c r="J30" s="163"/>
      <c r="K30" s="163"/>
      <c r="L30" s="163"/>
      <c r="M30" s="163"/>
      <c r="N30" s="163"/>
      <c r="O30" s="163"/>
      <c r="P30" s="163"/>
      <c r="Q30" s="163"/>
      <c r="R30" s="163"/>
      <c r="S30" s="229" t="s">
        <v>178</v>
      </c>
      <c r="T30" s="134">
        <f t="shared" si="11"/>
        <v>1.2993900566822819E-2</v>
      </c>
      <c r="U30" s="134">
        <f t="shared" si="12"/>
        <v>1.4018669996127745E-2</v>
      </c>
      <c r="V30" s="134">
        <f t="shared" si="13"/>
        <v>1.3767113958220686E-2</v>
      </c>
      <c r="W30" s="134">
        <f t="shared" si="14"/>
        <v>1.2909824861948933E-2</v>
      </c>
      <c r="X30" s="134">
        <f t="shared" si="15"/>
        <v>1.2764047648955322E-2</v>
      </c>
      <c r="Y30" s="163"/>
    </row>
    <row r="31" spans="2:29" ht="28" x14ac:dyDescent="0.3">
      <c r="B31" s="189" t="s">
        <v>159</v>
      </c>
      <c r="C31" s="168"/>
      <c r="D31" s="168"/>
      <c r="E31" s="168"/>
      <c r="F31" s="168"/>
      <c r="G31" s="168"/>
      <c r="I31" s="163"/>
      <c r="J31" s="163"/>
      <c r="K31" s="163"/>
      <c r="L31" s="163"/>
      <c r="M31" s="163"/>
      <c r="N31" s="163"/>
      <c r="O31" s="163"/>
      <c r="P31" s="163"/>
      <c r="Q31" s="163"/>
      <c r="R31" s="163"/>
      <c r="S31" s="144" t="s">
        <v>179</v>
      </c>
      <c r="T31" s="143">
        <f t="shared" si="11"/>
        <v>0.16532572821187574</v>
      </c>
      <c r="U31" s="143">
        <f t="shared" si="12"/>
        <v>0.18062172325487477</v>
      </c>
      <c r="V31" s="143">
        <f t="shared" si="13"/>
        <v>0.20450070787912822</v>
      </c>
      <c r="W31" s="143">
        <f t="shared" si="14"/>
        <v>0.17302552046314681</v>
      </c>
      <c r="X31" s="143">
        <f t="shared" si="15"/>
        <v>0.18104404806766314</v>
      </c>
      <c r="Y31" s="163"/>
    </row>
    <row r="32" spans="2:29" ht="14.5" thickBot="1" x14ac:dyDescent="0.35">
      <c r="B32" s="189" t="s">
        <v>160</v>
      </c>
      <c r="C32" s="168"/>
      <c r="D32" s="168"/>
      <c r="E32" s="168"/>
      <c r="F32" s="168"/>
      <c r="G32" s="168"/>
      <c r="I32" s="163"/>
      <c r="J32" s="163"/>
      <c r="K32" s="163"/>
      <c r="L32" s="163"/>
      <c r="M32" s="163"/>
      <c r="N32" s="163"/>
      <c r="O32" s="163"/>
      <c r="P32" s="163"/>
      <c r="Q32" s="163"/>
      <c r="R32" s="163"/>
      <c r="S32" s="229" t="s">
        <v>180</v>
      </c>
      <c r="T32" s="134">
        <f t="shared" si="11"/>
        <v>1.4822671757708992E-4</v>
      </c>
      <c r="U32" s="134">
        <f t="shared" si="12"/>
        <v>6.0227880786317177E-3</v>
      </c>
      <c r="V32" s="134">
        <f t="shared" si="13"/>
        <v>8.0743623928378316E-3</v>
      </c>
      <c r="W32" s="134">
        <f t="shared" si="14"/>
        <v>1.0134375778340714E-2</v>
      </c>
      <c r="X32" s="134">
        <f t="shared" si="15"/>
        <v>1.0137310011305111E-2</v>
      </c>
      <c r="Y32" s="163"/>
    </row>
    <row r="33" spans="1:25" x14ac:dyDescent="0.3">
      <c r="B33" s="120" t="s">
        <v>161</v>
      </c>
      <c r="C33" s="121">
        <v>46.71</v>
      </c>
      <c r="D33" s="121">
        <v>61.75</v>
      </c>
      <c r="E33" s="121">
        <v>73.12</v>
      </c>
      <c r="F33" s="121">
        <v>66.56</v>
      </c>
      <c r="G33" s="121">
        <v>88.82</v>
      </c>
      <c r="I33" s="163"/>
      <c r="J33" s="163"/>
      <c r="K33" s="163"/>
      <c r="L33" s="163"/>
      <c r="M33" s="163"/>
      <c r="N33" s="163"/>
      <c r="O33" s="163"/>
      <c r="P33" s="163"/>
      <c r="Q33" s="163"/>
      <c r="R33" s="163"/>
      <c r="S33" s="144" t="s">
        <v>181</v>
      </c>
      <c r="T33" s="143">
        <f t="shared" si="11"/>
        <v>0.16517750149429866</v>
      </c>
      <c r="U33" s="143">
        <f t="shared" si="12"/>
        <v>0.17459893517624306</v>
      </c>
      <c r="V33" s="143">
        <f t="shared" si="13"/>
        <v>0.19642634548629037</v>
      </c>
      <c r="W33" s="143">
        <f t="shared" si="14"/>
        <v>0.16289114468480609</v>
      </c>
      <c r="X33" s="143">
        <f t="shared" si="15"/>
        <v>0.17090673805635803</v>
      </c>
      <c r="Y33" s="163"/>
    </row>
    <row r="34" spans="1:25" ht="14.5" thickBot="1" x14ac:dyDescent="0.35">
      <c r="B34" s="120" t="s">
        <v>162</v>
      </c>
      <c r="C34" s="121">
        <v>46.68</v>
      </c>
      <c r="D34" s="121">
        <v>61.73</v>
      </c>
      <c r="E34" s="121">
        <v>73.09</v>
      </c>
      <c r="F34" s="121">
        <v>66.56</v>
      </c>
      <c r="G34" s="121">
        <v>88.82</v>
      </c>
      <c r="I34" s="163"/>
      <c r="J34" s="163"/>
      <c r="K34" s="163"/>
      <c r="L34" s="163"/>
      <c r="M34" s="163"/>
      <c r="N34" s="163"/>
      <c r="O34" s="163"/>
      <c r="P34" s="163"/>
      <c r="Q34" s="163"/>
      <c r="R34" s="163"/>
      <c r="S34" s="229" t="s">
        <v>182</v>
      </c>
      <c r="T34" s="134">
        <f t="shared" si="11"/>
        <v>5.7164499893642515E-2</v>
      </c>
      <c r="U34" s="134">
        <f t="shared" si="12"/>
        <v>3.9180930394609528E-2</v>
      </c>
      <c r="V34" s="134">
        <f t="shared" si="13"/>
        <v>5.1133225741209293E-2</v>
      </c>
      <c r="W34" s="134">
        <f t="shared" si="14"/>
        <v>4.115182276004932E-2</v>
      </c>
      <c r="X34" s="134">
        <f t="shared" si="15"/>
        <v>4.5846548800401954E-2</v>
      </c>
      <c r="Y34" s="163"/>
    </row>
    <row r="35" spans="1:25" ht="15.5" customHeight="1" x14ac:dyDescent="0.3">
      <c r="B35" s="118" t="s">
        <v>163</v>
      </c>
      <c r="C35" s="129"/>
      <c r="D35" s="129"/>
      <c r="E35" s="129"/>
      <c r="F35" s="129"/>
      <c r="G35" s="129"/>
      <c r="I35" s="163"/>
      <c r="J35" s="163"/>
      <c r="K35" s="163"/>
      <c r="L35" s="163"/>
      <c r="M35" s="163"/>
      <c r="N35" s="163"/>
      <c r="O35" s="163"/>
      <c r="P35" s="163"/>
      <c r="Q35" s="163"/>
      <c r="R35" s="163"/>
      <c r="S35" s="144" t="s">
        <v>183</v>
      </c>
      <c r="T35" s="143">
        <f t="shared" si="11"/>
        <v>0.10801300160065616</v>
      </c>
      <c r="U35" s="143">
        <f t="shared" si="12"/>
        <v>0.13541800478163352</v>
      </c>
      <c r="V35" s="143">
        <f t="shared" si="13"/>
        <v>0.14529311974508111</v>
      </c>
      <c r="W35" s="143">
        <f t="shared" si="14"/>
        <v>0.12173932192475678</v>
      </c>
      <c r="X35" s="143">
        <f t="shared" si="15"/>
        <v>0.12506018925595608</v>
      </c>
      <c r="Y35" s="163"/>
    </row>
    <row r="36" spans="1:25" ht="28" x14ac:dyDescent="0.3">
      <c r="B36" s="118" t="s">
        <v>164</v>
      </c>
      <c r="C36" s="129"/>
      <c r="D36" s="129"/>
      <c r="E36" s="129"/>
      <c r="F36" s="129"/>
      <c r="G36" s="129"/>
      <c r="I36" s="163"/>
      <c r="J36" s="163"/>
      <c r="K36" s="163"/>
      <c r="L36" s="163"/>
      <c r="M36" s="163"/>
      <c r="N36" s="163"/>
      <c r="O36" s="163"/>
      <c r="P36" s="163"/>
      <c r="Q36" s="163"/>
      <c r="R36" s="163"/>
      <c r="S36" s="163"/>
      <c r="T36" s="163"/>
      <c r="U36" s="163"/>
      <c r="V36" s="163"/>
      <c r="W36" s="163"/>
      <c r="X36" s="163"/>
      <c r="Y36" s="163"/>
    </row>
    <row r="37" spans="1:25" ht="28" x14ac:dyDescent="0.3">
      <c r="B37" s="189" t="s">
        <v>165</v>
      </c>
      <c r="C37" s="168"/>
      <c r="D37" s="168"/>
      <c r="E37" s="168"/>
      <c r="F37" s="168"/>
      <c r="G37" s="168"/>
      <c r="I37" s="163"/>
      <c r="J37" s="163"/>
      <c r="K37" s="163"/>
      <c r="L37" s="163"/>
      <c r="M37" s="163"/>
      <c r="N37" s="163"/>
      <c r="O37" s="163"/>
      <c r="P37" s="163"/>
      <c r="Q37" s="163"/>
      <c r="R37" s="163"/>
      <c r="S37" s="163"/>
      <c r="T37" s="163"/>
      <c r="U37" s="163"/>
      <c r="V37" s="163"/>
      <c r="W37" s="163"/>
      <c r="X37" s="163"/>
      <c r="Y37" s="163"/>
    </row>
    <row r="38" spans="1:25" x14ac:dyDescent="0.3">
      <c r="B38" s="120" t="s">
        <v>166</v>
      </c>
      <c r="C38" s="121">
        <v>300.14999999999998</v>
      </c>
      <c r="D38" s="121">
        <v>422.27</v>
      </c>
      <c r="E38" s="124">
        <v>2839.66</v>
      </c>
      <c r="F38" s="124">
        <v>1794.47</v>
      </c>
      <c r="G38" s="124">
        <v>1360.91</v>
      </c>
      <c r="I38" s="163"/>
      <c r="J38" s="163"/>
      <c r="K38" s="163"/>
      <c r="L38" s="163"/>
      <c r="M38" s="163"/>
      <c r="N38" s="163"/>
      <c r="O38" s="163"/>
      <c r="P38" s="163"/>
      <c r="Q38" s="163"/>
      <c r="R38" s="163"/>
      <c r="S38" s="163"/>
      <c r="T38" s="163"/>
      <c r="U38" s="163"/>
      <c r="V38" s="163"/>
      <c r="W38" s="163"/>
      <c r="X38" s="163"/>
      <c r="Y38" s="163"/>
    </row>
    <row r="39" spans="1:25" x14ac:dyDescent="0.3">
      <c r="B39" s="120" t="s">
        <v>167</v>
      </c>
      <c r="C39" s="124">
        <v>1500</v>
      </c>
      <c r="D39" s="124">
        <v>3500</v>
      </c>
      <c r="E39" s="124">
        <v>15750</v>
      </c>
      <c r="F39" s="124">
        <v>5650</v>
      </c>
      <c r="G39" s="124">
        <v>7200</v>
      </c>
      <c r="I39" s="163"/>
      <c r="J39" s="163"/>
      <c r="K39" s="163"/>
      <c r="L39" s="163"/>
      <c r="M39" s="163"/>
      <c r="N39" s="163"/>
      <c r="O39" s="163"/>
      <c r="P39" s="163"/>
      <c r="Q39" s="163"/>
      <c r="R39" s="163"/>
      <c r="S39" s="163"/>
      <c r="T39" s="163"/>
      <c r="U39" s="163"/>
      <c r="V39" s="163"/>
      <c r="W39" s="163"/>
      <c r="X39" s="163"/>
      <c r="Y39" s="163"/>
    </row>
    <row r="40" spans="1:25" x14ac:dyDescent="0.3">
      <c r="B40" s="130"/>
      <c r="I40" s="163"/>
      <c r="J40" s="163"/>
      <c r="K40" s="163"/>
      <c r="L40" s="163"/>
      <c r="M40" s="163"/>
      <c r="N40" s="163"/>
      <c r="O40" s="163"/>
      <c r="P40" s="163"/>
      <c r="Q40" s="163"/>
      <c r="R40" s="163"/>
      <c r="S40" s="163"/>
      <c r="T40" s="163"/>
      <c r="U40" s="163"/>
      <c r="V40" s="163"/>
      <c r="W40" s="163"/>
      <c r="X40" s="163"/>
      <c r="Y40" s="163"/>
    </row>
    <row r="44" spans="1:25" x14ac:dyDescent="0.3">
      <c r="A44" s="111"/>
    </row>
    <row r="60" spans="1:24" x14ac:dyDescent="0.3">
      <c r="B60" s="229"/>
      <c r="C60" s="138"/>
      <c r="D60" s="138"/>
      <c r="E60" s="138"/>
      <c r="F60" s="138"/>
      <c r="G60" s="138"/>
      <c r="J60" s="229"/>
      <c r="K60" s="138"/>
      <c r="L60" s="133"/>
      <c r="M60" s="133"/>
      <c r="N60" s="133"/>
      <c r="O60" s="133"/>
    </row>
    <row r="61" spans="1:24" x14ac:dyDescent="0.3">
      <c r="B61" s="229"/>
      <c r="C61" s="138"/>
      <c r="D61" s="138"/>
      <c r="E61" s="138"/>
      <c r="F61" s="138"/>
      <c r="G61" s="138"/>
      <c r="J61" s="229"/>
      <c r="K61" s="138"/>
      <c r="L61" s="133"/>
      <c r="M61" s="133"/>
      <c r="N61" s="133"/>
      <c r="O61" s="133"/>
      <c r="S61" s="229"/>
      <c r="T61" s="134"/>
      <c r="U61" s="134"/>
      <c r="V61" s="134"/>
      <c r="W61" s="134"/>
      <c r="X61" s="134"/>
    </row>
    <row r="62" spans="1:24" x14ac:dyDescent="0.3">
      <c r="S62" s="229"/>
      <c r="T62" s="134"/>
      <c r="U62" s="134"/>
      <c r="V62" s="134"/>
      <c r="W62" s="134"/>
      <c r="X62" s="134"/>
    </row>
    <row r="64" spans="1:24" x14ac:dyDescent="0.3">
      <c r="A64" s="111"/>
    </row>
    <row r="430" spans="3:9" x14ac:dyDescent="0.3">
      <c r="C430" s="154"/>
      <c r="D430" s="155"/>
      <c r="E430" s="155"/>
      <c r="F430" s="155"/>
      <c r="G430" s="155"/>
      <c r="H430" s="155"/>
      <c r="I430" s="156"/>
    </row>
    <row r="431" spans="3:9" x14ac:dyDescent="0.3">
      <c r="D431" s="157"/>
      <c r="E431" s="157"/>
      <c r="F431" s="157"/>
      <c r="G431" s="157"/>
      <c r="H431" s="157"/>
      <c r="I431" s="158"/>
    </row>
    <row r="432" spans="3:9" x14ac:dyDescent="0.3">
      <c r="C432" s="159"/>
      <c r="D432" s="160"/>
      <c r="E432" s="160"/>
      <c r="F432" s="160"/>
      <c r="G432" s="160"/>
      <c r="H432" s="160"/>
      <c r="I432" s="158"/>
    </row>
    <row r="433" spans="3:9" x14ac:dyDescent="0.3">
      <c r="C433" s="159"/>
      <c r="D433" s="160"/>
      <c r="E433" s="160"/>
      <c r="F433" s="160"/>
      <c r="G433" s="160"/>
      <c r="H433" s="160"/>
      <c r="I433" s="158"/>
    </row>
    <row r="434" spans="3:9" x14ac:dyDescent="0.3">
      <c r="C434" s="159"/>
      <c r="D434" s="160"/>
      <c r="E434" s="157"/>
      <c r="F434" s="157"/>
      <c r="G434" s="157"/>
      <c r="H434" s="157"/>
    </row>
    <row r="435" spans="3:9" x14ac:dyDescent="0.3">
      <c r="C435" s="159"/>
      <c r="D435" s="160"/>
      <c r="E435" s="160"/>
      <c r="F435" s="160"/>
      <c r="G435" s="158"/>
      <c r="H435" s="160"/>
      <c r="I435" s="158"/>
    </row>
    <row r="436" spans="3:9" x14ac:dyDescent="0.3">
      <c r="C436" s="154"/>
      <c r="D436" s="156"/>
      <c r="E436" s="156"/>
      <c r="F436" s="156"/>
      <c r="G436" s="159"/>
      <c r="H436" s="156"/>
      <c r="I436" s="156"/>
    </row>
    <row r="437" spans="3:9" x14ac:dyDescent="0.3">
      <c r="C437" s="159"/>
      <c r="D437" s="160"/>
      <c r="E437" s="160"/>
      <c r="F437" s="160"/>
      <c r="G437" s="160"/>
      <c r="H437" s="160"/>
      <c r="I437" s="158"/>
    </row>
    <row r="438" spans="3:9" x14ac:dyDescent="0.3">
      <c r="C438" s="159"/>
      <c r="D438" s="160"/>
      <c r="E438" s="160"/>
      <c r="F438" s="160"/>
      <c r="G438" s="160"/>
      <c r="H438" s="160"/>
      <c r="I438" s="158"/>
    </row>
    <row r="439" spans="3:9" x14ac:dyDescent="0.3">
      <c r="C439" s="159"/>
      <c r="D439" s="160"/>
      <c r="E439" s="160"/>
      <c r="F439" s="160"/>
      <c r="G439" s="160"/>
      <c r="H439" s="160"/>
      <c r="I439" s="158"/>
    </row>
    <row r="440" spans="3:9" x14ac:dyDescent="0.3">
      <c r="C440" s="159"/>
      <c r="D440" s="160"/>
      <c r="E440" s="160"/>
      <c r="F440" s="160"/>
      <c r="G440" s="160"/>
      <c r="H440" s="160"/>
      <c r="I440" s="158"/>
    </row>
    <row r="441" spans="3:9" x14ac:dyDescent="0.3">
      <c r="C441" s="154"/>
      <c r="D441" s="156"/>
      <c r="E441" s="156"/>
      <c r="F441" s="156"/>
      <c r="G441" s="156"/>
      <c r="H441" s="156"/>
      <c r="I441" s="156"/>
    </row>
    <row r="442" spans="3:9" x14ac:dyDescent="0.3">
      <c r="C442" s="159"/>
      <c r="D442" s="157"/>
      <c r="E442" s="157"/>
      <c r="F442" s="157"/>
      <c r="G442" s="157"/>
      <c r="H442" s="157"/>
      <c r="I442" s="158"/>
    </row>
  </sheetData>
  <mergeCells count="5">
    <mergeCell ref="B1:H1"/>
    <mergeCell ref="J20:Q20"/>
    <mergeCell ref="J1:O1"/>
    <mergeCell ref="S1:X1"/>
    <mergeCell ref="S19:X19"/>
  </mergeCells>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type="column" displayEmptyCellsAs="gap" xr2:uid="{418AFB5E-0E5B-4604-859B-832FD3E996FB}">
          <x14:colorSeries rgb="FF376092"/>
          <x14:colorNegative rgb="FFD00000"/>
          <x14:colorAxis rgb="FF000000"/>
          <x14:colorMarkers rgb="FFD00000"/>
          <x14:colorFirst rgb="FFD00000"/>
          <x14:colorLast rgb="FFD00000"/>
          <x14:colorHigh rgb="FFD00000"/>
          <x14:colorLow rgb="FFD00000"/>
          <x14:sparklines>
            <x14:sparkline>
              <xm:f>'IS Analysis'!C4:G4</xm:f>
              <xm:sqref>H4</xm:sqref>
            </x14:sparkline>
            <x14:sparkline>
              <xm:f>'IS Analysis'!C5:G5</xm:f>
              <xm:sqref>H5</xm:sqref>
            </x14:sparkline>
            <x14:sparkline>
              <xm:f>'IS Analysis'!C6:G6</xm:f>
              <xm:sqref>H6</xm:sqref>
            </x14:sparkline>
            <x14:sparkline>
              <xm:f>'IS Analysis'!C7:G7</xm:f>
              <xm:sqref>H7</xm:sqref>
            </x14:sparkline>
            <x14:sparkline>
              <xm:f>'IS Analysis'!C8:G8</xm:f>
              <xm:sqref>H8</xm:sqref>
            </x14:sparkline>
            <x14:sparkline>
              <xm:f>'IS Analysis'!C9:G9</xm:f>
              <xm:sqref>H9</xm:sqref>
            </x14:sparkline>
            <x14:sparkline>
              <xm:f>'IS Analysis'!C10:G10</xm:f>
              <xm:sqref>H10</xm:sqref>
            </x14:sparkline>
            <x14:sparkline>
              <xm:f>'IS Analysis'!C11:G11</xm:f>
              <xm:sqref>H11</xm:sqref>
            </x14:sparkline>
            <x14:sparkline>
              <xm:f>'IS Analysis'!C12:G12</xm:f>
              <xm:sqref>H12</xm:sqref>
            </x14:sparkline>
            <x14:sparkline>
              <xm:f>'IS Analysis'!C13:G13</xm:f>
              <xm:sqref>H13</xm:sqref>
            </x14:sparkline>
            <x14:sparkline>
              <xm:f>'IS Analysis'!C14:G14</xm:f>
              <xm:sqref>H14</xm:sqref>
            </x14:sparkline>
            <x14:sparkline>
              <xm:f>'IS Analysis'!C15:G15</xm:f>
              <xm:sqref>H15</xm:sqref>
            </x14:sparkline>
            <x14:sparkline>
              <xm:f>'IS Analysis'!C16:G16</xm:f>
              <xm:sqref>H16</xm:sqref>
            </x14:sparkline>
            <x14:sparkline>
              <xm:f>'IS Analysis'!C17:G17</xm:f>
              <xm:sqref>H17</xm:sqref>
            </x14:sparkline>
            <x14:sparkline>
              <xm:f>'IS Analysis'!C18:G18</xm:f>
              <xm:sqref>H18</xm:sqref>
            </x14:sparkline>
            <x14:sparkline>
              <xm:f>'IS Analysis'!C19:G19</xm:f>
              <xm:sqref>H19</xm:sqref>
            </x14:sparkline>
            <x14:sparkline>
              <xm:f>'IS Analysis'!C20:G20</xm:f>
              <xm:sqref>H20</xm:sqref>
            </x14:sparkline>
            <x14:sparkline>
              <xm:f>'IS Analysis'!C21:G21</xm:f>
              <xm:sqref>H21</xm:sqref>
            </x14:sparkline>
            <x14:sparkline>
              <xm:f>'IS Analysis'!C22:G22</xm:f>
              <xm:sqref>H22</xm:sqref>
            </x14:sparkline>
            <x14:sparkline>
              <xm:f>'IS Analysis'!C23:G23</xm:f>
              <xm:sqref>H23</xm:sqref>
            </x14:sparkline>
            <x14:sparkline>
              <xm:f>'IS Analysis'!C24:G24</xm:f>
              <xm:sqref>H24</xm:sqref>
            </x14:sparkline>
            <x14:sparkline>
              <xm:f>'IS Analysis'!C25:G25</xm:f>
              <xm:sqref>H25</xm:sqref>
            </x14:sparkline>
            <x14:sparkline>
              <xm:f>'IS Analysis'!C26:G26</xm:f>
              <xm:sqref>H26</xm:sqref>
            </x14:sparkline>
            <x14:sparkline>
              <xm:f>'IS Analysis'!C27:G27</xm:f>
              <xm:sqref>H27</xm:sqref>
            </x14:sparkline>
            <x14:sparkline>
              <xm:f>'IS Analysis'!C28:G28</xm:f>
              <xm:sqref>H28</xm:sqref>
            </x14:sparkline>
            <x14:sparkline>
              <xm:f>'IS Analysis'!C29:G29</xm:f>
              <xm:sqref>H29</xm:sqref>
            </x14:sparkline>
            <x14:sparkline>
              <xm:f>'IS Analysis'!C30:G30</xm:f>
              <xm:sqref>H30</xm:sqref>
            </x14:sparkline>
            <x14:sparkline>
              <xm:f>'IS Analysis'!C31:G31</xm:f>
              <xm:sqref>H31</xm:sqref>
            </x14:sparkline>
            <x14:sparkline>
              <xm:f>'IS Analysis'!C32:G32</xm:f>
              <xm:sqref>H32</xm:sqref>
            </x14:sparkline>
            <x14:sparkline>
              <xm:f>'IS Analysis'!C33:G33</xm:f>
              <xm:sqref>H33</xm:sqref>
            </x14:sparkline>
            <x14:sparkline>
              <xm:f>'IS Analysis'!C34:G34</xm:f>
              <xm:sqref>H34</xm:sqref>
            </x14:sparkline>
            <x14:sparkline>
              <xm:f>'IS Analysis'!C35:G35</xm:f>
              <xm:sqref>H35</xm:sqref>
            </x14:sparkline>
            <x14:sparkline>
              <xm:f>'IS Analysis'!C36:G36</xm:f>
              <xm:sqref>H36</xm:sqref>
            </x14:sparkline>
            <x14:sparkline>
              <xm:f>'IS Analysis'!C37:G37</xm:f>
              <xm:sqref>H37</xm:sqref>
            </x14:sparkline>
            <x14:sparkline>
              <xm:f>'IS Analysis'!C38:G38</xm:f>
              <xm:sqref>H38</xm:sqref>
            </x14:sparkline>
            <x14:sparkline>
              <xm:f>'IS Analysis'!C39:G39</xm:f>
              <xm:sqref>H39</xm:sqref>
            </x14:sparkline>
          </x14:sparklines>
        </x14:sparklineGroup>
        <x14:sparklineGroup type="column" displayEmptyCellsAs="gap" xr2:uid="{17FED825-40A4-41CA-A1A0-7B8BED4E5E0A}">
          <x14:colorSeries rgb="FF376092"/>
          <x14:colorNegative rgb="FFD00000"/>
          <x14:colorAxis rgb="FF000000"/>
          <x14:colorMarkers rgb="FFD00000"/>
          <x14:colorFirst rgb="FFD00000"/>
          <x14:colorLast rgb="FFD00000"/>
          <x14:colorHigh rgb="FFD00000"/>
          <x14:colorLow rgb="FFD00000"/>
          <x14:sparklines>
            <x14:sparkline>
              <xm:f>'IS Analysis'!L22:O22</xm:f>
              <xm:sqref>P22</xm:sqref>
            </x14:sparkline>
            <x14:sparkline>
              <xm:f>'IS Analysis'!L23:O23</xm:f>
              <xm:sqref>P23</xm:sqref>
            </x14:sparkline>
            <x14:sparkline>
              <xm:f>'IS Analysis'!L24:O24</xm:f>
              <xm:sqref>P24</xm:sqref>
            </x14:sparkline>
            <x14:sparkline>
              <xm:f>'IS Analysis'!L25:O25</xm:f>
              <xm:sqref>P25</xm:sqref>
            </x14:sparkline>
            <x14:sparkline>
              <xm:f>'IS Analysis'!L26:O26</xm:f>
              <xm:sqref>P26</xm:sqref>
            </x14:sparkline>
            <x14:sparkline>
              <xm:f>'IS Analysis'!L27:O27</xm:f>
              <xm:sqref>P27</xm:sqref>
            </x14:sparkline>
            <x14:sparkline>
              <xm:f>'IS Analysis'!L28:O28</xm:f>
              <xm:sqref>P28</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57DB2-36D6-48D0-94EC-49C72AACAF4B}">
  <dimension ref="A1:B5"/>
  <sheetViews>
    <sheetView showGridLines="0" workbookViewId="0">
      <selection activeCell="H1" sqref="H1"/>
    </sheetView>
  </sheetViews>
  <sheetFormatPr defaultRowHeight="14.5" x14ac:dyDescent="0.35"/>
  <cols>
    <col min="1" max="1" width="17.453125" bestFit="1" customWidth="1"/>
    <col min="2" max="2" width="23.7265625" bestFit="1" customWidth="1"/>
  </cols>
  <sheetData>
    <row r="1" spans="1:2" x14ac:dyDescent="0.35">
      <c r="A1" s="63" t="s">
        <v>110</v>
      </c>
      <c r="B1" t="s">
        <v>113</v>
      </c>
    </row>
    <row r="2" spans="1:2" x14ac:dyDescent="0.35">
      <c r="A2" s="64">
        <v>2017</v>
      </c>
      <c r="B2" s="65">
        <v>0.14724920472838554</v>
      </c>
    </row>
    <row r="3" spans="1:2" x14ac:dyDescent="0.35">
      <c r="A3" s="66" t="s">
        <v>106</v>
      </c>
      <c r="B3" s="65">
        <v>4.4631692506353238E-2</v>
      </c>
    </row>
    <row r="4" spans="1:2" x14ac:dyDescent="0.35">
      <c r="A4" s="66" t="s">
        <v>107</v>
      </c>
      <c r="B4" s="65">
        <v>0.1026175122220323</v>
      </c>
    </row>
    <row r="5" spans="1:2" x14ac:dyDescent="0.35">
      <c r="A5" s="64" t="s">
        <v>111</v>
      </c>
      <c r="B5" s="65">
        <v>0.14724920472838554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60517-C846-4617-8EE6-CB53ECD0713A}">
  <dimension ref="A1:B5"/>
  <sheetViews>
    <sheetView showGridLines="0" workbookViewId="0">
      <selection activeCell="H1" sqref="H1"/>
    </sheetView>
  </sheetViews>
  <sheetFormatPr defaultRowHeight="14.5" x14ac:dyDescent="0.35"/>
  <cols>
    <col min="1" max="1" width="17.453125" bestFit="1" customWidth="1"/>
    <col min="2" max="2" width="21.08984375" bestFit="1" customWidth="1"/>
  </cols>
  <sheetData>
    <row r="1" spans="1:2" x14ac:dyDescent="0.35">
      <c r="A1" s="63" t="s">
        <v>110</v>
      </c>
      <c r="B1" t="s">
        <v>114</v>
      </c>
    </row>
    <row r="2" spans="1:2" x14ac:dyDescent="0.35">
      <c r="A2" s="64">
        <v>2017</v>
      </c>
      <c r="B2" s="65">
        <v>0.86408070225219147</v>
      </c>
    </row>
    <row r="3" spans="1:2" x14ac:dyDescent="0.35">
      <c r="A3" s="66" t="s">
        <v>106</v>
      </c>
      <c r="B3" s="65">
        <v>0.29848383777855664</v>
      </c>
    </row>
    <row r="4" spans="1:2" x14ac:dyDescent="0.35">
      <c r="A4" s="66" t="s">
        <v>107</v>
      </c>
      <c r="B4" s="65">
        <v>0.56559686447363478</v>
      </c>
    </row>
    <row r="5" spans="1:2" x14ac:dyDescent="0.35">
      <c r="A5" s="64" t="s">
        <v>111</v>
      </c>
      <c r="B5" s="65">
        <v>0.86408070225219147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D2C16-3F96-47CC-9256-9ACF3376AC7A}">
  <dimension ref="A1:B5"/>
  <sheetViews>
    <sheetView showGridLines="0" workbookViewId="0">
      <selection activeCell="H1" sqref="H1"/>
    </sheetView>
  </sheetViews>
  <sheetFormatPr defaultRowHeight="14.5" x14ac:dyDescent="0.35"/>
  <cols>
    <col min="1" max="1" width="17.453125" bestFit="1" customWidth="1"/>
    <col min="2" max="2" width="11.81640625" bestFit="1" customWidth="1"/>
  </cols>
  <sheetData>
    <row r="1" spans="1:2" x14ac:dyDescent="0.35">
      <c r="A1" s="63" t="s">
        <v>110</v>
      </c>
      <c r="B1" t="s">
        <v>115</v>
      </c>
    </row>
    <row r="2" spans="1:2" x14ac:dyDescent="0.35">
      <c r="A2" s="64">
        <v>2017</v>
      </c>
      <c r="B2" s="65">
        <v>0.33706732407288043</v>
      </c>
    </row>
    <row r="3" spans="1:2" x14ac:dyDescent="0.35">
      <c r="A3" s="66" t="s">
        <v>106</v>
      </c>
      <c r="B3" s="65">
        <v>0.14117155893082578</v>
      </c>
    </row>
    <row r="4" spans="1:2" x14ac:dyDescent="0.35">
      <c r="A4" s="66" t="s">
        <v>107</v>
      </c>
      <c r="B4" s="65">
        <v>0.19589576514205465</v>
      </c>
    </row>
    <row r="5" spans="1:2" x14ac:dyDescent="0.35">
      <c r="A5" s="64" t="s">
        <v>111</v>
      </c>
      <c r="B5" s="65">
        <v>0.33706732407288043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19F4-14B0-480C-A416-65BC74E0B343}">
  <dimension ref="A1:B5"/>
  <sheetViews>
    <sheetView showGridLines="0" workbookViewId="0">
      <selection activeCell="H1" sqref="H1"/>
    </sheetView>
  </sheetViews>
  <sheetFormatPr defaultRowHeight="14.5" x14ac:dyDescent="0.35"/>
  <cols>
    <col min="1" max="1" width="17.453125" bestFit="1" customWidth="1"/>
    <col min="2" max="2" width="11.81640625" bestFit="1" customWidth="1"/>
  </cols>
  <sheetData>
    <row r="1" spans="1:2" x14ac:dyDescent="0.35">
      <c r="A1" s="63" t="s">
        <v>110</v>
      </c>
      <c r="B1" t="s">
        <v>116</v>
      </c>
    </row>
    <row r="2" spans="1:2" x14ac:dyDescent="0.35">
      <c r="A2" s="64">
        <v>2017</v>
      </c>
      <c r="B2" s="65">
        <v>0.23263468026911144</v>
      </c>
    </row>
    <row r="3" spans="1:2" x14ac:dyDescent="0.35">
      <c r="A3" s="66" t="s">
        <v>106</v>
      </c>
      <c r="B3" s="65">
        <v>9.7687343509949648E-2</v>
      </c>
    </row>
    <row r="4" spans="1:2" x14ac:dyDescent="0.35">
      <c r="A4" s="66" t="s">
        <v>107</v>
      </c>
      <c r="B4" s="65">
        <v>0.13494733675916179</v>
      </c>
    </row>
    <row r="5" spans="1:2" x14ac:dyDescent="0.35">
      <c r="A5" s="64" t="s">
        <v>111</v>
      </c>
      <c r="B5" s="65">
        <v>0.23263468026911144</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38BEE-B08A-46E0-B6A2-9681240D2EF7}">
  <dimension ref="A1:B5"/>
  <sheetViews>
    <sheetView showGridLines="0" workbookViewId="0">
      <selection activeCell="H1" sqref="H1"/>
    </sheetView>
  </sheetViews>
  <sheetFormatPr defaultRowHeight="14.5" x14ac:dyDescent="0.35"/>
  <cols>
    <col min="1" max="1" width="17.453125" bestFit="1" customWidth="1"/>
    <col min="2" max="2" width="27.08984375" bestFit="1" customWidth="1"/>
  </cols>
  <sheetData>
    <row r="1" spans="1:2" x14ac:dyDescent="0.35">
      <c r="A1" s="63" t="s">
        <v>110</v>
      </c>
      <c r="B1" t="s">
        <v>117</v>
      </c>
    </row>
    <row r="2" spans="1:2" x14ac:dyDescent="0.35">
      <c r="A2" s="64">
        <v>2017</v>
      </c>
      <c r="B2" s="65">
        <v>304.44822323790135</v>
      </c>
    </row>
    <row r="3" spans="1:2" x14ac:dyDescent="0.35">
      <c r="A3" s="66" t="s">
        <v>106</v>
      </c>
      <c r="B3" s="65">
        <v>234.52844036697252</v>
      </c>
    </row>
    <row r="4" spans="1:2" x14ac:dyDescent="0.35">
      <c r="A4" s="66" t="s">
        <v>107</v>
      </c>
      <c r="B4" s="65">
        <v>69.919782870928813</v>
      </c>
    </row>
    <row r="5" spans="1:2" x14ac:dyDescent="0.35">
      <c r="A5" s="64" t="s">
        <v>111</v>
      </c>
      <c r="B5" s="65">
        <v>304.44822323790135</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0A42A-5B21-4B86-969B-3F7FCDACDFC6}">
  <dimension ref="A1:B5"/>
  <sheetViews>
    <sheetView showGridLines="0" workbookViewId="0">
      <selection activeCell="H1" sqref="H1"/>
    </sheetView>
  </sheetViews>
  <sheetFormatPr defaultRowHeight="14.5" x14ac:dyDescent="0.35"/>
  <cols>
    <col min="1" max="1" width="17.453125" bestFit="1" customWidth="1"/>
    <col min="2" max="2" width="23.54296875" bestFit="1" customWidth="1"/>
  </cols>
  <sheetData>
    <row r="1" spans="1:2" x14ac:dyDescent="0.35">
      <c r="A1" s="63" t="s">
        <v>110</v>
      </c>
      <c r="B1" t="s">
        <v>118</v>
      </c>
    </row>
    <row r="2" spans="1:2" x14ac:dyDescent="0.35">
      <c r="A2" s="64">
        <v>2017</v>
      </c>
      <c r="B2" s="65">
        <v>18.409484671063002</v>
      </c>
    </row>
    <row r="3" spans="1:2" x14ac:dyDescent="0.35">
      <c r="A3" s="66" t="s">
        <v>106</v>
      </c>
      <c r="B3" s="65">
        <v>13.688245521203417</v>
      </c>
    </row>
    <row r="4" spans="1:2" x14ac:dyDescent="0.35">
      <c r="A4" s="66" t="s">
        <v>107</v>
      </c>
      <c r="B4" s="65">
        <v>4.7212391498595858</v>
      </c>
    </row>
    <row r="5" spans="1:2" x14ac:dyDescent="0.35">
      <c r="A5" s="64" t="s">
        <v>111</v>
      </c>
      <c r="B5" s="65">
        <v>18.409484671063002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3A501-014B-408A-B513-61F5238A18FF}">
  <dimension ref="A1:B5"/>
  <sheetViews>
    <sheetView showGridLines="0" workbookViewId="0">
      <selection activeCell="H1" sqref="H1"/>
    </sheetView>
  </sheetViews>
  <sheetFormatPr defaultRowHeight="14.5" x14ac:dyDescent="0.35"/>
  <cols>
    <col min="1" max="1" width="17.453125" bestFit="1" customWidth="1"/>
    <col min="2" max="2" width="21.453125" bestFit="1" customWidth="1"/>
  </cols>
  <sheetData>
    <row r="1" spans="1:2" x14ac:dyDescent="0.35">
      <c r="A1" s="63" t="s">
        <v>110</v>
      </c>
      <c r="B1" t="s">
        <v>119</v>
      </c>
    </row>
    <row r="2" spans="1:2" x14ac:dyDescent="0.35">
      <c r="A2" s="64">
        <v>2017</v>
      </c>
      <c r="B2" s="65">
        <v>0.671395547664005</v>
      </c>
    </row>
    <row r="3" spans="1:2" x14ac:dyDescent="0.35">
      <c r="A3" s="66" t="s">
        <v>106</v>
      </c>
      <c r="B3" s="65">
        <v>0.32801640693957174</v>
      </c>
    </row>
    <row r="4" spans="1:2" x14ac:dyDescent="0.35">
      <c r="A4" s="66" t="s">
        <v>107</v>
      </c>
      <c r="B4" s="65">
        <v>0.34337914072443326</v>
      </c>
    </row>
    <row r="5" spans="1:2" x14ac:dyDescent="0.35">
      <c r="A5" s="64" t="s">
        <v>111</v>
      </c>
      <c r="B5" s="65">
        <v>0.671395547664005</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3B245-1A20-493D-8568-085C50C681AC}">
  <dimension ref="A1:B5"/>
  <sheetViews>
    <sheetView showGridLines="0" workbookViewId="0">
      <selection activeCell="H1" sqref="H1"/>
    </sheetView>
  </sheetViews>
  <sheetFormatPr defaultRowHeight="14.5" x14ac:dyDescent="0.35"/>
  <cols>
    <col min="1" max="1" width="17.453125" bestFit="1" customWidth="1"/>
    <col min="2" max="2" width="29.08984375" bestFit="1" customWidth="1"/>
  </cols>
  <sheetData>
    <row r="1" spans="1:2" x14ac:dyDescent="0.35">
      <c r="A1" s="63" t="s">
        <v>110</v>
      </c>
      <c r="B1" t="s">
        <v>120</v>
      </c>
    </row>
    <row r="2" spans="1:2" x14ac:dyDescent="0.35">
      <c r="A2" s="64">
        <v>2017</v>
      </c>
      <c r="B2" s="65">
        <v>102.55110546445496</v>
      </c>
    </row>
    <row r="3" spans="1:2" x14ac:dyDescent="0.35">
      <c r="A3" s="66" t="s">
        <v>106</v>
      </c>
      <c r="B3" s="65">
        <v>26.299937376368028</v>
      </c>
    </row>
    <row r="4" spans="1:2" x14ac:dyDescent="0.35">
      <c r="A4" s="66" t="s">
        <v>107</v>
      </c>
      <c r="B4" s="65">
        <v>76.251168088086942</v>
      </c>
    </row>
    <row r="5" spans="1:2" x14ac:dyDescent="0.35">
      <c r="A5" s="64" t="s">
        <v>111</v>
      </c>
      <c r="B5" s="65">
        <v>102.55110546445496</v>
      </c>
    </row>
  </sheetData>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19C14-905D-49FE-9078-D83433F297F3}">
  <dimension ref="A1:B5"/>
  <sheetViews>
    <sheetView showGridLines="0" workbookViewId="0">
      <selection activeCell="H1" sqref="H1"/>
    </sheetView>
  </sheetViews>
  <sheetFormatPr defaultRowHeight="14.5" x14ac:dyDescent="0.35"/>
  <cols>
    <col min="1" max="1" width="17.453125" bestFit="1" customWidth="1"/>
    <col min="2" max="2" width="28" bestFit="1" customWidth="1"/>
  </cols>
  <sheetData>
    <row r="1" spans="1:2" x14ac:dyDescent="0.35">
      <c r="A1" s="63" t="s">
        <v>110</v>
      </c>
      <c r="B1" t="s">
        <v>121</v>
      </c>
    </row>
    <row r="2" spans="1:2" x14ac:dyDescent="0.35">
      <c r="A2" s="64">
        <v>2017</v>
      </c>
      <c r="B2" s="65">
        <v>22.148858499041765</v>
      </c>
    </row>
    <row r="3" spans="1:2" x14ac:dyDescent="0.35">
      <c r="A3" s="66" t="s">
        <v>106</v>
      </c>
      <c r="B3" s="65">
        <v>7.1235872406834924</v>
      </c>
    </row>
    <row r="4" spans="1:2" x14ac:dyDescent="0.35">
      <c r="A4" s="66" t="s">
        <v>107</v>
      </c>
      <c r="B4" s="65">
        <v>15.025271258358273</v>
      </c>
    </row>
    <row r="5" spans="1:2" x14ac:dyDescent="0.35">
      <c r="A5" s="64" t="s">
        <v>111</v>
      </c>
      <c r="B5" s="65">
        <v>22.148858499041765</v>
      </c>
    </row>
  </sheetData>
  <pageMargins left="0.7" right="0.7" top="0.75" bottom="0.75" header="0.3" footer="0.3"/>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695A8-720F-4F58-8B36-11C7BA771E6F}">
  <dimension ref="A1:B5"/>
  <sheetViews>
    <sheetView showGridLines="0" workbookViewId="0">
      <selection activeCell="H1" sqref="H1"/>
    </sheetView>
  </sheetViews>
  <sheetFormatPr defaultRowHeight="14.5" x14ac:dyDescent="0.35"/>
  <cols>
    <col min="1" max="1" width="17.453125" bestFit="1" customWidth="1"/>
    <col min="2" max="2" width="29.81640625" bestFit="1" customWidth="1"/>
  </cols>
  <sheetData>
    <row r="1" spans="1:2" x14ac:dyDescent="0.35">
      <c r="A1" s="63" t="s">
        <v>110</v>
      </c>
      <c r="B1" t="s">
        <v>122</v>
      </c>
    </row>
    <row r="2" spans="1:2" x14ac:dyDescent="0.35">
      <c r="A2" s="64">
        <v>2017</v>
      </c>
      <c r="B2" s="65">
        <v>235.13470663362557</v>
      </c>
    </row>
    <row r="3" spans="1:2" x14ac:dyDescent="0.35">
      <c r="A3" s="66" t="s">
        <v>106</v>
      </c>
      <c r="B3" s="65">
        <v>234.52844036697252</v>
      </c>
    </row>
    <row r="4" spans="1:2" x14ac:dyDescent="0.35">
      <c r="A4" s="66" t="s">
        <v>107</v>
      </c>
      <c r="B4" s="65">
        <v>0.60626626665305072</v>
      </c>
    </row>
    <row r="5" spans="1:2" x14ac:dyDescent="0.35">
      <c r="A5" s="64" t="s">
        <v>111</v>
      </c>
      <c r="B5" s="65">
        <v>235.13470663362557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C5C7-96B1-4D85-B95C-CD35754E1665}">
  <dimension ref="A1:Q124"/>
  <sheetViews>
    <sheetView showGridLines="0" topLeftCell="A12" zoomScale="74" zoomScaleNormal="74" workbookViewId="0">
      <selection activeCell="E34" sqref="E34"/>
    </sheetView>
  </sheetViews>
  <sheetFormatPr defaultRowHeight="14" x14ac:dyDescent="0.3"/>
  <cols>
    <col min="1" max="1" width="4.81640625" style="161" customWidth="1"/>
    <col min="2" max="2" width="39.36328125" style="162" bestFit="1" customWidth="1"/>
    <col min="3" max="7" width="8.7265625" style="162"/>
    <col min="8" max="8" width="12.36328125" style="162" bestFit="1" customWidth="1"/>
    <col min="9" max="9" width="8.7265625" style="162"/>
    <col min="10" max="10" width="46.81640625" style="162" customWidth="1"/>
    <col min="11" max="11" width="8.90625" style="162" customWidth="1"/>
    <col min="12" max="14" width="9.08984375" style="162" customWidth="1"/>
    <col min="15" max="15" width="9.453125" style="162" bestFit="1" customWidth="1"/>
    <col min="16" max="16" width="10.08984375" style="162" customWidth="1"/>
    <col min="17" max="17" width="8.7265625" style="162"/>
    <col min="18" max="18" width="41.81640625" style="162" customWidth="1"/>
    <col min="19" max="19" width="8.7265625" style="162"/>
    <col min="20" max="20" width="8.453125" style="162" customWidth="1"/>
    <col min="21" max="16384" width="8.7265625" style="162"/>
  </cols>
  <sheetData>
    <row r="1" spans="2:16" ht="14.5" thickBot="1" x14ac:dyDescent="0.35"/>
    <row r="2" spans="2:16" ht="28" customHeight="1" x14ac:dyDescent="0.3">
      <c r="B2" s="237" t="s">
        <v>283</v>
      </c>
      <c r="C2" s="237"/>
      <c r="D2" s="237"/>
      <c r="E2" s="237"/>
      <c r="F2" s="237"/>
      <c r="G2" s="237"/>
      <c r="H2" s="237"/>
      <c r="J2" s="237" t="s">
        <v>284</v>
      </c>
      <c r="K2" s="237"/>
      <c r="L2" s="237"/>
      <c r="M2" s="237"/>
      <c r="N2" s="237"/>
      <c r="O2" s="237"/>
      <c r="P2" s="237"/>
    </row>
    <row r="3" spans="2:16" ht="14.5" thickBot="1" x14ac:dyDescent="0.35">
      <c r="B3" s="193" t="s">
        <v>194</v>
      </c>
      <c r="C3" s="194">
        <v>43525</v>
      </c>
      <c r="D3" s="194">
        <v>43891</v>
      </c>
      <c r="E3" s="194">
        <v>44256</v>
      </c>
      <c r="F3" s="194">
        <v>44621</v>
      </c>
      <c r="G3" s="194">
        <v>44986</v>
      </c>
      <c r="H3" s="195" t="s">
        <v>132</v>
      </c>
      <c r="J3" s="193" t="s">
        <v>194</v>
      </c>
      <c r="K3" s="194">
        <v>43525</v>
      </c>
      <c r="L3" s="194">
        <v>43891</v>
      </c>
      <c r="M3" s="194">
        <v>44256</v>
      </c>
      <c r="N3" s="194">
        <v>44621</v>
      </c>
      <c r="O3" s="194">
        <v>44986</v>
      </c>
      <c r="P3" s="195" t="s">
        <v>132</v>
      </c>
    </row>
    <row r="4" spans="2:16" x14ac:dyDescent="0.3">
      <c r="B4" s="164"/>
      <c r="C4" s="165"/>
      <c r="D4" s="165"/>
      <c r="E4" s="165"/>
      <c r="F4" s="165"/>
      <c r="G4" s="165"/>
      <c r="H4" s="165"/>
      <c r="J4" s="164"/>
      <c r="K4" s="165"/>
      <c r="L4" s="165"/>
      <c r="M4" s="165"/>
      <c r="N4" s="165"/>
      <c r="O4" s="165"/>
      <c r="P4" s="165"/>
    </row>
    <row r="5" spans="2:16" ht="27.5" customHeight="1" x14ac:dyDescent="0.3">
      <c r="B5" s="116" t="s">
        <v>195</v>
      </c>
      <c r="C5" s="168"/>
      <c r="D5" s="168"/>
      <c r="E5" s="168"/>
      <c r="F5" s="168"/>
      <c r="G5" s="168"/>
      <c r="H5" s="168"/>
      <c r="I5" s="110"/>
      <c r="J5" s="116" t="s">
        <v>195</v>
      </c>
      <c r="K5" s="201"/>
      <c r="L5" s="201"/>
      <c r="M5" s="201"/>
      <c r="N5" s="201"/>
      <c r="O5" s="201"/>
      <c r="P5" s="201"/>
    </row>
    <row r="6" spans="2:16" x14ac:dyDescent="0.3">
      <c r="B6" s="116" t="s">
        <v>196</v>
      </c>
      <c r="C6" s="168"/>
      <c r="D6" s="168"/>
      <c r="E6" s="168"/>
      <c r="F6" s="168"/>
      <c r="G6" s="168"/>
      <c r="H6" s="168"/>
      <c r="I6" s="110"/>
      <c r="J6" s="116" t="s">
        <v>196</v>
      </c>
      <c r="K6" s="201"/>
      <c r="L6" s="201"/>
      <c r="M6" s="201"/>
      <c r="N6" s="201"/>
      <c r="O6" s="201"/>
      <c r="P6" s="201"/>
    </row>
    <row r="7" spans="2:16" ht="18.5" customHeight="1" x14ac:dyDescent="0.3">
      <c r="B7" s="202" t="s">
        <v>24</v>
      </c>
      <c r="C7" s="208">
        <v>24.03</v>
      </c>
      <c r="D7" s="208">
        <v>24.05</v>
      </c>
      <c r="E7" s="208">
        <v>24.09</v>
      </c>
      <c r="F7" s="208">
        <v>24.09</v>
      </c>
      <c r="G7" s="208">
        <v>24.09</v>
      </c>
      <c r="H7" s="208"/>
      <c r="I7" s="110"/>
      <c r="J7" s="202" t="s">
        <v>24</v>
      </c>
      <c r="K7" s="207"/>
      <c r="L7" s="203">
        <f>(D7-$C7)/$C7</f>
        <v>8.3229296712441006E-4</v>
      </c>
      <c r="M7" s="203">
        <f t="shared" ref="M7:O22" si="0">(E7-$C7)/$C7</f>
        <v>2.4968789013732301E-3</v>
      </c>
      <c r="N7" s="203">
        <f t="shared" si="0"/>
        <v>2.4968789013732301E-3</v>
      </c>
      <c r="O7" s="203">
        <f t="shared" si="0"/>
        <v>2.4968789013732301E-3</v>
      </c>
      <c r="P7" s="207"/>
    </row>
    <row r="8" spans="2:16" ht="27.5" customHeight="1" x14ac:dyDescent="0.3">
      <c r="B8" s="116" t="s">
        <v>197</v>
      </c>
      <c r="C8" s="168">
        <v>24.03</v>
      </c>
      <c r="D8" s="168">
        <v>24.05</v>
      </c>
      <c r="E8" s="168">
        <v>24.09</v>
      </c>
      <c r="F8" s="168">
        <v>24.09</v>
      </c>
      <c r="G8" s="168">
        <v>24.09</v>
      </c>
      <c r="H8" s="208"/>
      <c r="I8" s="110"/>
      <c r="J8" s="116" t="s">
        <v>197</v>
      </c>
      <c r="K8" s="201"/>
      <c r="L8" s="204">
        <f t="shared" ref="L8:O56" si="1">(D8-$C8)/$C8</f>
        <v>8.3229296712441006E-4</v>
      </c>
      <c r="M8" s="204">
        <f t="shared" si="0"/>
        <v>2.4968789013732301E-3</v>
      </c>
      <c r="N8" s="204">
        <f t="shared" si="0"/>
        <v>2.4968789013732301E-3</v>
      </c>
      <c r="O8" s="204">
        <f t="shared" si="0"/>
        <v>2.4968789013732301E-3</v>
      </c>
      <c r="P8" s="207"/>
    </row>
    <row r="9" spans="2:16" ht="18.5" customHeight="1" x14ac:dyDescent="0.3">
      <c r="B9" s="202" t="s">
        <v>198</v>
      </c>
      <c r="C9" s="126">
        <v>4209.29</v>
      </c>
      <c r="D9" s="126">
        <v>4344.37</v>
      </c>
      <c r="E9" s="126">
        <v>3495.47</v>
      </c>
      <c r="F9" s="126">
        <v>2534.0100000000002</v>
      </c>
      <c r="G9" s="126">
        <v>3510.18</v>
      </c>
      <c r="H9" s="208"/>
      <c r="I9" s="110"/>
      <c r="J9" s="202" t="s">
        <v>198</v>
      </c>
      <c r="K9" s="207"/>
      <c r="L9" s="203">
        <f t="shared" si="1"/>
        <v>3.2090922697176942E-2</v>
      </c>
      <c r="M9" s="203">
        <f t="shared" si="0"/>
        <v>-0.16958204352753081</v>
      </c>
      <c r="N9" s="203">
        <f t="shared" si="0"/>
        <v>-0.39799586153484312</v>
      </c>
      <c r="O9" s="203">
        <f t="shared" si="0"/>
        <v>-0.16608739241059658</v>
      </c>
      <c r="P9" s="207"/>
    </row>
    <row r="10" spans="2:16" ht="36.5" customHeight="1" thickBot="1" x14ac:dyDescent="0.35">
      <c r="B10" s="116" t="s">
        <v>199</v>
      </c>
      <c r="C10" s="125">
        <v>4209.29</v>
      </c>
      <c r="D10" s="125">
        <v>4344.37</v>
      </c>
      <c r="E10" s="125">
        <v>3495.47</v>
      </c>
      <c r="F10" s="125">
        <v>2534.0100000000002</v>
      </c>
      <c r="G10" s="125">
        <v>3510.18</v>
      </c>
      <c r="H10" s="208"/>
      <c r="I10" s="110"/>
      <c r="J10" s="116" t="s">
        <v>199</v>
      </c>
      <c r="K10" s="201"/>
      <c r="L10" s="204">
        <f t="shared" si="1"/>
        <v>3.2090922697176942E-2</v>
      </c>
      <c r="M10" s="204">
        <f t="shared" si="0"/>
        <v>-0.16958204352753081</v>
      </c>
      <c r="N10" s="204">
        <f t="shared" si="0"/>
        <v>-0.39799586153484312</v>
      </c>
      <c r="O10" s="204">
        <f t="shared" si="0"/>
        <v>-0.16608739241059658</v>
      </c>
      <c r="P10" s="207"/>
    </row>
    <row r="11" spans="2:16" x14ac:dyDescent="0.3">
      <c r="B11" s="210" t="s">
        <v>200</v>
      </c>
      <c r="C11" s="211">
        <v>4253.25</v>
      </c>
      <c r="D11" s="211">
        <v>4402.83</v>
      </c>
      <c r="E11" s="211">
        <v>3547.66</v>
      </c>
      <c r="F11" s="211">
        <v>2558.1</v>
      </c>
      <c r="G11" s="211">
        <v>3534.27</v>
      </c>
      <c r="H11" s="208"/>
      <c r="I11" s="110"/>
      <c r="J11" s="205" t="s">
        <v>200</v>
      </c>
      <c r="K11" s="209"/>
      <c r="L11" s="206">
        <f t="shared" si="1"/>
        <v>3.5168400634808659E-2</v>
      </c>
      <c r="M11" s="206">
        <f t="shared" si="0"/>
        <v>-0.16589431611120911</v>
      </c>
      <c r="N11" s="206">
        <f t="shared" si="0"/>
        <v>-0.39855404690530771</v>
      </c>
      <c r="O11" s="206">
        <f t="shared" si="0"/>
        <v>-0.16904249691412448</v>
      </c>
      <c r="P11" s="207"/>
    </row>
    <row r="12" spans="2:16" ht="18.5" customHeight="1" x14ac:dyDescent="0.3">
      <c r="B12" s="202" t="s">
        <v>201</v>
      </c>
      <c r="C12" s="208">
        <v>32.68</v>
      </c>
      <c r="D12" s="208">
        <v>35.65</v>
      </c>
      <c r="E12" s="208">
        <v>36.340000000000003</v>
      </c>
      <c r="F12" s="208">
        <v>27.5</v>
      </c>
      <c r="G12" s="208">
        <v>30.23</v>
      </c>
      <c r="H12" s="208"/>
      <c r="I12" s="110"/>
      <c r="J12" s="202" t="s">
        <v>201</v>
      </c>
      <c r="K12" s="207"/>
      <c r="L12" s="203">
        <f t="shared" si="1"/>
        <v>9.0881272949816364E-2</v>
      </c>
      <c r="M12" s="203">
        <f t="shared" si="0"/>
        <v>0.11199510403916781</v>
      </c>
      <c r="N12" s="203">
        <f t="shared" si="0"/>
        <v>-0.15850673194614442</v>
      </c>
      <c r="O12" s="203">
        <f t="shared" si="0"/>
        <v>-7.4969400244798021E-2</v>
      </c>
      <c r="P12" s="207"/>
    </row>
    <row r="13" spans="2:16" ht="27.5" customHeight="1" x14ac:dyDescent="0.3">
      <c r="B13" s="116" t="s">
        <v>202</v>
      </c>
      <c r="C13" s="168"/>
      <c r="D13" s="168"/>
      <c r="E13" s="168"/>
      <c r="F13" s="168"/>
      <c r="G13" s="168"/>
      <c r="H13" s="208"/>
      <c r="I13" s="110"/>
      <c r="J13" s="116" t="s">
        <v>202</v>
      </c>
      <c r="K13" s="201"/>
      <c r="L13" s="204"/>
      <c r="M13" s="204"/>
      <c r="N13" s="204"/>
      <c r="O13" s="204"/>
      <c r="P13" s="207"/>
    </row>
    <row r="14" spans="2:16" ht="18.5" customHeight="1" x14ac:dyDescent="0.3">
      <c r="B14" s="202" t="s">
        <v>203</v>
      </c>
      <c r="C14" s="208">
        <v>61.92</v>
      </c>
      <c r="D14" s="208">
        <v>766.06</v>
      </c>
      <c r="E14" s="208">
        <v>747.75</v>
      </c>
      <c r="F14" s="208">
        <v>706.99</v>
      </c>
      <c r="G14" s="126">
        <v>1551.8</v>
      </c>
      <c r="H14" s="208"/>
      <c r="I14" s="110"/>
      <c r="J14" s="202" t="s">
        <v>203</v>
      </c>
      <c r="K14" s="207"/>
      <c r="L14" s="203">
        <f t="shared" si="1"/>
        <v>11.371770025839792</v>
      </c>
      <c r="M14" s="203">
        <f t="shared" si="0"/>
        <v>11.076065891472869</v>
      </c>
      <c r="N14" s="203">
        <f t="shared" si="0"/>
        <v>10.41779715762274</v>
      </c>
      <c r="O14" s="203">
        <f t="shared" si="0"/>
        <v>24.061369509043924</v>
      </c>
      <c r="P14" s="207"/>
    </row>
    <row r="15" spans="2:16" ht="27.5" customHeight="1" x14ac:dyDescent="0.3">
      <c r="B15" s="202" t="s">
        <v>204</v>
      </c>
      <c r="C15" s="208">
        <v>3.87</v>
      </c>
      <c r="D15" s="208">
        <v>12.69</v>
      </c>
      <c r="E15" s="208">
        <v>8.69</v>
      </c>
      <c r="F15" s="208">
        <v>0.81</v>
      </c>
      <c r="G15" s="208">
        <v>1.87</v>
      </c>
      <c r="H15" s="208"/>
      <c r="I15" s="110"/>
      <c r="J15" s="202" t="s">
        <v>204</v>
      </c>
      <c r="K15" s="207"/>
      <c r="L15" s="203">
        <f t="shared" si="1"/>
        <v>2.2790697674418605</v>
      </c>
      <c r="M15" s="203">
        <f t="shared" si="0"/>
        <v>1.2454780361757105</v>
      </c>
      <c r="N15" s="203">
        <f t="shared" si="0"/>
        <v>-0.79069767441860461</v>
      </c>
      <c r="O15" s="203">
        <f t="shared" si="0"/>
        <v>-0.51679586563307489</v>
      </c>
      <c r="P15" s="207"/>
    </row>
    <row r="16" spans="2:16" ht="27.5" customHeight="1" x14ac:dyDescent="0.3">
      <c r="B16" s="202" t="s">
        <v>205</v>
      </c>
      <c r="C16" s="208">
        <v>27.24</v>
      </c>
      <c r="D16" s="208">
        <v>46.54</v>
      </c>
      <c r="E16" s="208">
        <v>54.07</v>
      </c>
      <c r="F16" s="208">
        <v>66.400000000000006</v>
      </c>
      <c r="G16" s="208">
        <v>74.510000000000005</v>
      </c>
      <c r="H16" s="208"/>
      <c r="I16" s="110"/>
      <c r="J16" s="202" t="s">
        <v>205</v>
      </c>
      <c r="K16" s="207"/>
      <c r="L16" s="203">
        <f t="shared" si="1"/>
        <v>0.70851688693098391</v>
      </c>
      <c r="M16" s="203">
        <f t="shared" si="0"/>
        <v>0.98494860499265802</v>
      </c>
      <c r="N16" s="203">
        <f t="shared" si="0"/>
        <v>1.4375917767988258</v>
      </c>
      <c r="O16" s="203">
        <f t="shared" si="0"/>
        <v>1.7353157121879594</v>
      </c>
      <c r="P16" s="207"/>
    </row>
    <row r="17" spans="2:16" ht="18.5" customHeight="1" thickBot="1" x14ac:dyDescent="0.35">
      <c r="B17" s="202" t="s">
        <v>206</v>
      </c>
      <c r="C17" s="208">
        <v>11.45</v>
      </c>
      <c r="D17" s="208">
        <v>0</v>
      </c>
      <c r="E17" s="208">
        <v>0</v>
      </c>
      <c r="F17" s="208">
        <v>0</v>
      </c>
      <c r="G17" s="208">
        <v>25.64</v>
      </c>
      <c r="H17" s="208"/>
      <c r="I17" s="110"/>
      <c r="J17" s="202" t="s">
        <v>206</v>
      </c>
      <c r="K17" s="207"/>
      <c r="L17" s="203">
        <f t="shared" si="1"/>
        <v>-1</v>
      </c>
      <c r="M17" s="203">
        <f t="shared" si="0"/>
        <v>-1</v>
      </c>
      <c r="N17" s="203">
        <f t="shared" si="0"/>
        <v>-1</v>
      </c>
      <c r="O17" s="203">
        <f t="shared" si="0"/>
        <v>1.2393013100436683</v>
      </c>
      <c r="P17" s="207"/>
    </row>
    <row r="18" spans="2:16" ht="27.5" customHeight="1" x14ac:dyDescent="0.3">
      <c r="B18" s="210" t="s">
        <v>207</v>
      </c>
      <c r="C18" s="212">
        <v>104.48</v>
      </c>
      <c r="D18" s="212">
        <v>825.29</v>
      </c>
      <c r="E18" s="212">
        <v>810.51</v>
      </c>
      <c r="F18" s="212">
        <v>774.2</v>
      </c>
      <c r="G18" s="211">
        <v>1653.82</v>
      </c>
      <c r="H18" s="208"/>
      <c r="I18" s="110"/>
      <c r="J18" s="205" t="s">
        <v>207</v>
      </c>
      <c r="K18" s="209"/>
      <c r="L18" s="206">
        <f t="shared" si="1"/>
        <v>6.8990237366003058</v>
      </c>
      <c r="M18" s="206">
        <f t="shared" si="0"/>
        <v>6.7575612557427256</v>
      </c>
      <c r="N18" s="206">
        <f t="shared" si="0"/>
        <v>6.4100306278713628</v>
      </c>
      <c r="O18" s="206">
        <f t="shared" si="0"/>
        <v>14.829058192955587</v>
      </c>
      <c r="P18" s="207"/>
    </row>
    <row r="19" spans="2:16" ht="18.5" customHeight="1" x14ac:dyDescent="0.3">
      <c r="B19" s="116" t="s">
        <v>208</v>
      </c>
      <c r="C19" s="168"/>
      <c r="D19" s="168"/>
      <c r="E19" s="168"/>
      <c r="F19" s="168"/>
      <c r="G19" s="168"/>
      <c r="H19" s="208"/>
      <c r="I19" s="110"/>
      <c r="J19" s="116" t="s">
        <v>208</v>
      </c>
      <c r="K19" s="201"/>
      <c r="L19" s="204"/>
      <c r="M19" s="204"/>
      <c r="N19" s="204"/>
      <c r="O19" s="204"/>
      <c r="P19" s="207"/>
    </row>
    <row r="20" spans="2:16" ht="18.5" customHeight="1" x14ac:dyDescent="0.3">
      <c r="B20" s="202" t="s">
        <v>209</v>
      </c>
      <c r="C20" s="208">
        <v>76.099999999999994</v>
      </c>
      <c r="D20" s="208">
        <v>747.99</v>
      </c>
      <c r="E20" s="126">
        <v>1339.42</v>
      </c>
      <c r="F20" s="126">
        <v>1758.55</v>
      </c>
      <c r="G20" s="126">
        <v>1428.71</v>
      </c>
      <c r="H20" s="208"/>
      <c r="I20" s="110"/>
      <c r="J20" s="202" t="s">
        <v>209</v>
      </c>
      <c r="K20" s="207"/>
      <c r="L20" s="203">
        <f t="shared" si="1"/>
        <v>8.8290407358738499</v>
      </c>
      <c r="M20" s="203">
        <f t="shared" si="0"/>
        <v>16.600788436268072</v>
      </c>
      <c r="N20" s="203">
        <f t="shared" si="0"/>
        <v>22.1084099868594</v>
      </c>
      <c r="O20" s="203">
        <f t="shared" si="0"/>
        <v>17.774113009198427</v>
      </c>
      <c r="P20" s="207"/>
    </row>
    <row r="21" spans="2:16" ht="18.5" customHeight="1" x14ac:dyDescent="0.3">
      <c r="B21" s="202" t="s">
        <v>210</v>
      </c>
      <c r="C21" s="126">
        <v>1140.51</v>
      </c>
      <c r="D21" s="126">
        <v>1047</v>
      </c>
      <c r="E21" s="126">
        <v>1314.75</v>
      </c>
      <c r="F21" s="126">
        <v>1285.22</v>
      </c>
      <c r="G21" s="126">
        <v>1448.81</v>
      </c>
      <c r="H21" s="208"/>
      <c r="I21" s="110"/>
      <c r="J21" s="202" t="s">
        <v>210</v>
      </c>
      <c r="K21" s="207"/>
      <c r="L21" s="203">
        <f t="shared" si="1"/>
        <v>-8.1989636215377318E-2</v>
      </c>
      <c r="M21" s="203">
        <f t="shared" si="0"/>
        <v>0.15277375910776758</v>
      </c>
      <c r="N21" s="203">
        <f t="shared" si="0"/>
        <v>0.12688183356568555</v>
      </c>
      <c r="O21" s="203">
        <f t="shared" si="0"/>
        <v>0.27031766490429715</v>
      </c>
      <c r="P21" s="207"/>
    </row>
    <row r="22" spans="2:16" x14ac:dyDescent="0.3">
      <c r="B22" s="202" t="s">
        <v>211</v>
      </c>
      <c r="C22" s="208">
        <v>438.29</v>
      </c>
      <c r="D22" s="208">
        <v>509.77</v>
      </c>
      <c r="E22" s="208">
        <v>572.63</v>
      </c>
      <c r="F22" s="208">
        <v>626.85</v>
      </c>
      <c r="G22" s="208">
        <v>743.49</v>
      </c>
      <c r="H22" s="208"/>
      <c r="I22" s="110"/>
      <c r="J22" s="202" t="s">
        <v>211</v>
      </c>
      <c r="K22" s="207"/>
      <c r="L22" s="203">
        <f t="shared" si="1"/>
        <v>0.1630883661502657</v>
      </c>
      <c r="M22" s="203">
        <f t="shared" si="0"/>
        <v>0.30650938876086603</v>
      </c>
      <c r="N22" s="203">
        <f t="shared" si="0"/>
        <v>0.43021743594423784</v>
      </c>
      <c r="O22" s="203">
        <f t="shared" si="0"/>
        <v>0.69634260421182315</v>
      </c>
      <c r="P22" s="207"/>
    </row>
    <row r="23" spans="2:16" ht="18.5" customHeight="1" x14ac:dyDescent="0.3">
      <c r="B23" s="202" t="s">
        <v>212</v>
      </c>
      <c r="C23" s="208">
        <v>196.51</v>
      </c>
      <c r="D23" s="208">
        <v>273.7</v>
      </c>
      <c r="E23" s="208">
        <v>387.47</v>
      </c>
      <c r="F23" s="208">
        <v>485.11</v>
      </c>
      <c r="G23" s="208">
        <v>513.39</v>
      </c>
      <c r="H23" s="208"/>
      <c r="I23" s="110"/>
      <c r="J23" s="202" t="s">
        <v>212</v>
      </c>
      <c r="K23" s="207"/>
      <c r="L23" s="203">
        <f t="shared" si="1"/>
        <v>0.39280443743320953</v>
      </c>
      <c r="M23" s="203">
        <f t="shared" si="1"/>
        <v>0.97175716248536992</v>
      </c>
      <c r="N23" s="203">
        <f t="shared" si="1"/>
        <v>1.4686275507607758</v>
      </c>
      <c r="O23" s="203">
        <f t="shared" si="1"/>
        <v>1.6125388020965854</v>
      </c>
      <c r="P23" s="207"/>
    </row>
    <row r="24" spans="2:16" ht="27.5" customHeight="1" thickBot="1" x14ac:dyDescent="0.35">
      <c r="B24" s="116" t="s">
        <v>213</v>
      </c>
      <c r="C24" s="125">
        <v>1851.41</v>
      </c>
      <c r="D24" s="125">
        <v>2578.46</v>
      </c>
      <c r="E24" s="125">
        <v>3614.27</v>
      </c>
      <c r="F24" s="125">
        <v>4155.7299999999996</v>
      </c>
      <c r="G24" s="125">
        <v>4134.3999999999996</v>
      </c>
      <c r="H24" s="208"/>
      <c r="I24" s="110"/>
      <c r="J24" s="116" t="s">
        <v>213</v>
      </c>
      <c r="K24" s="201"/>
      <c r="L24" s="204">
        <f t="shared" si="1"/>
        <v>0.39270069838663502</v>
      </c>
      <c r="M24" s="204">
        <f t="shared" si="1"/>
        <v>0.95217158814093028</v>
      </c>
      <c r="N24" s="204">
        <f t="shared" si="1"/>
        <v>1.2446297686628027</v>
      </c>
      <c r="O24" s="204">
        <f t="shared" si="1"/>
        <v>1.2331088197643956</v>
      </c>
      <c r="P24" s="207"/>
    </row>
    <row r="25" spans="2:16" ht="36.5" customHeight="1" x14ac:dyDescent="0.3">
      <c r="B25" s="210" t="s">
        <v>214</v>
      </c>
      <c r="C25" s="211">
        <v>6241.82</v>
      </c>
      <c r="D25" s="211">
        <v>7842.23</v>
      </c>
      <c r="E25" s="211">
        <v>8008.78</v>
      </c>
      <c r="F25" s="211">
        <v>7515.53</v>
      </c>
      <c r="G25" s="211">
        <v>9352.7199999999993</v>
      </c>
      <c r="H25" s="208"/>
      <c r="I25" s="110"/>
      <c r="J25" s="205" t="s">
        <v>214</v>
      </c>
      <c r="K25" s="209"/>
      <c r="L25" s="206">
        <f t="shared" si="1"/>
        <v>0.25640117786158523</v>
      </c>
      <c r="M25" s="206">
        <f t="shared" si="1"/>
        <v>0.28308410047069604</v>
      </c>
      <c r="N25" s="206">
        <f t="shared" si="1"/>
        <v>0.2040606746109308</v>
      </c>
      <c r="O25" s="206">
        <f t="shared" si="1"/>
        <v>0.49839630107885197</v>
      </c>
      <c r="P25" s="207"/>
    </row>
    <row r="26" spans="2:16" x14ac:dyDescent="0.3">
      <c r="B26" s="116" t="s">
        <v>215</v>
      </c>
      <c r="C26" s="168"/>
      <c r="D26" s="168"/>
      <c r="E26" s="168"/>
      <c r="F26" s="168"/>
      <c r="G26" s="168"/>
      <c r="H26" s="208"/>
      <c r="I26" s="110"/>
      <c r="J26" s="116" t="s">
        <v>215</v>
      </c>
      <c r="K26" s="201"/>
      <c r="L26" s="204"/>
      <c r="M26" s="204"/>
      <c r="N26" s="204"/>
      <c r="O26" s="204"/>
      <c r="P26" s="207"/>
    </row>
    <row r="27" spans="2:16" ht="27.5" customHeight="1" x14ac:dyDescent="0.3">
      <c r="B27" s="116" t="s">
        <v>216</v>
      </c>
      <c r="C27" s="168"/>
      <c r="D27" s="168"/>
      <c r="E27" s="168"/>
      <c r="F27" s="168"/>
      <c r="G27" s="168"/>
      <c r="H27" s="208"/>
      <c r="I27" s="110"/>
      <c r="J27" s="116" t="s">
        <v>216</v>
      </c>
      <c r="K27" s="201"/>
      <c r="L27" s="204"/>
      <c r="M27" s="204"/>
      <c r="N27" s="204"/>
      <c r="O27" s="204"/>
      <c r="P27" s="207"/>
    </row>
    <row r="28" spans="2:16" ht="18.5" customHeight="1" x14ac:dyDescent="0.3">
      <c r="B28" s="202" t="s">
        <v>217</v>
      </c>
      <c r="C28" s="126">
        <v>1550.31</v>
      </c>
      <c r="D28" s="126">
        <v>1730.84</v>
      </c>
      <c r="E28" s="126">
        <v>1648.51</v>
      </c>
      <c r="F28" s="126">
        <v>1598</v>
      </c>
      <c r="G28" s="126">
        <v>2512.8200000000002</v>
      </c>
      <c r="H28" s="208"/>
      <c r="I28" s="110"/>
      <c r="J28" s="202" t="s">
        <v>217</v>
      </c>
      <c r="K28" s="207"/>
      <c r="L28" s="203">
        <f t="shared" si="1"/>
        <v>0.11644767820629422</v>
      </c>
      <c r="M28" s="203">
        <f t="shared" si="1"/>
        <v>6.334217027562232E-2</v>
      </c>
      <c r="N28" s="203">
        <f t="shared" si="1"/>
        <v>3.0761589617560394E-2</v>
      </c>
      <c r="O28" s="203">
        <f t="shared" si="1"/>
        <v>0.62085002354367858</v>
      </c>
      <c r="P28" s="207"/>
    </row>
    <row r="29" spans="2:16" ht="18.5" customHeight="1" x14ac:dyDescent="0.3">
      <c r="B29" s="202" t="s">
        <v>218</v>
      </c>
      <c r="C29" s="208">
        <v>7.62</v>
      </c>
      <c r="D29" s="208">
        <v>8.3699999999999992</v>
      </c>
      <c r="E29" s="208">
        <v>8.5399999999999991</v>
      </c>
      <c r="F29" s="208">
        <v>15.6</v>
      </c>
      <c r="G29" s="208">
        <v>14.24</v>
      </c>
      <c r="H29" s="208"/>
      <c r="I29" s="110"/>
      <c r="J29" s="202" t="s">
        <v>218</v>
      </c>
      <c r="K29" s="207"/>
      <c r="L29" s="203">
        <f t="shared" si="1"/>
        <v>9.8425196850393581E-2</v>
      </c>
      <c r="M29" s="203">
        <f t="shared" si="1"/>
        <v>0.12073490813648281</v>
      </c>
      <c r="N29" s="203">
        <f t="shared" si="1"/>
        <v>1.0472440944881889</v>
      </c>
      <c r="O29" s="203">
        <f t="shared" si="1"/>
        <v>0.86876640419947504</v>
      </c>
      <c r="P29" s="207"/>
    </row>
    <row r="30" spans="2:16" x14ac:dyDescent="0.3">
      <c r="B30" s="202" t="s">
        <v>219</v>
      </c>
      <c r="C30" s="208">
        <v>101.24</v>
      </c>
      <c r="D30" s="208">
        <v>39.549999999999997</v>
      </c>
      <c r="E30" s="208">
        <v>116.52</v>
      </c>
      <c r="F30" s="208">
        <v>535.67999999999995</v>
      </c>
      <c r="G30" s="208">
        <v>105</v>
      </c>
      <c r="H30" s="208"/>
      <c r="I30" s="110"/>
      <c r="J30" s="202" t="s">
        <v>219</v>
      </c>
      <c r="K30" s="207"/>
      <c r="L30" s="203">
        <f t="shared" si="1"/>
        <v>-0.60934413275385224</v>
      </c>
      <c r="M30" s="203">
        <f t="shared" si="1"/>
        <v>0.15092848676412488</v>
      </c>
      <c r="N30" s="203">
        <f t="shared" si="1"/>
        <v>4.2911892532595806</v>
      </c>
      <c r="O30" s="203">
        <f t="shared" si="1"/>
        <v>3.7139470564994129E-2</v>
      </c>
      <c r="P30" s="207"/>
    </row>
    <row r="31" spans="2:16" ht="18.5" customHeight="1" x14ac:dyDescent="0.3">
      <c r="B31" s="116" t="s">
        <v>220</v>
      </c>
      <c r="C31" s="125">
        <v>1659.17</v>
      </c>
      <c r="D31" s="125">
        <v>1778.76</v>
      </c>
      <c r="E31" s="125">
        <v>1773.57</v>
      </c>
      <c r="F31" s="125">
        <v>2149.2800000000002</v>
      </c>
      <c r="G31" s="125">
        <v>2632.06</v>
      </c>
      <c r="H31" s="208"/>
      <c r="I31" s="110"/>
      <c r="J31" s="116" t="s">
        <v>220</v>
      </c>
      <c r="K31" s="201"/>
      <c r="L31" s="204">
        <f t="shared" si="1"/>
        <v>7.2078207778588033E-2</v>
      </c>
      <c r="M31" s="204">
        <f t="shared" si="1"/>
        <v>6.8950137719462054E-2</v>
      </c>
      <c r="N31" s="204">
        <f t="shared" si="1"/>
        <v>0.29539468529445451</v>
      </c>
      <c r="O31" s="204">
        <f t="shared" si="1"/>
        <v>0.58637149900251317</v>
      </c>
      <c r="P31" s="207"/>
    </row>
    <row r="32" spans="2:16" x14ac:dyDescent="0.3">
      <c r="B32" s="202" t="s">
        <v>221</v>
      </c>
      <c r="C32" s="208">
        <v>726.4</v>
      </c>
      <c r="D32" s="126">
        <v>1884.46</v>
      </c>
      <c r="E32" s="126">
        <v>1387.44</v>
      </c>
      <c r="F32" s="208">
        <v>928.64</v>
      </c>
      <c r="G32" s="126">
        <v>1523.25</v>
      </c>
      <c r="H32" s="208"/>
      <c r="I32" s="110"/>
      <c r="J32" s="202" t="s">
        <v>221</v>
      </c>
      <c r="K32" s="207"/>
      <c r="L32" s="203">
        <f t="shared" si="1"/>
        <v>1.5942455947136565</v>
      </c>
      <c r="M32" s="203">
        <f t="shared" si="1"/>
        <v>0.91002202643171815</v>
      </c>
      <c r="N32" s="203">
        <f t="shared" si="1"/>
        <v>0.27841409691629959</v>
      </c>
      <c r="O32" s="203">
        <f t="shared" si="1"/>
        <v>1.0969851321585904</v>
      </c>
      <c r="P32" s="207"/>
    </row>
    <row r="33" spans="2:16" x14ac:dyDescent="0.3">
      <c r="B33" s="202" t="s">
        <v>222</v>
      </c>
      <c r="C33" s="208">
        <v>13.75</v>
      </c>
      <c r="D33" s="208">
        <v>19.559999999999999</v>
      </c>
      <c r="E33" s="208">
        <v>9.66</v>
      </c>
      <c r="F33" s="208">
        <v>44.93</v>
      </c>
      <c r="G33" s="208">
        <v>43.64</v>
      </c>
      <c r="H33" s="208"/>
      <c r="I33" s="110"/>
      <c r="J33" s="202" t="s">
        <v>222</v>
      </c>
      <c r="K33" s="207"/>
      <c r="L33" s="203">
        <f t="shared" si="1"/>
        <v>0.42254545454545445</v>
      </c>
      <c r="M33" s="203">
        <f t="shared" si="1"/>
        <v>-0.29745454545454547</v>
      </c>
      <c r="N33" s="203">
        <f t="shared" si="1"/>
        <v>2.2676363636363637</v>
      </c>
      <c r="O33" s="203">
        <f t="shared" si="1"/>
        <v>2.1738181818181816</v>
      </c>
      <c r="P33" s="207"/>
    </row>
    <row r="34" spans="2:16" ht="27.5" customHeight="1" x14ac:dyDescent="0.3">
      <c r="B34" s="202" t="s">
        <v>223</v>
      </c>
      <c r="C34" s="208">
        <v>19.02</v>
      </c>
      <c r="D34" s="208">
        <v>202.95</v>
      </c>
      <c r="E34" s="208">
        <v>74.58</v>
      </c>
      <c r="F34" s="208">
        <v>100</v>
      </c>
      <c r="G34" s="208">
        <v>150</v>
      </c>
      <c r="H34" s="208"/>
      <c r="I34" s="110"/>
      <c r="J34" s="202" t="s">
        <v>223</v>
      </c>
      <c r="K34" s="207"/>
      <c r="L34" s="203">
        <f t="shared" si="1"/>
        <v>9.6703470031545731</v>
      </c>
      <c r="M34" s="203">
        <f t="shared" si="1"/>
        <v>2.9211356466876972</v>
      </c>
      <c r="N34" s="203">
        <f t="shared" si="1"/>
        <v>4.2576235541535228</v>
      </c>
      <c r="O34" s="203">
        <f t="shared" si="1"/>
        <v>6.8864353312302837</v>
      </c>
      <c r="P34" s="207"/>
    </row>
    <row r="35" spans="2:16" ht="27.5" customHeight="1" thickBot="1" x14ac:dyDescent="0.35">
      <c r="B35" s="202" t="s">
        <v>224</v>
      </c>
      <c r="C35" s="208">
        <v>166.77</v>
      </c>
      <c r="D35" s="208">
        <v>142.56</v>
      </c>
      <c r="E35" s="208">
        <v>207.95</v>
      </c>
      <c r="F35" s="208">
        <v>182.65</v>
      </c>
      <c r="G35" s="208">
        <v>129.38</v>
      </c>
      <c r="H35" s="208"/>
      <c r="I35" s="110"/>
      <c r="J35" s="202" t="s">
        <v>224</v>
      </c>
      <c r="K35" s="207"/>
      <c r="L35" s="203">
        <f t="shared" si="1"/>
        <v>-0.14516999460334595</v>
      </c>
      <c r="M35" s="203">
        <f t="shared" si="1"/>
        <v>0.24692690531870226</v>
      </c>
      <c r="N35" s="203">
        <f t="shared" si="1"/>
        <v>9.5220963002938142E-2</v>
      </c>
      <c r="O35" s="203">
        <f t="shared" si="1"/>
        <v>-0.2242009953828627</v>
      </c>
      <c r="P35" s="207"/>
    </row>
    <row r="36" spans="2:16" ht="27.5" customHeight="1" x14ac:dyDescent="0.3">
      <c r="B36" s="210" t="s">
        <v>225</v>
      </c>
      <c r="C36" s="211">
        <v>2715.48</v>
      </c>
      <c r="D36" s="211">
        <v>4167.26</v>
      </c>
      <c r="E36" s="211">
        <v>3589.1</v>
      </c>
      <c r="F36" s="211">
        <v>3545.11</v>
      </c>
      <c r="G36" s="211">
        <v>4606.49</v>
      </c>
      <c r="H36" s="208"/>
      <c r="I36" s="110"/>
      <c r="J36" s="205" t="s">
        <v>225</v>
      </c>
      <c r="K36" s="209"/>
      <c r="L36" s="206">
        <f t="shared" si="1"/>
        <v>0.53463107811510313</v>
      </c>
      <c r="M36" s="206">
        <f t="shared" si="1"/>
        <v>0.32171844388469067</v>
      </c>
      <c r="N36" s="206">
        <f t="shared" si="1"/>
        <v>0.30551872965368926</v>
      </c>
      <c r="O36" s="206">
        <f t="shared" si="1"/>
        <v>0.6963814868826137</v>
      </c>
      <c r="P36" s="207"/>
    </row>
    <row r="37" spans="2:16" ht="18.5" customHeight="1" x14ac:dyDescent="0.3">
      <c r="B37" s="116" t="s">
        <v>226</v>
      </c>
      <c r="C37" s="168"/>
      <c r="D37" s="168"/>
      <c r="E37" s="168"/>
      <c r="F37" s="168"/>
      <c r="G37" s="168"/>
      <c r="H37" s="208"/>
      <c r="I37" s="110"/>
      <c r="J37" s="116" t="s">
        <v>226</v>
      </c>
      <c r="K37" s="201"/>
      <c r="L37" s="204"/>
      <c r="M37" s="204"/>
      <c r="N37" s="204"/>
      <c r="O37" s="204"/>
      <c r="P37" s="207"/>
    </row>
    <row r="38" spans="2:16" ht="18.5" customHeight="1" x14ac:dyDescent="0.3">
      <c r="B38" s="202" t="s">
        <v>227</v>
      </c>
      <c r="C38" s="208">
        <v>749.88</v>
      </c>
      <c r="D38" s="126">
        <v>1008.77</v>
      </c>
      <c r="E38" s="126">
        <v>1393.25</v>
      </c>
      <c r="F38" s="208">
        <v>833.73</v>
      </c>
      <c r="G38" s="126">
        <v>1800.99</v>
      </c>
      <c r="H38" s="208"/>
      <c r="I38" s="110"/>
      <c r="J38" s="202" t="s">
        <v>227</v>
      </c>
      <c r="K38" s="207"/>
      <c r="L38" s="203">
        <f t="shared" si="1"/>
        <v>0.3452419053715261</v>
      </c>
      <c r="M38" s="203">
        <f t="shared" si="1"/>
        <v>0.85796394089721029</v>
      </c>
      <c r="N38" s="203">
        <f t="shared" si="1"/>
        <v>0.11181789086253803</v>
      </c>
      <c r="O38" s="203">
        <f t="shared" si="1"/>
        <v>1.4017042726836295</v>
      </c>
      <c r="P38" s="207"/>
    </row>
    <row r="39" spans="2:16" x14ac:dyDescent="0.3">
      <c r="B39" s="202" t="s">
        <v>228</v>
      </c>
      <c r="C39" s="208">
        <v>781.38</v>
      </c>
      <c r="D39" s="208">
        <v>740.96</v>
      </c>
      <c r="E39" s="126">
        <v>1091.49</v>
      </c>
      <c r="F39" s="126">
        <v>1367.49</v>
      </c>
      <c r="G39" s="126">
        <v>1193.26</v>
      </c>
      <c r="H39" s="208"/>
      <c r="I39" s="110"/>
      <c r="J39" s="202" t="s">
        <v>228</v>
      </c>
      <c r="K39" s="207"/>
      <c r="L39" s="203">
        <f t="shared" si="1"/>
        <v>-5.1728992295681946E-2</v>
      </c>
      <c r="M39" s="203">
        <f t="shared" si="1"/>
        <v>0.39687476003992939</v>
      </c>
      <c r="N39" s="203">
        <f t="shared" si="1"/>
        <v>0.75009598402825772</v>
      </c>
      <c r="O39" s="203">
        <f t="shared" si="1"/>
        <v>0.52711868745040824</v>
      </c>
      <c r="P39" s="207"/>
    </row>
    <row r="40" spans="2:16" ht="18.5" customHeight="1" x14ac:dyDescent="0.3">
      <c r="B40" s="202" t="s">
        <v>229</v>
      </c>
      <c r="C40" s="208">
        <v>394.24</v>
      </c>
      <c r="D40" s="208">
        <v>320.36</v>
      </c>
      <c r="E40" s="208">
        <v>257.27</v>
      </c>
      <c r="F40" s="208">
        <v>331.93</v>
      </c>
      <c r="G40" s="208">
        <v>328.94</v>
      </c>
      <c r="H40" s="208"/>
      <c r="I40" s="110"/>
      <c r="J40" s="202" t="s">
        <v>229</v>
      </c>
      <c r="K40" s="207"/>
      <c r="L40" s="203">
        <f t="shared" si="1"/>
        <v>-0.18739853896103895</v>
      </c>
      <c r="M40" s="203">
        <f t="shared" si="1"/>
        <v>-0.34742796266233772</v>
      </c>
      <c r="N40" s="203">
        <f t="shared" si="1"/>
        <v>-0.15805093344155843</v>
      </c>
      <c r="O40" s="203">
        <f t="shared" si="1"/>
        <v>-0.16563514610389612</v>
      </c>
      <c r="P40" s="207"/>
    </row>
    <row r="41" spans="2:16" ht="27.5" customHeight="1" x14ac:dyDescent="0.3">
      <c r="B41" s="202" t="s">
        <v>230</v>
      </c>
      <c r="C41" s="208">
        <v>109.82</v>
      </c>
      <c r="D41" s="208">
        <v>122.85</v>
      </c>
      <c r="E41" s="208">
        <v>211.34</v>
      </c>
      <c r="F41" s="208">
        <v>184.9</v>
      </c>
      <c r="G41" s="208">
        <v>197.98</v>
      </c>
      <c r="H41" s="208"/>
      <c r="I41" s="110"/>
      <c r="J41" s="202" t="s">
        <v>230</v>
      </c>
      <c r="K41" s="207"/>
      <c r="L41" s="203">
        <f t="shared" si="1"/>
        <v>0.11864869786924059</v>
      </c>
      <c r="M41" s="203">
        <f t="shared" si="1"/>
        <v>0.92442178109633966</v>
      </c>
      <c r="N41" s="203">
        <f t="shared" si="1"/>
        <v>0.68366417774540167</v>
      </c>
      <c r="O41" s="203">
        <f t="shared" si="1"/>
        <v>0.80276816608996537</v>
      </c>
      <c r="P41" s="207"/>
    </row>
    <row r="42" spans="2:16" ht="27.5" customHeight="1" x14ac:dyDescent="0.3">
      <c r="B42" s="202" t="s">
        <v>231</v>
      </c>
      <c r="C42" s="126">
        <v>1203.92</v>
      </c>
      <c r="D42" s="126">
        <v>1110.1099999999999</v>
      </c>
      <c r="E42" s="208">
        <v>946.56</v>
      </c>
      <c r="F42" s="208">
        <v>698</v>
      </c>
      <c r="G42" s="208">
        <v>560</v>
      </c>
      <c r="H42" s="208"/>
      <c r="I42" s="110"/>
      <c r="J42" s="202" t="s">
        <v>231</v>
      </c>
      <c r="K42" s="207"/>
      <c r="L42" s="203">
        <f t="shared" si="1"/>
        <v>-7.7920459831218161E-2</v>
      </c>
      <c r="M42" s="203">
        <f t="shared" si="1"/>
        <v>-0.21376835670144204</v>
      </c>
      <c r="N42" s="203">
        <f t="shared" si="1"/>
        <v>-0.42022725762509139</v>
      </c>
      <c r="O42" s="203">
        <f t="shared" si="1"/>
        <v>-0.53485281414047448</v>
      </c>
      <c r="P42" s="207"/>
    </row>
    <row r="43" spans="2:16" ht="18.5" customHeight="1" x14ac:dyDescent="0.3">
      <c r="B43" s="202" t="s">
        <v>232</v>
      </c>
      <c r="C43" s="208">
        <v>287.10000000000002</v>
      </c>
      <c r="D43" s="208">
        <v>371.92</v>
      </c>
      <c r="E43" s="208">
        <v>519.77</v>
      </c>
      <c r="F43" s="208">
        <v>554.37</v>
      </c>
      <c r="G43" s="208">
        <v>665.06</v>
      </c>
      <c r="H43" s="208"/>
      <c r="I43" s="110"/>
      <c r="J43" s="202" t="s">
        <v>232</v>
      </c>
      <c r="K43" s="207"/>
      <c r="L43" s="203">
        <f t="shared" si="1"/>
        <v>0.29543712991988852</v>
      </c>
      <c r="M43" s="203">
        <f t="shared" si="1"/>
        <v>0.81041448972483432</v>
      </c>
      <c r="N43" s="203">
        <f t="shared" si="1"/>
        <v>0.93092998955067907</v>
      </c>
      <c r="O43" s="203">
        <f t="shared" si="1"/>
        <v>1.3164750957854403</v>
      </c>
      <c r="P43" s="207"/>
    </row>
    <row r="44" spans="2:16" ht="27.5" customHeight="1" thickBot="1" x14ac:dyDescent="0.35">
      <c r="B44" s="116" t="s">
        <v>233</v>
      </c>
      <c r="C44" s="125">
        <v>3526.34</v>
      </c>
      <c r="D44" s="125">
        <v>3674.97</v>
      </c>
      <c r="E44" s="125">
        <v>4419.68</v>
      </c>
      <c r="F44" s="125">
        <v>3970.42</v>
      </c>
      <c r="G44" s="125">
        <v>4746.2299999999996</v>
      </c>
      <c r="H44" s="208"/>
      <c r="I44" s="110"/>
      <c r="J44" s="116" t="s">
        <v>233</v>
      </c>
      <c r="K44" s="201"/>
      <c r="L44" s="204">
        <f t="shared" si="1"/>
        <v>4.2148516592274046E-2</v>
      </c>
      <c r="M44" s="204">
        <f t="shared" si="1"/>
        <v>0.25333348457607607</v>
      </c>
      <c r="N44" s="204">
        <f t="shared" si="1"/>
        <v>0.12593226971874519</v>
      </c>
      <c r="O44" s="204">
        <f t="shared" si="1"/>
        <v>0.34593658013691231</v>
      </c>
      <c r="P44" s="207"/>
    </row>
    <row r="45" spans="2:16" ht="18.5" customHeight="1" x14ac:dyDescent="0.3">
      <c r="B45" s="210" t="s">
        <v>234</v>
      </c>
      <c r="C45" s="211">
        <v>6241.82</v>
      </c>
      <c r="D45" s="211">
        <v>7842.23</v>
      </c>
      <c r="E45" s="211">
        <v>8008.78</v>
      </c>
      <c r="F45" s="211">
        <v>7515.53</v>
      </c>
      <c r="G45" s="211">
        <v>9352.7199999999993</v>
      </c>
      <c r="H45" s="208"/>
      <c r="I45" s="110"/>
      <c r="J45" s="205" t="s">
        <v>234</v>
      </c>
      <c r="K45" s="209"/>
      <c r="L45" s="206">
        <f t="shared" si="1"/>
        <v>0.25640117786158523</v>
      </c>
      <c r="M45" s="206">
        <f t="shared" si="1"/>
        <v>0.28308410047069604</v>
      </c>
      <c r="N45" s="206">
        <f t="shared" si="1"/>
        <v>0.2040606746109308</v>
      </c>
      <c r="O45" s="206">
        <f t="shared" si="1"/>
        <v>0.49839630107885197</v>
      </c>
      <c r="P45" s="207"/>
    </row>
    <row r="46" spans="2:16" ht="36.5" customHeight="1" x14ac:dyDescent="0.3">
      <c r="B46" s="116" t="s">
        <v>159</v>
      </c>
      <c r="C46" s="168"/>
      <c r="D46" s="168"/>
      <c r="E46" s="168"/>
      <c r="F46" s="168"/>
      <c r="G46" s="168"/>
      <c r="H46" s="208"/>
      <c r="I46" s="110"/>
      <c r="J46" s="116" t="s">
        <v>159</v>
      </c>
      <c r="K46" s="201"/>
      <c r="L46" s="204"/>
      <c r="M46" s="204"/>
      <c r="N46" s="204"/>
      <c r="O46" s="204"/>
      <c r="P46" s="207"/>
    </row>
    <row r="47" spans="2:16" ht="45.5" customHeight="1" x14ac:dyDescent="0.3">
      <c r="B47" s="116" t="s">
        <v>235</v>
      </c>
      <c r="C47" s="168"/>
      <c r="D47" s="168"/>
      <c r="E47" s="168"/>
      <c r="F47" s="168"/>
      <c r="G47" s="168"/>
      <c r="H47" s="208"/>
      <c r="I47" s="110"/>
      <c r="J47" s="116" t="s">
        <v>235</v>
      </c>
      <c r="K47" s="201"/>
      <c r="L47" s="204"/>
      <c r="M47" s="204"/>
      <c r="N47" s="204"/>
      <c r="O47" s="204"/>
      <c r="P47" s="207"/>
    </row>
    <row r="48" spans="2:16" ht="18.5" customHeight="1" x14ac:dyDescent="0.3">
      <c r="B48" s="202" t="s">
        <v>236</v>
      </c>
      <c r="C48" s="208">
        <v>287.83999999999997</v>
      </c>
      <c r="D48" s="208">
        <v>277.64999999999998</v>
      </c>
      <c r="E48" s="208">
        <v>584.33000000000004</v>
      </c>
      <c r="F48" s="208">
        <v>625.21</v>
      </c>
      <c r="G48" s="208">
        <v>450.31</v>
      </c>
      <c r="H48" s="208"/>
      <c r="I48" s="110"/>
      <c r="J48" s="202" t="s">
        <v>236</v>
      </c>
      <c r="K48" s="207"/>
      <c r="L48" s="203">
        <f t="shared" si="1"/>
        <v>-3.5401612006670365E-2</v>
      </c>
      <c r="M48" s="203">
        <f t="shared" si="1"/>
        <v>1.0300514174541415</v>
      </c>
      <c r="N48" s="203">
        <f t="shared" si="1"/>
        <v>1.1720747637576434</v>
      </c>
      <c r="O48" s="203">
        <f t="shared" si="1"/>
        <v>0.5644455252918289</v>
      </c>
      <c r="P48" s="207"/>
    </row>
    <row r="49" spans="2:16" ht="18.5" customHeight="1" x14ac:dyDescent="0.3">
      <c r="B49" s="116" t="s">
        <v>237</v>
      </c>
      <c r="C49" s="168"/>
      <c r="D49" s="168"/>
      <c r="E49" s="168"/>
      <c r="F49" s="168"/>
      <c r="G49" s="168"/>
      <c r="H49" s="208"/>
      <c r="I49" s="110"/>
      <c r="J49" s="116" t="s">
        <v>237</v>
      </c>
      <c r="K49" s="201"/>
      <c r="L49" s="204"/>
      <c r="M49" s="204"/>
      <c r="N49" s="204"/>
      <c r="O49" s="204"/>
      <c r="P49" s="207"/>
    </row>
    <row r="50" spans="2:16" x14ac:dyDescent="0.3">
      <c r="B50" s="202" t="s">
        <v>238</v>
      </c>
      <c r="C50" s="208">
        <v>21.94</v>
      </c>
      <c r="D50" s="208">
        <v>21.94</v>
      </c>
      <c r="E50" s="208">
        <v>21.94</v>
      </c>
      <c r="F50" s="208">
        <v>21.94</v>
      </c>
      <c r="G50" s="208">
        <v>21.94</v>
      </c>
      <c r="H50" s="208"/>
      <c r="I50" s="110"/>
      <c r="J50" s="202" t="s">
        <v>238</v>
      </c>
      <c r="K50" s="207"/>
      <c r="L50" s="203">
        <f t="shared" si="1"/>
        <v>0</v>
      </c>
      <c r="M50" s="203">
        <f t="shared" si="1"/>
        <v>0</v>
      </c>
      <c r="N50" s="203">
        <f t="shared" si="1"/>
        <v>0</v>
      </c>
      <c r="O50" s="203">
        <f t="shared" si="1"/>
        <v>0</v>
      </c>
      <c r="P50" s="207"/>
    </row>
    <row r="51" spans="2:16" ht="36.5" customHeight="1" x14ac:dyDescent="0.3">
      <c r="B51" s="116" t="s">
        <v>239</v>
      </c>
      <c r="C51" s="168"/>
      <c r="D51" s="168"/>
      <c r="E51" s="168"/>
      <c r="F51" s="168"/>
      <c r="G51" s="168"/>
      <c r="H51" s="208"/>
      <c r="I51" s="110"/>
      <c r="J51" s="116" t="s">
        <v>239</v>
      </c>
      <c r="K51" s="201"/>
      <c r="L51" s="204"/>
      <c r="M51" s="204"/>
      <c r="N51" s="204"/>
      <c r="O51" s="204"/>
      <c r="P51" s="207"/>
    </row>
    <row r="52" spans="2:16" ht="36.5" customHeight="1" x14ac:dyDescent="0.3">
      <c r="B52" s="202" t="s">
        <v>240</v>
      </c>
      <c r="C52" s="208">
        <v>0</v>
      </c>
      <c r="D52" s="208">
        <v>0</v>
      </c>
      <c r="E52" s="208">
        <v>0</v>
      </c>
      <c r="F52" s="208">
        <v>0</v>
      </c>
      <c r="G52" s="208">
        <v>0</v>
      </c>
      <c r="H52" s="208"/>
      <c r="I52" s="110"/>
      <c r="J52" s="202" t="s">
        <v>240</v>
      </c>
      <c r="K52" s="207"/>
      <c r="L52" s="203"/>
      <c r="M52" s="203"/>
      <c r="N52" s="203"/>
      <c r="O52" s="203"/>
      <c r="P52" s="207"/>
    </row>
    <row r="53" spans="2:16" ht="36.5" customHeight="1" x14ac:dyDescent="0.3">
      <c r="B53" s="202" t="s">
        <v>241</v>
      </c>
      <c r="C53" s="208">
        <v>725.36</v>
      </c>
      <c r="D53" s="126">
        <v>1882.98</v>
      </c>
      <c r="E53" s="126">
        <v>1385.15</v>
      </c>
      <c r="F53" s="208">
        <v>926.55</v>
      </c>
      <c r="G53" s="126">
        <v>1028.0899999999999</v>
      </c>
      <c r="H53" s="208"/>
      <c r="I53" s="110"/>
      <c r="J53" s="202" t="s">
        <v>241</v>
      </c>
      <c r="K53" s="207"/>
      <c r="L53" s="203">
        <f t="shared" si="1"/>
        <v>1.5959247821771256</v>
      </c>
      <c r="M53" s="203">
        <f t="shared" si="1"/>
        <v>0.90960350722399919</v>
      </c>
      <c r="N53" s="203">
        <f t="shared" si="1"/>
        <v>0.27736572184846137</v>
      </c>
      <c r="O53" s="203">
        <f t="shared" si="1"/>
        <v>0.41735138414028883</v>
      </c>
      <c r="P53" s="207"/>
    </row>
    <row r="54" spans="2:16" ht="27.5" customHeight="1" x14ac:dyDescent="0.3">
      <c r="B54" s="116" t="s">
        <v>242</v>
      </c>
      <c r="C54" s="168"/>
      <c r="D54" s="168"/>
      <c r="E54" s="168"/>
      <c r="F54" s="168"/>
      <c r="G54" s="168"/>
      <c r="H54" s="208"/>
      <c r="I54" s="110"/>
      <c r="J54" s="116" t="s">
        <v>242</v>
      </c>
      <c r="K54" s="201"/>
      <c r="L54" s="204"/>
      <c r="M54" s="204"/>
      <c r="N54" s="204"/>
      <c r="O54" s="204"/>
      <c r="P54" s="207"/>
    </row>
    <row r="55" spans="2:16" ht="36.5" customHeight="1" x14ac:dyDescent="0.3">
      <c r="B55" s="202" t="s">
        <v>243</v>
      </c>
      <c r="C55" s="208">
        <v>0</v>
      </c>
      <c r="D55" s="208">
        <v>0</v>
      </c>
      <c r="E55" s="208">
        <v>0</v>
      </c>
      <c r="F55" s="208">
        <v>0</v>
      </c>
      <c r="G55" s="208">
        <v>0</v>
      </c>
      <c r="H55" s="208"/>
      <c r="I55" s="110"/>
      <c r="J55" s="202" t="s">
        <v>243</v>
      </c>
      <c r="K55" s="207"/>
      <c r="L55" s="203"/>
      <c r="M55" s="203"/>
      <c r="N55" s="203"/>
      <c r="O55" s="203"/>
      <c r="P55" s="207"/>
    </row>
    <row r="56" spans="2:16" ht="36.5" customHeight="1" x14ac:dyDescent="0.3">
      <c r="B56" s="202" t="s">
        <v>244</v>
      </c>
      <c r="C56" s="208">
        <v>749.88</v>
      </c>
      <c r="D56" s="126">
        <v>1008.77</v>
      </c>
      <c r="E56" s="126">
        <v>1393.25</v>
      </c>
      <c r="F56" s="208">
        <v>833.73</v>
      </c>
      <c r="G56" s="126">
        <v>1800.99</v>
      </c>
      <c r="H56" s="208"/>
      <c r="I56" s="110"/>
      <c r="J56" s="202" t="s">
        <v>244</v>
      </c>
      <c r="K56" s="207"/>
      <c r="L56" s="203">
        <f t="shared" si="1"/>
        <v>0.3452419053715261</v>
      </c>
      <c r="M56" s="203">
        <f t="shared" si="1"/>
        <v>0.85796394089721029</v>
      </c>
      <c r="N56" s="203">
        <f t="shared" si="1"/>
        <v>0.11181789086253803</v>
      </c>
      <c r="O56" s="203">
        <f t="shared" si="1"/>
        <v>1.4017042726836295</v>
      </c>
      <c r="P56" s="207"/>
    </row>
    <row r="65" spans="2:17" ht="14.5" thickBot="1" x14ac:dyDescent="0.35"/>
    <row r="66" spans="2:17" ht="14.5" x14ac:dyDescent="0.35">
      <c r="B66" s="219"/>
      <c r="C66" s="219"/>
      <c r="D66" s="219"/>
      <c r="E66" s="219"/>
      <c r="F66" s="219"/>
      <c r="G66" s="219"/>
      <c r="H66" s="219"/>
      <c r="J66" s="223"/>
      <c r="K66" s="223"/>
      <c r="L66" s="223"/>
      <c r="M66" s="223"/>
      <c r="N66" s="223"/>
      <c r="O66" s="223"/>
    </row>
    <row r="67" spans="2:17" x14ac:dyDescent="0.3">
      <c r="B67" s="236" t="s">
        <v>289</v>
      </c>
      <c r="C67" s="236"/>
      <c r="D67" s="236"/>
      <c r="E67" s="236"/>
      <c r="F67" s="236"/>
      <c r="G67" s="236"/>
      <c r="H67" s="236"/>
      <c r="J67" s="221" t="s">
        <v>285</v>
      </c>
      <c r="K67" s="222"/>
      <c r="L67" s="222"/>
      <c r="M67" s="222"/>
      <c r="N67" s="222"/>
      <c r="O67" s="222"/>
    </row>
    <row r="68" spans="2:17" ht="14.5" customHeight="1" thickBot="1" x14ac:dyDescent="0.4">
      <c r="B68" s="220" t="s">
        <v>185</v>
      </c>
      <c r="C68" s="194">
        <v>43525</v>
      </c>
      <c r="D68" s="194">
        <v>43891</v>
      </c>
      <c r="E68" s="194">
        <v>44256</v>
      </c>
      <c r="F68" s="194">
        <v>44621</v>
      </c>
      <c r="G68" s="194">
        <v>44986</v>
      </c>
      <c r="H68" s="195" t="s">
        <v>268</v>
      </c>
      <c r="J68" s="193" t="s">
        <v>194</v>
      </c>
      <c r="K68" s="194">
        <v>43525</v>
      </c>
      <c r="L68" s="194">
        <v>43891</v>
      </c>
      <c r="M68" s="194">
        <v>44256</v>
      </c>
      <c r="N68" s="194">
        <v>44621</v>
      </c>
      <c r="O68" s="194">
        <v>44986</v>
      </c>
      <c r="P68"/>
    </row>
    <row r="69" spans="2:17" ht="14.5" x14ac:dyDescent="0.35">
      <c r="B69" s="109"/>
      <c r="C69" s="117"/>
      <c r="D69" s="117"/>
      <c r="E69" s="117"/>
      <c r="F69" s="117"/>
      <c r="G69" s="117"/>
      <c r="H69" s="168"/>
      <c r="J69" s="164"/>
      <c r="K69" s="165"/>
      <c r="L69" s="165"/>
      <c r="M69" s="165"/>
      <c r="N69" s="165"/>
      <c r="O69" s="165"/>
      <c r="P69"/>
    </row>
    <row r="70" spans="2:17" ht="14.5" x14ac:dyDescent="0.35">
      <c r="B70" s="167" t="s">
        <v>269</v>
      </c>
      <c r="C70" s="169"/>
      <c r="D70" s="169"/>
      <c r="E70" s="169"/>
      <c r="F70" s="169"/>
      <c r="G70" s="169"/>
      <c r="H70" s="169"/>
      <c r="J70" s="116" t="s">
        <v>195</v>
      </c>
      <c r="K70" s="201"/>
      <c r="L70" s="201"/>
      <c r="M70" s="201"/>
      <c r="N70" s="201"/>
      <c r="O70" s="201"/>
      <c r="P70"/>
    </row>
    <row r="71" spans="2:17" ht="14.5" x14ac:dyDescent="0.35">
      <c r="B71" s="162" t="s">
        <v>270</v>
      </c>
      <c r="C71" s="170"/>
      <c r="D71" s="171">
        <f>(D10/C10)-1</f>
        <v>3.2090922697176838E-2</v>
      </c>
      <c r="E71" s="171">
        <f>(E10/D10)-1</f>
        <v>-0.19540232530838764</v>
      </c>
      <c r="F71" s="171">
        <f>(F10/E10)-1</f>
        <v>-0.27505886189839979</v>
      </c>
      <c r="G71" s="171">
        <f>(G10/F10)-1</f>
        <v>0.38522736690068293</v>
      </c>
      <c r="J71" s="116" t="s">
        <v>196</v>
      </c>
      <c r="K71" s="201"/>
      <c r="L71" s="201"/>
      <c r="M71" s="201"/>
      <c r="N71" s="201"/>
      <c r="O71" s="201"/>
      <c r="P71"/>
      <c r="Q71" s="110"/>
    </row>
    <row r="72" spans="2:17" ht="14.5" x14ac:dyDescent="0.35">
      <c r="B72" s="110" t="s">
        <v>271</v>
      </c>
      <c r="C72" s="172">
        <f>C18/C11</f>
        <v>2.4564744607065186E-2</v>
      </c>
      <c r="D72" s="172">
        <f>D18/D11</f>
        <v>0.18744534765139695</v>
      </c>
      <c r="E72" s="172">
        <f>E18/E11</f>
        <v>0.22846326874615944</v>
      </c>
      <c r="F72" s="172">
        <f>F18/F11</f>
        <v>0.30264649544583871</v>
      </c>
      <c r="G72" s="172">
        <f>G18/G11</f>
        <v>0.46793821637848831</v>
      </c>
      <c r="J72" s="202" t="s">
        <v>24</v>
      </c>
      <c r="K72" s="203">
        <f t="shared" ref="K72:K81" si="2">C7/C$25</f>
        <v>3.849838668849791E-3</v>
      </c>
      <c r="L72" s="203">
        <f t="shared" ref="L72:L81" si="3">D7/D$25</f>
        <v>3.0667297439631331E-3</v>
      </c>
      <c r="M72" s="203">
        <f t="shared" ref="M72:M81" si="4">E7/E$25</f>
        <v>3.0079487762181005E-3</v>
      </c>
      <c r="N72" s="203">
        <f t="shared" ref="N72:N81" si="5">F7/F$25</f>
        <v>3.2053627621737922E-3</v>
      </c>
      <c r="O72" s="203">
        <f t="shared" ref="O72:O81" si="6">G7/G$25</f>
        <v>2.5757212874971134E-3</v>
      </c>
      <c r="P72"/>
      <c r="Q72" s="110"/>
    </row>
    <row r="73" spans="2:17" ht="14.5" x14ac:dyDescent="0.35">
      <c r="B73" s="110" t="s">
        <v>272</v>
      </c>
      <c r="C73" s="171">
        <f>C10/C25</f>
        <v>0.67436901416574013</v>
      </c>
      <c r="D73" s="171">
        <f>D10/D25</f>
        <v>0.55397125562499439</v>
      </c>
      <c r="E73" s="171">
        <f>E10/E25</f>
        <v>0.43645474092183828</v>
      </c>
      <c r="F73" s="171">
        <f>F10/F25</f>
        <v>0.33716983366442554</v>
      </c>
      <c r="G73" s="171">
        <f>G10/G25</f>
        <v>0.37531113943323441</v>
      </c>
      <c r="J73" s="116" t="s">
        <v>197</v>
      </c>
      <c r="K73" s="204">
        <f t="shared" si="2"/>
        <v>3.849838668849791E-3</v>
      </c>
      <c r="L73" s="204">
        <f t="shared" si="3"/>
        <v>3.0667297439631331E-3</v>
      </c>
      <c r="M73" s="204">
        <f t="shared" si="4"/>
        <v>3.0079487762181005E-3</v>
      </c>
      <c r="N73" s="204">
        <f t="shared" si="5"/>
        <v>3.2053627621737922E-3</v>
      </c>
      <c r="O73" s="204">
        <f t="shared" si="6"/>
        <v>2.5757212874971134E-3</v>
      </c>
      <c r="P73"/>
      <c r="Q73" s="110"/>
    </row>
    <row r="74" spans="2:17" ht="14.5" x14ac:dyDescent="0.35">
      <c r="B74" s="110"/>
      <c r="C74" s="171"/>
      <c r="D74" s="171"/>
      <c r="E74" s="171"/>
      <c r="F74" s="171"/>
      <c r="G74" s="171"/>
      <c r="J74" s="202" t="s">
        <v>198</v>
      </c>
      <c r="K74" s="203">
        <f t="shared" si="2"/>
        <v>0.67436901416574013</v>
      </c>
      <c r="L74" s="203">
        <f t="shared" si="3"/>
        <v>0.55397125562499439</v>
      </c>
      <c r="M74" s="203">
        <f t="shared" si="4"/>
        <v>0.43645474092183828</v>
      </c>
      <c r="N74" s="203">
        <f t="shared" si="5"/>
        <v>0.33716983366442554</v>
      </c>
      <c r="O74" s="203">
        <f t="shared" si="6"/>
        <v>0.37531113943323441</v>
      </c>
      <c r="P74"/>
      <c r="Q74" s="110"/>
    </row>
    <row r="75" spans="2:17" ht="15" thickBot="1" x14ac:dyDescent="0.4">
      <c r="B75" s="167" t="s">
        <v>273</v>
      </c>
      <c r="C75" s="173"/>
      <c r="D75" s="173"/>
      <c r="E75" s="173"/>
      <c r="F75" s="173"/>
      <c r="G75" s="173"/>
      <c r="H75" s="169"/>
      <c r="J75" s="116" t="s">
        <v>199</v>
      </c>
      <c r="K75" s="204">
        <f t="shared" si="2"/>
        <v>0.67436901416574013</v>
      </c>
      <c r="L75" s="204">
        <f t="shared" si="3"/>
        <v>0.55397125562499439</v>
      </c>
      <c r="M75" s="204">
        <f t="shared" si="4"/>
        <v>0.43645474092183828</v>
      </c>
      <c r="N75" s="204">
        <f t="shared" si="5"/>
        <v>0.33716983366442554</v>
      </c>
      <c r="O75" s="204">
        <f t="shared" si="6"/>
        <v>0.37531113943323441</v>
      </c>
      <c r="P75"/>
      <c r="Q75" s="110"/>
    </row>
    <row r="76" spans="2:17" ht="14.5" x14ac:dyDescent="0.35">
      <c r="B76" s="110" t="s">
        <v>274</v>
      </c>
      <c r="C76" s="172">
        <f>C44/C24</f>
        <v>1.9046780561842056</v>
      </c>
      <c r="D76" s="172">
        <f>D44/D24</f>
        <v>1.4252577119676084</v>
      </c>
      <c r="E76" s="172">
        <f>E44/E24</f>
        <v>1.2228416803393216</v>
      </c>
      <c r="F76" s="172">
        <f>F44/F24</f>
        <v>0.95540855637878319</v>
      </c>
      <c r="G76" s="172">
        <f>G44/G24</f>
        <v>1.147985197368421</v>
      </c>
      <c r="J76" s="205" t="s">
        <v>200</v>
      </c>
      <c r="K76" s="206">
        <f t="shared" si="2"/>
        <v>0.68141183180546705</v>
      </c>
      <c r="L76" s="206">
        <f t="shared" si="3"/>
        <v>0.56142576792570487</v>
      </c>
      <c r="M76" s="206">
        <f t="shared" si="4"/>
        <v>0.44297133895549634</v>
      </c>
      <c r="N76" s="206">
        <f t="shared" si="5"/>
        <v>0.3403751964265993</v>
      </c>
      <c r="O76" s="206">
        <f t="shared" si="6"/>
        <v>0.37788686072073152</v>
      </c>
      <c r="P76"/>
      <c r="Q76" s="110"/>
    </row>
    <row r="77" spans="2:17" ht="14.5" x14ac:dyDescent="0.35">
      <c r="B77" s="110" t="s">
        <v>275</v>
      </c>
      <c r="C77" s="172">
        <f>(C44-C39)/C24</f>
        <v>1.4826321560324294</v>
      </c>
      <c r="D77" s="172">
        <f>(D44-D39)/D24</f>
        <v>1.1378923853773182</v>
      </c>
      <c r="E77" s="172">
        <f>(E44-E39)/E24</f>
        <v>0.92084708668693827</v>
      </c>
      <c r="F77" s="172">
        <f>(F44-F39)/F24</f>
        <v>0.62634723622564525</v>
      </c>
      <c r="G77" s="172">
        <f>(G44-G39)/G24</f>
        <v>0.85936774380804948</v>
      </c>
      <c r="J77" s="202" t="s">
        <v>201</v>
      </c>
      <c r="K77" s="203">
        <f t="shared" si="2"/>
        <v>5.2356524218897691E-3</v>
      </c>
      <c r="L77" s="203">
        <f t="shared" si="3"/>
        <v>4.5459008470804859E-3</v>
      </c>
      <c r="M77" s="203">
        <f t="shared" si="4"/>
        <v>4.5375200717212866E-3</v>
      </c>
      <c r="N77" s="203">
        <f t="shared" si="5"/>
        <v>3.6590899111572971E-3</v>
      </c>
      <c r="O77" s="203">
        <f t="shared" si="6"/>
        <v>3.2322147995449456E-3</v>
      </c>
      <c r="P77"/>
      <c r="Q77" s="110"/>
    </row>
    <row r="78" spans="2:17" ht="14.5" x14ac:dyDescent="0.35">
      <c r="B78" s="110" t="s">
        <v>276</v>
      </c>
      <c r="C78" s="172">
        <f>(C40/'[1]IS Analysis'!C51)*360</f>
        <v>3.2608018380241242</v>
      </c>
      <c r="D78" s="172">
        <f>(D40/'[1]IS Analysis'!D51)*360</f>
        <v>2.627636645325921</v>
      </c>
      <c r="E78" s="172">
        <f>(E40/'[1]IS Analysis'!E51)*360</f>
        <v>2.0927603036876352</v>
      </c>
      <c r="F78" s="172">
        <f>(F40/'[1]IS Analysis'!F51)*360</f>
        <v>2.6779946661885661</v>
      </c>
      <c r="G78" s="172">
        <f>(G40/'[1]IS Analysis'!G51)*360</f>
        <v>2.632338949895523</v>
      </c>
      <c r="J78" s="116" t="s">
        <v>202</v>
      </c>
      <c r="K78" s="204">
        <f t="shared" si="2"/>
        <v>0</v>
      </c>
      <c r="L78" s="204">
        <f t="shared" si="3"/>
        <v>0</v>
      </c>
      <c r="M78" s="204">
        <f t="shared" si="4"/>
        <v>0</v>
      </c>
      <c r="N78" s="204">
        <f t="shared" si="5"/>
        <v>0</v>
      </c>
      <c r="O78" s="204">
        <f t="shared" si="6"/>
        <v>0</v>
      </c>
      <c r="P78"/>
      <c r="Q78" s="110"/>
    </row>
    <row r="79" spans="2:17" ht="14.5" x14ac:dyDescent="0.35">
      <c r="B79" s="110" t="s">
        <v>277</v>
      </c>
      <c r="C79" s="172">
        <f>(C39/'[1]IS Analysis'!C51)*360</f>
        <v>6.46287880528432</v>
      </c>
      <c r="D79" s="172">
        <f>(D39/'[1]IS Analysis'!D51)*360</f>
        <v>6.0774555147980225</v>
      </c>
      <c r="E79" s="172">
        <f>(E39/'[1]IS Analysis'!E51)*360</f>
        <v>8.878714750542299</v>
      </c>
      <c r="F79" s="172">
        <f>(F39/'[1]IS Analysis'!F51)*360</f>
        <v>11.032841038972681</v>
      </c>
      <c r="G79" s="172">
        <f>(G39/'[1]IS Analysis'!G51)*360</f>
        <v>9.5490508158093625</v>
      </c>
      <c r="J79" s="202" t="s">
        <v>203</v>
      </c>
      <c r="K79" s="203">
        <f t="shared" si="2"/>
        <v>9.9201835362121953E-3</v>
      </c>
      <c r="L79" s="203">
        <f t="shared" si="3"/>
        <v>9.7683949590868915E-2</v>
      </c>
      <c r="M79" s="203">
        <f t="shared" si="4"/>
        <v>9.3366280507143407E-2</v>
      </c>
      <c r="N79" s="203">
        <f t="shared" si="5"/>
        <v>9.4070544592330815E-2</v>
      </c>
      <c r="O79" s="203">
        <f t="shared" si="6"/>
        <v>0.16591964690485764</v>
      </c>
      <c r="P79"/>
      <c r="Q79" s="110"/>
    </row>
    <row r="80" spans="2:17" ht="14.5" x14ac:dyDescent="0.35">
      <c r="B80" s="110" t="s">
        <v>278</v>
      </c>
      <c r="C80" s="172">
        <f>(C21/'[1]IS Analysis'!C51)*360</f>
        <v>9.4332820218265372</v>
      </c>
      <c r="D80" s="172">
        <f>(D21/'[1]IS Analysis'!D51)*360</f>
        <v>8.5876375566744887</v>
      </c>
      <c r="E80" s="172">
        <f>(E21/'[1]IS Analysis'!E51)*360</f>
        <v>10.69482104121475</v>
      </c>
      <c r="F80" s="172">
        <f>(F21/'[1]IS Analysis'!F51)*360</f>
        <v>10.369090786849242</v>
      </c>
      <c r="G80" s="172">
        <f>(G21/'[1]IS Analysis'!G51)*360</f>
        <v>11.594087049304228</v>
      </c>
      <c r="J80" s="202" t="s">
        <v>204</v>
      </c>
      <c r="K80" s="203">
        <f t="shared" si="2"/>
        <v>6.200114710132622E-4</v>
      </c>
      <c r="L80" s="203">
        <f t="shared" si="3"/>
        <v>1.6181621809102768E-3</v>
      </c>
      <c r="M80" s="203">
        <f t="shared" si="4"/>
        <v>1.0850591475855249E-3</v>
      </c>
      <c r="N80" s="203">
        <f t="shared" si="5"/>
        <v>1.077768301104513E-4</v>
      </c>
      <c r="O80" s="203">
        <f t="shared" si="6"/>
        <v>1.9994183510251565E-4</v>
      </c>
      <c r="P80"/>
      <c r="Q80" s="110"/>
    </row>
    <row r="81" spans="2:17" ht="14.5" x14ac:dyDescent="0.35">
      <c r="B81" s="110" t="s">
        <v>279</v>
      </c>
      <c r="C81" s="172">
        <f>C80-(C78+C79)</f>
        <v>-0.29039862148190743</v>
      </c>
      <c r="D81" s="172">
        <f>D80-(D78+D79)</f>
        <v>-0.11745460344945435</v>
      </c>
      <c r="E81" s="172">
        <f>E80-(E78+E79)</f>
        <v>-0.27665401301518422</v>
      </c>
      <c r="F81" s="172">
        <f>F80-(F78+F79)</f>
        <v>-3.3417449183120045</v>
      </c>
      <c r="G81" s="172">
        <f>G80-(G78+G79)</f>
        <v>-0.58730271640065723</v>
      </c>
      <c r="J81" s="202" t="s">
        <v>205</v>
      </c>
      <c r="K81" s="203">
        <f t="shared" si="2"/>
        <v>4.3641117494576899E-3</v>
      </c>
      <c r="L81" s="203">
        <f t="shared" si="3"/>
        <v>5.9345364775070355E-3</v>
      </c>
      <c r="M81" s="203">
        <f t="shared" si="4"/>
        <v>6.7513404039067125E-3</v>
      </c>
      <c r="N81" s="203">
        <f t="shared" si="5"/>
        <v>8.8350389127579837E-3</v>
      </c>
      <c r="O81" s="203">
        <f t="shared" si="6"/>
        <v>7.9666663815446213E-3</v>
      </c>
      <c r="P81"/>
      <c r="Q81" s="110"/>
    </row>
    <row r="82" spans="2:17" ht="15" thickBot="1" x14ac:dyDescent="0.4">
      <c r="B82" s="110"/>
      <c r="C82" s="172"/>
      <c r="D82" s="172"/>
      <c r="E82" s="172"/>
      <c r="F82" s="172"/>
      <c r="G82" s="172"/>
      <c r="J82" s="202"/>
      <c r="K82" s="203"/>
      <c r="L82" s="203"/>
      <c r="M82" s="203"/>
      <c r="N82" s="203"/>
      <c r="O82" s="203"/>
      <c r="P82"/>
      <c r="Q82" s="110"/>
    </row>
    <row r="83" spans="2:17" ht="15" thickBot="1" x14ac:dyDescent="0.4">
      <c r="B83" s="219"/>
      <c r="C83" s="219"/>
      <c r="D83" s="219"/>
      <c r="E83" s="219"/>
      <c r="F83" s="219"/>
      <c r="G83" s="219"/>
      <c r="H83" s="219"/>
      <c r="J83" s="202" t="s">
        <v>206</v>
      </c>
      <c r="K83" s="203">
        <f t="shared" ref="K83:K91" si="7">C17/C$25</f>
        <v>1.8344008638506077E-3</v>
      </c>
      <c r="L83" s="203">
        <f t="shared" ref="L83:L91" si="8">D17/D$25</f>
        <v>0</v>
      </c>
      <c r="M83" s="203">
        <f t="shared" ref="M83:M91" si="9">E17/E$25</f>
        <v>0</v>
      </c>
      <c r="N83" s="203">
        <f t="shared" ref="N83:N91" si="10">F17/F$25</f>
        <v>0</v>
      </c>
      <c r="O83" s="203">
        <f t="shared" ref="O83:O91" si="11">G17/G$25</f>
        <v>2.7414484770205889E-3</v>
      </c>
      <c r="P83"/>
      <c r="Q83" s="110"/>
    </row>
    <row r="84" spans="2:17" ht="14.5" x14ac:dyDescent="0.35">
      <c r="B84" s="236" t="s">
        <v>245</v>
      </c>
      <c r="C84" s="236"/>
      <c r="D84" s="236"/>
      <c r="E84" s="236"/>
      <c r="F84" s="236"/>
      <c r="G84" s="236"/>
      <c r="H84" s="236"/>
      <c r="J84" s="205" t="s">
        <v>207</v>
      </c>
      <c r="K84" s="206">
        <f t="shared" si="7"/>
        <v>1.6738707620533755E-2</v>
      </c>
      <c r="L84" s="206">
        <f t="shared" si="8"/>
        <v>0.10523664824928623</v>
      </c>
      <c r="M84" s="206">
        <f t="shared" si="9"/>
        <v>0.10120268005863566</v>
      </c>
      <c r="N84" s="206">
        <f t="shared" si="10"/>
        <v>0.10301336033519926</v>
      </c>
      <c r="O84" s="206">
        <f t="shared" si="11"/>
        <v>0.17682770359852534</v>
      </c>
      <c r="P84"/>
      <c r="Q84" s="110"/>
    </row>
    <row r="85" spans="2:17" ht="15" thickBot="1" x14ac:dyDescent="0.4">
      <c r="B85" s="220" t="s">
        <v>103</v>
      </c>
      <c r="C85" s="224">
        <v>43525</v>
      </c>
      <c r="D85" s="224">
        <v>43891</v>
      </c>
      <c r="E85" s="224">
        <v>44256</v>
      </c>
      <c r="F85" s="224">
        <v>44621</v>
      </c>
      <c r="G85" s="224">
        <v>44986</v>
      </c>
      <c r="H85" s="225" t="s">
        <v>132</v>
      </c>
      <c r="J85" s="116" t="s">
        <v>208</v>
      </c>
      <c r="K85" s="204">
        <f t="shared" si="7"/>
        <v>0</v>
      </c>
      <c r="L85" s="204">
        <f t="shared" si="8"/>
        <v>0</v>
      </c>
      <c r="M85" s="204">
        <f t="shared" si="9"/>
        <v>0</v>
      </c>
      <c r="N85" s="204">
        <f t="shared" si="10"/>
        <v>0</v>
      </c>
      <c r="O85" s="204">
        <f t="shared" si="11"/>
        <v>0</v>
      </c>
      <c r="P85"/>
      <c r="Q85" s="110"/>
    </row>
    <row r="86" spans="2:17" ht="14.5" x14ac:dyDescent="0.35">
      <c r="J86" s="202" t="s">
        <v>209</v>
      </c>
      <c r="K86" s="203">
        <f t="shared" si="7"/>
        <v>1.2191956833103165E-2</v>
      </c>
      <c r="L86" s="203">
        <f t="shared" si="8"/>
        <v>9.5379758053512842E-2</v>
      </c>
      <c r="M86" s="203">
        <f t="shared" si="9"/>
        <v>0.16724394976513279</v>
      </c>
      <c r="N86" s="203">
        <f t="shared" si="10"/>
        <v>0.23398882048238781</v>
      </c>
      <c r="O86" s="203">
        <f t="shared" si="11"/>
        <v>0.15275876964134499</v>
      </c>
      <c r="P86"/>
      <c r="Q86" s="110"/>
    </row>
    <row r="87" spans="2:17" ht="14.5" x14ac:dyDescent="0.35">
      <c r="B87" s="109" t="s">
        <v>246</v>
      </c>
      <c r="C87" s="109"/>
      <c r="D87" s="109"/>
      <c r="E87" s="109"/>
      <c r="F87" s="109"/>
      <c r="G87" s="109"/>
      <c r="H87" s="109"/>
      <c r="J87" s="202" t="s">
        <v>210</v>
      </c>
      <c r="K87" s="203">
        <f t="shared" si="7"/>
        <v>0.18272074491093945</v>
      </c>
      <c r="L87" s="203">
        <f t="shared" si="8"/>
        <v>0.133507943531368</v>
      </c>
      <c r="M87" s="203">
        <f t="shared" si="9"/>
        <v>0.1641635804704337</v>
      </c>
      <c r="N87" s="203">
        <f t="shared" si="10"/>
        <v>0.17100856493154842</v>
      </c>
      <c r="O87" s="203">
        <f t="shared" si="11"/>
        <v>0.15490787706677844</v>
      </c>
      <c r="P87"/>
      <c r="Q87" s="110"/>
    </row>
    <row r="88" spans="2:17" ht="14.5" x14ac:dyDescent="0.35">
      <c r="B88" s="196" t="s">
        <v>247</v>
      </c>
      <c r="C88" s="197">
        <f>'[1]IS Analysis'!C44/'[1]IS Analysis'!C52</f>
        <v>2.8889772260236063E-2</v>
      </c>
      <c r="D88" s="197">
        <f>'[1]IS Analysis'!D44/'[1]IS Analysis'!D52</f>
        <v>3.9024746385818862E-2</v>
      </c>
      <c r="E88" s="197">
        <f>'[1]IS Analysis'!E44/'[1]IS Analysis'!E52</f>
        <v>0.23441819765306079</v>
      </c>
      <c r="F88" s="197">
        <f>'[1]IS Analysis'!F44/'[1]IS Analysis'!F52</f>
        <v>0.13626429868843895</v>
      </c>
      <c r="G88" s="197">
        <f>'[1]IS Analysis'!G44/'[1]IS Analysis'!G52</f>
        <v>8.9034956873089641E-2</v>
      </c>
      <c r="H88" s="196"/>
      <c r="J88" s="202" t="s">
        <v>211</v>
      </c>
      <c r="K88" s="203">
        <f t="shared" si="7"/>
        <v>7.0218301713282347E-2</v>
      </c>
      <c r="L88" s="203">
        <f t="shared" si="8"/>
        <v>6.5003194244494231E-2</v>
      </c>
      <c r="M88" s="203">
        <f t="shared" si="9"/>
        <v>7.1500278444407261E-2</v>
      </c>
      <c r="N88" s="203">
        <f t="shared" si="10"/>
        <v>8.3407291302143693E-2</v>
      </c>
      <c r="O88" s="203">
        <f t="shared" si="11"/>
        <v>7.9494521379876656E-2</v>
      </c>
      <c r="P88"/>
      <c r="Q88" s="110"/>
    </row>
    <row r="89" spans="2:17" ht="14.5" x14ac:dyDescent="0.35">
      <c r="B89" s="196"/>
      <c r="C89" s="196"/>
      <c r="D89" s="196"/>
      <c r="E89" s="196"/>
      <c r="F89" s="196"/>
      <c r="G89" s="196"/>
      <c r="H89" s="196"/>
      <c r="J89" s="202" t="s">
        <v>212</v>
      </c>
      <c r="K89" s="203">
        <f t="shared" si="7"/>
        <v>3.1482804694784532E-2</v>
      </c>
      <c r="L89" s="203">
        <f t="shared" si="8"/>
        <v>3.4900787148553408E-2</v>
      </c>
      <c r="M89" s="203">
        <f t="shared" si="9"/>
        <v>4.8380652234172997E-2</v>
      </c>
      <c r="N89" s="203">
        <f t="shared" si="10"/>
        <v>6.4547676610964236E-2</v>
      </c>
      <c r="O89" s="203">
        <f t="shared" si="11"/>
        <v>5.4892052793198129E-2</v>
      </c>
      <c r="P89"/>
      <c r="Q89" s="110"/>
    </row>
    <row r="90" spans="2:17" ht="15" thickBot="1" x14ac:dyDescent="0.4">
      <c r="B90" s="109" t="s">
        <v>248</v>
      </c>
      <c r="C90" s="110"/>
      <c r="D90" s="110"/>
      <c r="E90" s="110"/>
      <c r="F90" s="110"/>
      <c r="G90" s="110"/>
      <c r="H90" s="110"/>
      <c r="J90" s="116" t="s">
        <v>213</v>
      </c>
      <c r="K90" s="204">
        <f t="shared" si="7"/>
        <v>0.29661380815210953</v>
      </c>
      <c r="L90" s="204">
        <f t="shared" si="8"/>
        <v>0.32879168297792849</v>
      </c>
      <c r="M90" s="204">
        <f t="shared" si="9"/>
        <v>0.45128846091414676</v>
      </c>
      <c r="N90" s="204">
        <f t="shared" si="10"/>
        <v>0.55295235332704407</v>
      </c>
      <c r="O90" s="204">
        <f t="shared" si="11"/>
        <v>0.44205322088119819</v>
      </c>
      <c r="P90"/>
      <c r="Q90" s="110"/>
    </row>
    <row r="91" spans="2:17" ht="14.5" x14ac:dyDescent="0.35">
      <c r="B91" s="110" t="s">
        <v>249</v>
      </c>
      <c r="C91" s="198">
        <f>'[1]IS Analysis'!C66/'[1]IS Analysis'!C52</f>
        <v>0.10801300160065616</v>
      </c>
      <c r="D91" s="198">
        <f>'[1]IS Analysis'!D66/'[1]IS Analysis'!D52</f>
        <v>0.13541800478163352</v>
      </c>
      <c r="E91" s="198">
        <f>'[1]IS Analysis'!E66/'[1]IS Analysis'!E52</f>
        <v>0.14529311974508111</v>
      </c>
      <c r="F91" s="198">
        <f>'[1]IS Analysis'!F66/'[1]IS Analysis'!F52</f>
        <v>0.12173932192475678</v>
      </c>
      <c r="G91" s="198">
        <f>'[1]IS Analysis'!G66/'[1]IS Analysis'!G52</f>
        <v>0.12506018925595608</v>
      </c>
      <c r="H91" s="110"/>
      <c r="J91" s="205" t="s">
        <v>214</v>
      </c>
      <c r="K91" s="206">
        <f t="shared" si="7"/>
        <v>1</v>
      </c>
      <c r="L91" s="206">
        <f t="shared" si="8"/>
        <v>1</v>
      </c>
      <c r="M91" s="206">
        <f t="shared" si="9"/>
        <v>1</v>
      </c>
      <c r="N91" s="206">
        <f t="shared" si="10"/>
        <v>1</v>
      </c>
      <c r="O91" s="206">
        <f t="shared" si="11"/>
        <v>1</v>
      </c>
      <c r="P91"/>
      <c r="Q91" s="110"/>
    </row>
    <row r="92" spans="2:17" ht="14.5" x14ac:dyDescent="0.35">
      <c r="B92" s="110" t="s">
        <v>250</v>
      </c>
      <c r="C92" s="110"/>
      <c r="D92" s="198">
        <f>'[1]IS Analysis'!D66/(('BS And Ratio Analysis'!D45+'BS And Ratio Analysis'!C45)/2)</f>
        <v>0.20807935217497811</v>
      </c>
      <c r="E92" s="198">
        <f>'[1]IS Analysis'!E66/(('BS And Ratio Analysis'!E45+'BS And Ratio Analysis'!D45)/2)</f>
        <v>0.22207165347823285</v>
      </c>
      <c r="F92" s="198">
        <f>'[1]IS Analysis'!F66/(('BS And Ratio Analysis'!F45+'BS And Ratio Analysis'!E45)/2)</f>
        <v>0.20653929224551676</v>
      </c>
      <c r="G92" s="198">
        <f>'[1]IS Analysis'!G66/(('BS And Ratio Analysis'!G45+'BS And Ratio Analysis'!F45)/2)</f>
        <v>0.22664591762630973</v>
      </c>
      <c r="H92" s="110"/>
      <c r="J92" s="116" t="s">
        <v>215</v>
      </c>
      <c r="K92" s="204"/>
      <c r="L92" s="204"/>
      <c r="M92" s="204"/>
      <c r="N92" s="204"/>
      <c r="O92" s="204"/>
      <c r="P92"/>
      <c r="Q92" s="110"/>
    </row>
    <row r="93" spans="2:17" ht="14.5" x14ac:dyDescent="0.35">
      <c r="B93" s="110" t="s">
        <v>59</v>
      </c>
      <c r="C93" s="110"/>
      <c r="D93" s="198">
        <f>'[1]IS Analysis'!D52/(('BS And Ratio Analysis'!C11+'BS And Ratio Analysis'!D11)/2)</f>
        <v>2.5001085941904417</v>
      </c>
      <c r="E93" s="198">
        <f>'[1]IS Analysis'!E52/(('BS And Ratio Analysis'!D11+'BS And Ratio Analysis'!E11)/2)</f>
        <v>3.0472713002594807</v>
      </c>
      <c r="F93" s="198">
        <f>'[1]IS Analysis'!F52/(('BS And Ratio Analysis'!E11+'BS And Ratio Analysis'!F11)/2)</f>
        <v>4.3136448206283902</v>
      </c>
      <c r="G93" s="198">
        <f>'[1]IS Analysis'!G52/(('BS And Ratio Analysis'!F11+'BS And Ratio Analysis'!G11)/2)</f>
        <v>5.0177911059242959</v>
      </c>
      <c r="H93" s="196"/>
      <c r="J93" s="116" t="s">
        <v>216</v>
      </c>
      <c r="K93" s="204"/>
      <c r="L93" s="204"/>
      <c r="M93" s="204"/>
      <c r="N93" s="204"/>
      <c r="O93" s="204"/>
      <c r="P93"/>
      <c r="Q93" s="110"/>
    </row>
    <row r="94" spans="2:17" ht="14.5" x14ac:dyDescent="0.35">
      <c r="B94" s="110" t="s">
        <v>251</v>
      </c>
      <c r="C94" s="198">
        <f>'[1]IS Analysis'!C62/'[1]IS Analysis'!C52</f>
        <v>0.16532572821187574</v>
      </c>
      <c r="D94" s="198">
        <f>'[1]IS Analysis'!D62/'[1]IS Analysis'!D52</f>
        <v>0.18062172325487477</v>
      </c>
      <c r="E94" s="198">
        <f>'[1]IS Analysis'!E62/'[1]IS Analysis'!E52</f>
        <v>0.20450070787912822</v>
      </c>
      <c r="F94" s="198">
        <f>'[1]IS Analysis'!F62/'[1]IS Analysis'!F52</f>
        <v>0.17302552046314681</v>
      </c>
      <c r="G94" s="198">
        <f>'[1]IS Analysis'!G62/'[1]IS Analysis'!G52</f>
        <v>0.18104404806766314</v>
      </c>
      <c r="H94" s="196"/>
      <c r="J94" s="202" t="s">
        <v>217</v>
      </c>
      <c r="K94" s="203">
        <f t="shared" ref="K94:K111" si="12">C28/C$45</f>
        <v>0.24837467277172365</v>
      </c>
      <c r="L94" s="203">
        <f t="shared" ref="L94:L111" si="13">D28/D$45</f>
        <v>0.22070763035514132</v>
      </c>
      <c r="M94" s="203">
        <f t="shared" ref="M94:M111" si="14">E28/E$45</f>
        <v>0.20583784296734334</v>
      </c>
      <c r="N94" s="203">
        <f t="shared" ref="N94:N111" si="15">F28/F$45</f>
        <v>0.21262638829197675</v>
      </c>
      <c r="O94" s="203">
        <f t="shared" ref="O94:O111" si="16">G28/G$45</f>
        <v>0.26867264282476117</v>
      </c>
      <c r="P94"/>
      <c r="Q94" s="110"/>
    </row>
    <row r="95" spans="2:17" ht="14.5" x14ac:dyDescent="0.35">
      <c r="B95" s="110"/>
      <c r="C95" s="110"/>
      <c r="D95" s="110"/>
      <c r="E95" s="110"/>
      <c r="F95" s="110"/>
      <c r="G95" s="110"/>
      <c r="H95" s="196"/>
      <c r="J95" s="202" t="s">
        <v>218</v>
      </c>
      <c r="K95" s="203">
        <f t="shared" si="12"/>
        <v>1.2207977801346403E-3</v>
      </c>
      <c r="L95" s="203">
        <f t="shared" si="13"/>
        <v>1.0672984597493314E-3</v>
      </c>
      <c r="M95" s="203">
        <f t="shared" si="14"/>
        <v>1.0663297031507919E-3</v>
      </c>
      <c r="N95" s="203">
        <f t="shared" si="15"/>
        <v>2.075701913238321E-3</v>
      </c>
      <c r="O95" s="203">
        <f t="shared" si="16"/>
        <v>1.522551728267285E-3</v>
      </c>
      <c r="P95"/>
      <c r="Q95" s="110"/>
    </row>
    <row r="96" spans="2:17" ht="14.5" x14ac:dyDescent="0.35">
      <c r="B96" s="109" t="s">
        <v>252</v>
      </c>
      <c r="C96" s="110"/>
      <c r="D96" s="110"/>
      <c r="E96" s="110"/>
      <c r="F96" s="110"/>
      <c r="G96" s="110"/>
      <c r="H96" s="110"/>
      <c r="J96" s="202" t="s">
        <v>219</v>
      </c>
      <c r="K96" s="203">
        <f t="shared" si="12"/>
        <v>1.6219628249452885E-2</v>
      </c>
      <c r="L96" s="203">
        <f t="shared" si="13"/>
        <v>5.0432083731285614E-3</v>
      </c>
      <c r="M96" s="203">
        <f t="shared" si="14"/>
        <v>1.4549032436900502E-2</v>
      </c>
      <c r="N96" s="203">
        <f t="shared" si="15"/>
        <v>7.1276410313045116E-2</v>
      </c>
      <c r="O96" s="203">
        <f t="shared" si="16"/>
        <v>1.1226680580622535E-2</v>
      </c>
      <c r="P96"/>
      <c r="Q96" s="110"/>
    </row>
    <row r="97" spans="2:17" ht="14.5" x14ac:dyDescent="0.35">
      <c r="B97" s="110" t="s">
        <v>253</v>
      </c>
      <c r="C97" s="110"/>
      <c r="D97" s="134"/>
      <c r="E97" s="134"/>
      <c r="F97" s="134"/>
      <c r="G97" s="134"/>
      <c r="H97" s="196"/>
      <c r="J97" s="116" t="s">
        <v>220</v>
      </c>
      <c r="K97" s="204">
        <f t="shared" si="12"/>
        <v>0.26581509880131116</v>
      </c>
      <c r="L97" s="204">
        <f t="shared" si="13"/>
        <v>0.22681813718801924</v>
      </c>
      <c r="M97" s="204">
        <f t="shared" si="14"/>
        <v>0.22145320510739464</v>
      </c>
      <c r="N97" s="204">
        <f t="shared" si="15"/>
        <v>0.28597850051826024</v>
      </c>
      <c r="O97" s="204">
        <f t="shared" si="16"/>
        <v>0.28142187513365097</v>
      </c>
      <c r="P97"/>
      <c r="Q97" s="110"/>
    </row>
    <row r="98" spans="2:17" ht="14.5" x14ac:dyDescent="0.35">
      <c r="B98" s="110" t="s">
        <v>254</v>
      </c>
      <c r="C98" s="110"/>
      <c r="D98" s="134">
        <f>('[1]IS Analysis'!D44/'[1]IS Analysis'!C44)-1</f>
        <v>0.40686323504914212</v>
      </c>
      <c r="E98" s="134">
        <f>('[1]IS Analysis'!E44/'[1]IS Analysis'!D44)-1</f>
        <v>5.7247495678120632</v>
      </c>
      <c r="F98" s="134">
        <f>('[1]IS Analysis'!F44/'[1]IS Analysis'!E44)-1</f>
        <v>-0.36806871245149064</v>
      </c>
      <c r="G98" s="134">
        <f>('[1]IS Analysis'!G44/'[1]IS Analysis'!F44)-1</f>
        <v>-0.24160894303053271</v>
      </c>
      <c r="H98" s="196"/>
      <c r="J98" s="202" t="s">
        <v>221</v>
      </c>
      <c r="K98" s="203">
        <f t="shared" si="12"/>
        <v>0.11637631331887174</v>
      </c>
      <c r="L98" s="203">
        <f t="shared" si="13"/>
        <v>0.24029644629142477</v>
      </c>
      <c r="M98" s="203">
        <f t="shared" si="14"/>
        <v>0.17323986924350526</v>
      </c>
      <c r="N98" s="203">
        <f t="shared" si="15"/>
        <v>0.12356280927625862</v>
      </c>
      <c r="O98" s="203">
        <f t="shared" si="16"/>
        <v>0.16286705899460266</v>
      </c>
      <c r="P98"/>
      <c r="Q98" s="110"/>
    </row>
    <row r="99" spans="2:17" ht="14.5" x14ac:dyDescent="0.35">
      <c r="B99" s="110" t="s">
        <v>255</v>
      </c>
      <c r="C99" s="110"/>
      <c r="D99" s="134">
        <f>('[1]IS Analysis'!D52/'[1]IS Analysis'!C52)-1</f>
        <v>4.1491930787747933E-2</v>
      </c>
      <c r="E99" s="134">
        <f>('[1]IS Analysis'!E52/'[1]IS Analysis'!D52)-1</f>
        <v>0.11950202253670561</v>
      </c>
      <c r="F99" s="134">
        <f>('[1]IS Analysis'!F52/'[1]IS Analysis'!E52)-1</f>
        <v>8.7124029503906852E-2</v>
      </c>
      <c r="G99" s="134">
        <f>('[1]IS Analysis'!G52/'[1]IS Analysis'!F52)-1</f>
        <v>0.1606859725538079</v>
      </c>
      <c r="H99" s="196"/>
      <c r="J99" s="202" t="s">
        <v>222</v>
      </c>
      <c r="K99" s="203">
        <f t="shared" si="12"/>
        <v>2.2028831334450528E-3</v>
      </c>
      <c r="L99" s="203">
        <f t="shared" si="13"/>
        <v>2.4941885152565024E-3</v>
      </c>
      <c r="M99" s="203">
        <f t="shared" si="14"/>
        <v>1.2061762215967975E-3</v>
      </c>
      <c r="N99" s="203">
        <f t="shared" si="15"/>
        <v>5.9782876257562676E-3</v>
      </c>
      <c r="O99" s="203">
        <f t="shared" si="16"/>
        <v>4.6660222908415953E-3</v>
      </c>
      <c r="P99"/>
      <c r="Q99" s="110"/>
    </row>
    <row r="100" spans="2:17" ht="14.5" x14ac:dyDescent="0.35">
      <c r="B100" s="110" t="s">
        <v>256</v>
      </c>
      <c r="C100" s="110"/>
      <c r="D100" s="134">
        <f>('[1]IS Analysis'!D62/'[1]IS Analysis'!C62)-1</f>
        <v>0.13785113381655112</v>
      </c>
      <c r="E100" s="134">
        <f>('[1]IS Analysis'!E62/'[1]IS Analysis'!D62)-1</f>
        <v>0.26750510378985237</v>
      </c>
      <c r="F100" s="134">
        <f>('[1]IS Analysis'!F62/'[1]IS Analysis'!E62)-1</f>
        <v>-8.0197799979817241E-2</v>
      </c>
      <c r="G100" s="134">
        <f>('[1]IS Analysis'!G62/'[1]IS Analysis'!F62)-1</f>
        <v>0.21447568222313929</v>
      </c>
      <c r="H100" s="196"/>
      <c r="J100" s="202" t="s">
        <v>223</v>
      </c>
      <c r="K100" s="203">
        <f t="shared" si="12"/>
        <v>3.0471881598636294E-3</v>
      </c>
      <c r="L100" s="203">
        <f t="shared" si="13"/>
        <v>2.5879118567040241E-2</v>
      </c>
      <c r="M100" s="203">
        <f t="shared" si="14"/>
        <v>9.3122797729491887E-3</v>
      </c>
      <c r="N100" s="203">
        <f t="shared" si="15"/>
        <v>1.3305781495117444E-2</v>
      </c>
      <c r="O100" s="203">
        <f t="shared" si="16"/>
        <v>1.6038115115175052E-2</v>
      </c>
      <c r="P100"/>
      <c r="Q100" s="110"/>
    </row>
    <row r="101" spans="2:17" ht="15" thickBot="1" x14ac:dyDescent="0.4">
      <c r="B101" s="110" t="s">
        <v>257</v>
      </c>
      <c r="C101" s="110"/>
      <c r="D101" s="134">
        <f>('[1]IS Analysis'!D66/'[1]IS Analysis'!C66)-1</f>
        <v>0.30573872749955333</v>
      </c>
      <c r="E101" s="134">
        <f>('[1]IS Analysis'!E66/'[1]IS Analysis'!D66)-1</f>
        <v>0.20113969835528644</v>
      </c>
      <c r="F101" s="134">
        <f>('[1]IS Analysis'!F66/'[1]IS Analysis'!E66)-1</f>
        <v>-8.9112117407090907E-2</v>
      </c>
      <c r="G101" s="134">
        <f>('[1]IS Analysis'!G66/'[1]IS Analysis'!F66)-1</f>
        <v>0.19234775666015902</v>
      </c>
      <c r="H101" s="196"/>
      <c r="J101" s="202" t="s">
        <v>224</v>
      </c>
      <c r="K101" s="203">
        <f t="shared" si="12"/>
        <v>2.6718168739245929E-2</v>
      </c>
      <c r="L101" s="203">
        <f t="shared" si="13"/>
        <v>1.8178502798311198E-2</v>
      </c>
      <c r="M101" s="203">
        <f t="shared" si="14"/>
        <v>2.5965253134684684E-2</v>
      </c>
      <c r="N101" s="203">
        <f t="shared" si="15"/>
        <v>2.4303009900832014E-2</v>
      </c>
      <c r="O101" s="203">
        <f t="shared" si="16"/>
        <v>1.3833408890675655E-2</v>
      </c>
      <c r="P101"/>
      <c r="Q101" s="110"/>
    </row>
    <row r="102" spans="2:17" ht="14.5" x14ac:dyDescent="0.35">
      <c r="B102" s="110"/>
      <c r="C102" s="110"/>
      <c r="D102" s="110"/>
      <c r="E102" s="110"/>
      <c r="F102" s="110"/>
      <c r="G102" s="110"/>
      <c r="H102" s="196"/>
      <c r="J102" s="205" t="s">
        <v>225</v>
      </c>
      <c r="K102" s="206">
        <f t="shared" si="12"/>
        <v>0.43504618845144527</v>
      </c>
      <c r="L102" s="206">
        <f t="shared" si="13"/>
        <v>0.53138711820489837</v>
      </c>
      <c r="M102" s="206">
        <f t="shared" si="14"/>
        <v>0.44814566013799856</v>
      </c>
      <c r="N102" s="206">
        <f t="shared" si="15"/>
        <v>0.47170459036155804</v>
      </c>
      <c r="O102" s="206">
        <f t="shared" si="16"/>
        <v>0.4925294459793515</v>
      </c>
      <c r="P102"/>
      <c r="Q102" s="110"/>
    </row>
    <row r="103" spans="2:17" ht="14.5" x14ac:dyDescent="0.35">
      <c r="B103" s="109" t="s">
        <v>258</v>
      </c>
      <c r="C103" s="110"/>
      <c r="D103" s="110"/>
      <c r="E103" s="110"/>
      <c r="F103" s="110"/>
      <c r="G103" s="110"/>
      <c r="H103" s="110"/>
      <c r="J103" s="116" t="s">
        <v>226</v>
      </c>
      <c r="K103" s="204">
        <f t="shared" si="12"/>
        <v>0</v>
      </c>
      <c r="L103" s="204">
        <f t="shared" si="13"/>
        <v>0</v>
      </c>
      <c r="M103" s="204">
        <f t="shared" si="14"/>
        <v>0</v>
      </c>
      <c r="N103" s="204">
        <f t="shared" si="15"/>
        <v>0</v>
      </c>
      <c r="O103" s="204">
        <f t="shared" si="16"/>
        <v>0</v>
      </c>
      <c r="P103"/>
      <c r="Q103" s="110"/>
    </row>
    <row r="104" spans="2:17" ht="14.5" x14ac:dyDescent="0.35">
      <c r="B104" s="110" t="s">
        <v>259</v>
      </c>
      <c r="C104" s="199">
        <f>(C39/'[1]IS Analysis'!C52)*360</f>
        <v>27.075130733077369</v>
      </c>
      <c r="D104" s="199">
        <f>(D39/'[1]IS Analysis'!D52)*360</f>
        <v>24.651714281225484</v>
      </c>
      <c r="E104" s="199">
        <f>(E39/'[1]IS Analysis'!E52)*360</f>
        <v>32.437489939035721</v>
      </c>
      <c r="F104" s="199">
        <f>(F39/'[1]IS Analysis'!F52)*360</f>
        <v>37.382861620892633</v>
      </c>
      <c r="G104" s="199">
        <f>(G39/'[1]IS Analysis'!G52)*360</f>
        <v>28.104038437382233</v>
      </c>
      <c r="H104" s="196"/>
      <c r="J104" s="202" t="s">
        <v>227</v>
      </c>
      <c r="K104" s="203">
        <f t="shared" si="12"/>
        <v>0.12013803666238373</v>
      </c>
      <c r="L104" s="203">
        <f t="shared" si="13"/>
        <v>0.12863305462859417</v>
      </c>
      <c r="M104" s="203">
        <f t="shared" si="14"/>
        <v>0.1739653230579439</v>
      </c>
      <c r="N104" s="203">
        <f t="shared" si="15"/>
        <v>0.11093429205924267</v>
      </c>
      <c r="O104" s="203">
        <f t="shared" si="16"/>
        <v>0.19256323294186078</v>
      </c>
      <c r="P104"/>
      <c r="Q104" s="110"/>
    </row>
    <row r="105" spans="2:17" ht="14.5" x14ac:dyDescent="0.35">
      <c r="B105" s="110" t="s">
        <v>260</v>
      </c>
      <c r="C105" s="200">
        <f>(C40/'[1]IS Analysis'!C52)*360</f>
        <v>13.660574291904608</v>
      </c>
      <c r="D105" s="200">
        <f>(D40/'[1]IS Analysis'!D52)*360</f>
        <v>10.658366426167937</v>
      </c>
      <c r="E105" s="200">
        <f>(E40/'[1]IS Analysis'!E52)*360</f>
        <v>7.6456889541962996</v>
      </c>
      <c r="F105" s="200">
        <f>(F40/'[1]IS Analysis'!F52)*360</f>
        <v>9.0739188277961027</v>
      </c>
      <c r="G105" s="200">
        <f>(G40/'[1]IS Analysis'!G52)*360</f>
        <v>7.7472993342544898</v>
      </c>
      <c r="H105" s="196"/>
      <c r="J105" s="202" t="s">
        <v>228</v>
      </c>
      <c r="K105" s="203">
        <f t="shared" si="12"/>
        <v>0.12518464165900331</v>
      </c>
      <c r="L105" s="203">
        <f t="shared" si="13"/>
        <v>9.4483329359123625E-2</v>
      </c>
      <c r="M105" s="203">
        <f t="shared" si="14"/>
        <v>0.13628667537377728</v>
      </c>
      <c r="N105" s="203">
        <f t="shared" si="15"/>
        <v>0.18195523136758154</v>
      </c>
      <c r="O105" s="203">
        <f t="shared" si="16"/>
        <v>0.12758427494889188</v>
      </c>
      <c r="P105"/>
      <c r="Q105" s="110"/>
    </row>
    <row r="106" spans="2:17" ht="14.5" x14ac:dyDescent="0.35">
      <c r="B106" s="110"/>
      <c r="C106" s="110"/>
      <c r="D106" s="110"/>
      <c r="E106" s="110"/>
      <c r="F106" s="110"/>
      <c r="G106" s="110"/>
      <c r="H106" s="196"/>
      <c r="J106" s="202" t="s">
        <v>229</v>
      </c>
      <c r="K106" s="203">
        <f t="shared" si="12"/>
        <v>6.316106520213656E-2</v>
      </c>
      <c r="L106" s="203">
        <f t="shared" si="13"/>
        <v>4.0850625396092695E-2</v>
      </c>
      <c r="M106" s="203">
        <f t="shared" si="14"/>
        <v>3.2123494464824855E-2</v>
      </c>
      <c r="N106" s="203">
        <f t="shared" si="15"/>
        <v>4.4165880516743333E-2</v>
      </c>
      <c r="O106" s="203">
        <f t="shared" si="16"/>
        <v>3.5170517239904546E-2</v>
      </c>
      <c r="P106"/>
      <c r="Q106" s="110"/>
    </row>
    <row r="107" spans="2:17" ht="14.5" x14ac:dyDescent="0.35">
      <c r="B107" s="109" t="s">
        <v>261</v>
      </c>
      <c r="C107" s="110"/>
      <c r="D107" s="110"/>
      <c r="E107" s="110"/>
      <c r="F107" s="110"/>
      <c r="G107" s="110"/>
      <c r="H107" s="110"/>
      <c r="J107" s="202" t="s">
        <v>230</v>
      </c>
      <c r="K107" s="203">
        <f t="shared" si="12"/>
        <v>1.7594227324722597E-2</v>
      </c>
      <c r="L107" s="203">
        <f t="shared" si="13"/>
        <v>1.5665187070514383E-2</v>
      </c>
      <c r="M107" s="203">
        <f t="shared" si="14"/>
        <v>2.6388538578909649E-2</v>
      </c>
      <c r="N107" s="203">
        <f t="shared" si="15"/>
        <v>2.4602389984472155E-2</v>
      </c>
      <c r="O107" s="203">
        <f t="shared" si="16"/>
        <v>2.1168173536682378E-2</v>
      </c>
      <c r="P107"/>
      <c r="Q107" s="110"/>
    </row>
    <row r="108" spans="2:17" ht="14.5" x14ac:dyDescent="0.35">
      <c r="B108" s="110" t="s">
        <v>262</v>
      </c>
      <c r="C108" s="198">
        <f>(C20+C14)/(C14+C20+C11)</f>
        <v>3.1430542872563055E-2</v>
      </c>
      <c r="D108" s="198">
        <f>(D20+D14)/(D14+D20+D11)</f>
        <v>0.25588654831600438</v>
      </c>
      <c r="E108" s="198">
        <f>(E20+E14)/(E14+E20+E11)</f>
        <v>0.37040514088268855</v>
      </c>
      <c r="F108" s="198">
        <f>(F20+F14)/(F14+F20+F11)</f>
        <v>0.49078755643318395</v>
      </c>
      <c r="G108" s="198">
        <f>(G20+G14)/(G14+G20+G11)</f>
        <v>0.45749971603031875</v>
      </c>
      <c r="H108" s="196"/>
      <c r="J108" s="202" t="s">
        <v>231</v>
      </c>
      <c r="K108" s="203">
        <f t="shared" si="12"/>
        <v>0.19287964087397588</v>
      </c>
      <c r="L108" s="203">
        <f t="shared" si="13"/>
        <v>0.14155539942082801</v>
      </c>
      <c r="M108" s="203">
        <f t="shared" si="14"/>
        <v>0.11819028616093837</v>
      </c>
      <c r="N108" s="203">
        <f t="shared" si="15"/>
        <v>9.2874354835919756E-2</v>
      </c>
      <c r="O108" s="203">
        <f t="shared" si="16"/>
        <v>5.9875629763320191E-2</v>
      </c>
      <c r="P108"/>
      <c r="Q108" s="110"/>
    </row>
    <row r="109" spans="2:17" ht="14.5" x14ac:dyDescent="0.35">
      <c r="B109" s="110" t="s">
        <v>263</v>
      </c>
      <c r="C109" s="198">
        <f>C14/(C11+C14+C20)</f>
        <v>1.4100704352043941E-2</v>
      </c>
      <c r="D109" s="198">
        <f>D14/(D11+D14+D20)</f>
        <v>0.12947026135395681</v>
      </c>
      <c r="E109" s="198">
        <f>E14/(E11+E14+E20)</f>
        <v>0.13270143021173664</v>
      </c>
      <c r="F109" s="198">
        <f>F14/(F11+F14+F20)</f>
        <v>0.14073261619065058</v>
      </c>
      <c r="G109" s="198">
        <f>G14/(G11+G14+G20)</f>
        <v>0.23819683857321353</v>
      </c>
      <c r="H109" s="196"/>
      <c r="J109" s="202" t="s">
        <v>232</v>
      </c>
      <c r="K109" s="203">
        <f t="shared" si="12"/>
        <v>4.5996199826332712E-2</v>
      </c>
      <c r="L109" s="203">
        <f t="shared" si="13"/>
        <v>4.7425285919948795E-2</v>
      </c>
      <c r="M109" s="203">
        <f t="shared" si="14"/>
        <v>6.4900022225607396E-2</v>
      </c>
      <c r="N109" s="203">
        <f t="shared" si="15"/>
        <v>7.3763260874482581E-2</v>
      </c>
      <c r="O109" s="203">
        <f t="shared" si="16"/>
        <v>7.1108725589988792E-2</v>
      </c>
      <c r="P109"/>
      <c r="Q109" s="110"/>
    </row>
    <row r="110" spans="2:17" ht="15" thickBot="1" x14ac:dyDescent="0.4">
      <c r="B110" s="110" t="s">
        <v>264</v>
      </c>
      <c r="C110" s="198">
        <f>(C20+C14)/C11</f>
        <v>3.245047904543584E-2</v>
      </c>
      <c r="D110" s="198">
        <f>(D20+D14)/D11</f>
        <v>0.34388109465957123</v>
      </c>
      <c r="E110" s="198">
        <f>(E20+E14)/E11</f>
        <v>0.58832300727803688</v>
      </c>
      <c r="F110" s="198">
        <f>(F20+F14)/F11</f>
        <v>0.96381689535201909</v>
      </c>
      <c r="G110" s="198">
        <f>(G20+G14)/G11</f>
        <v>0.84331700747254745</v>
      </c>
      <c r="H110" s="196"/>
      <c r="J110" s="116" t="s">
        <v>233</v>
      </c>
      <c r="K110" s="204">
        <f t="shared" si="12"/>
        <v>0.56495381154855484</v>
      </c>
      <c r="L110" s="204">
        <f t="shared" si="13"/>
        <v>0.46861288179510163</v>
      </c>
      <c r="M110" s="204">
        <f t="shared" si="14"/>
        <v>0.5518543398620015</v>
      </c>
      <c r="N110" s="204">
        <f t="shared" si="15"/>
        <v>0.52829540963844202</v>
      </c>
      <c r="O110" s="204">
        <f t="shared" si="16"/>
        <v>0.50747055402064856</v>
      </c>
      <c r="P110"/>
      <c r="Q110" s="110"/>
    </row>
    <row r="111" spans="2:17" ht="14.5" x14ac:dyDescent="0.35">
      <c r="B111" s="110"/>
      <c r="C111" s="110"/>
      <c r="D111" s="110"/>
      <c r="E111" s="110"/>
      <c r="F111" s="110"/>
      <c r="G111" s="110"/>
      <c r="H111" s="196"/>
      <c r="J111" s="205" t="s">
        <v>234</v>
      </c>
      <c r="K111" s="206">
        <f t="shared" si="12"/>
        <v>1</v>
      </c>
      <c r="L111" s="206">
        <f t="shared" si="13"/>
        <v>1</v>
      </c>
      <c r="M111" s="206">
        <f t="shared" si="14"/>
        <v>1</v>
      </c>
      <c r="N111" s="206">
        <f t="shared" si="15"/>
        <v>1</v>
      </c>
      <c r="O111" s="206">
        <f t="shared" si="16"/>
        <v>1</v>
      </c>
      <c r="P111"/>
      <c r="Q111" s="110"/>
    </row>
    <row r="112" spans="2:17" ht="14.5" x14ac:dyDescent="0.35">
      <c r="B112" s="109" t="s">
        <v>265</v>
      </c>
      <c r="C112" s="110"/>
      <c r="D112" s="110"/>
      <c r="E112" s="110"/>
      <c r="F112" s="110"/>
      <c r="G112" s="110"/>
      <c r="H112" s="110"/>
      <c r="P112"/>
      <c r="Q112" s="110"/>
    </row>
    <row r="113" spans="2:17" ht="14.5" x14ac:dyDescent="0.35">
      <c r="B113" s="110" t="s">
        <v>266</v>
      </c>
      <c r="C113" s="199">
        <f>'[1]IS Analysis'!C62/'[1]IS Analysis'!C63</f>
        <v>1115.3571428571436</v>
      </c>
      <c r="D113" s="199">
        <f>'[1]IS Analysis'!D62/'[1]IS Analysis'!D63</f>
        <v>29.989719195949061</v>
      </c>
      <c r="E113" s="199">
        <f>'[1]IS Analysis'!E62/'[1]IS Analysis'!E63</f>
        <v>25.327164911563248</v>
      </c>
      <c r="F113" s="199">
        <f>'[1]IS Analysis'!F62/'[1]IS Analysis'!F63</f>
        <v>17.073130526000291</v>
      </c>
      <c r="G113" s="199">
        <f>'[1]IS Analysis'!G62/'[1]IS Analysis'!G63</f>
        <v>17.859180380767988</v>
      </c>
      <c r="H113" s="196"/>
      <c r="K113" s="204"/>
      <c r="L113" s="204"/>
      <c r="M113" s="204"/>
      <c r="N113" s="204"/>
      <c r="O113" s="204"/>
      <c r="P113"/>
      <c r="Q113" s="110"/>
    </row>
    <row r="114" spans="2:17" ht="14.5" x14ac:dyDescent="0.35">
      <c r="B114" s="110" t="s">
        <v>267</v>
      </c>
      <c r="C114" s="199">
        <f>('[1]IS Analysis'!C62+'[1]IS Analysis'!C61)/'[1]IS Analysis'!C63</f>
        <v>1203.0194805194812</v>
      </c>
      <c r="D114" s="199">
        <f>('[1]IS Analysis'!D62+'[1]IS Analysis'!D61)/'[1]IS Analysis'!D63</f>
        <v>32.317323922050029</v>
      </c>
      <c r="E114" s="199">
        <f>('[1]IS Analysis'!E62+'[1]IS Analysis'!E61)/'[1]IS Analysis'!E63</f>
        <v>27.03220529598202</v>
      </c>
      <c r="F114" s="199">
        <f>('[1]IS Analysis'!F62+'[1]IS Analysis'!F61)/'[1]IS Analysis'!F63</f>
        <v>18.346995354413302</v>
      </c>
      <c r="G114" s="199">
        <f>('[1]IS Analysis'!G62+'[1]IS Analysis'!G61)/'[1]IS Analysis'!G63</f>
        <v>19.118296224588573</v>
      </c>
      <c r="H114" s="196"/>
      <c r="K114" s="204"/>
      <c r="L114" s="204"/>
      <c r="M114" s="204"/>
      <c r="N114" s="204"/>
      <c r="O114" s="204"/>
      <c r="P114"/>
      <c r="Q114" s="110"/>
    </row>
    <row r="115" spans="2:17" ht="14.5" x14ac:dyDescent="0.35">
      <c r="K115" s="203"/>
      <c r="L115" s="203"/>
      <c r="M115" s="203"/>
      <c r="N115" s="203"/>
      <c r="O115" s="203"/>
      <c r="P115"/>
      <c r="Q115" s="110"/>
    </row>
    <row r="116" spans="2:17" ht="14.5" x14ac:dyDescent="0.35">
      <c r="K116" s="204"/>
      <c r="L116" s="204"/>
      <c r="M116" s="204"/>
      <c r="N116" s="204"/>
      <c r="O116" s="204"/>
      <c r="P116"/>
      <c r="Q116" s="110"/>
    </row>
    <row r="117" spans="2:17" ht="14.5" x14ac:dyDescent="0.35">
      <c r="K117" s="203"/>
      <c r="L117" s="203"/>
      <c r="M117" s="203"/>
      <c r="N117" s="203"/>
      <c r="O117" s="203"/>
      <c r="P117"/>
      <c r="Q117" s="110"/>
    </row>
    <row r="118" spans="2:17" ht="14.5" x14ac:dyDescent="0.35">
      <c r="K118" s="204"/>
      <c r="L118" s="204"/>
      <c r="M118" s="204"/>
      <c r="N118" s="204"/>
      <c r="O118" s="204"/>
      <c r="P118"/>
      <c r="Q118" s="110"/>
    </row>
    <row r="119" spans="2:17" ht="14.5" x14ac:dyDescent="0.35">
      <c r="K119" s="203"/>
      <c r="L119" s="203"/>
      <c r="M119" s="203"/>
      <c r="N119" s="203"/>
      <c r="O119" s="203"/>
      <c r="P119"/>
      <c r="Q119" s="110"/>
    </row>
    <row r="120" spans="2:17" ht="14.5" x14ac:dyDescent="0.35">
      <c r="K120" s="203"/>
      <c r="L120" s="203"/>
      <c r="M120" s="203"/>
      <c r="N120" s="203"/>
      <c r="O120" s="203"/>
      <c r="P120"/>
      <c r="Q120" s="110"/>
    </row>
    <row r="121" spans="2:17" ht="14.5" x14ac:dyDescent="0.35">
      <c r="K121" s="204"/>
      <c r="L121" s="204"/>
      <c r="M121" s="204"/>
      <c r="N121" s="204"/>
      <c r="O121" s="204"/>
      <c r="P121"/>
      <c r="Q121" s="110"/>
    </row>
    <row r="122" spans="2:17" ht="14.5" x14ac:dyDescent="0.35">
      <c r="K122" s="203"/>
      <c r="L122" s="203"/>
      <c r="M122" s="203"/>
      <c r="N122" s="203"/>
      <c r="O122" s="203"/>
      <c r="P122"/>
      <c r="Q122" s="110"/>
    </row>
    <row r="123" spans="2:17" ht="14.5" x14ac:dyDescent="0.35">
      <c r="K123" s="207"/>
      <c r="L123" s="207"/>
      <c r="M123" s="207"/>
      <c r="N123" s="207"/>
      <c r="O123" s="207"/>
      <c r="P123"/>
      <c r="Q123" s="110"/>
    </row>
    <row r="124" spans="2:17" x14ac:dyDescent="0.3">
      <c r="K124" s="110"/>
      <c r="L124" s="110"/>
      <c r="M124" s="110"/>
      <c r="N124" s="110"/>
      <c r="O124" s="110"/>
      <c r="P124" s="110"/>
      <c r="Q124" s="110"/>
    </row>
  </sheetData>
  <mergeCells count="4">
    <mergeCell ref="B84:H84"/>
    <mergeCell ref="B67:H67"/>
    <mergeCell ref="B2:H2"/>
    <mergeCell ref="J2:P2"/>
  </mergeCells>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type="column" displayEmptyCellsAs="gap" xr2:uid="{C5DCA8CB-E7E5-4539-8CA8-516D98ACC1A5}">
          <x14:colorSeries rgb="FF376092"/>
          <x14:colorNegative rgb="FFD00000"/>
          <x14:colorAxis rgb="FF000000"/>
          <x14:colorMarkers rgb="FFD00000"/>
          <x14:colorFirst rgb="FFD00000"/>
          <x14:colorLast rgb="FFD00000"/>
          <x14:colorHigh rgb="FFD00000"/>
          <x14:colorLow rgb="FFD00000"/>
          <x14:sparklines>
            <x14:sparkline>
              <xm:f>'BS And Ratio Analysis'!C71:G71</xm:f>
              <xm:sqref>H71</xm:sqref>
            </x14:sparkline>
            <x14:sparkline>
              <xm:f>'BS And Ratio Analysis'!C72:G72</xm:f>
              <xm:sqref>H72</xm:sqref>
            </x14:sparkline>
            <x14:sparkline>
              <xm:f>'BS And Ratio Analysis'!C73:G73</xm:f>
              <xm:sqref>H73</xm:sqref>
            </x14:sparkline>
            <x14:sparkline>
              <xm:f>'BS And Ratio Analysis'!C74:G74</xm:f>
              <xm:sqref>H74</xm:sqref>
            </x14:sparkline>
            <x14:sparkline>
              <xm:f>'BS And Ratio Analysis'!C75:G75</xm:f>
              <xm:sqref>H75</xm:sqref>
            </x14:sparkline>
            <x14:sparkline>
              <xm:f>'BS And Ratio Analysis'!C76:G76</xm:f>
              <xm:sqref>H76</xm:sqref>
            </x14:sparkline>
            <x14:sparkline>
              <xm:f>'BS And Ratio Analysis'!C77:G77</xm:f>
              <xm:sqref>H77</xm:sqref>
            </x14:sparkline>
            <x14:sparkline>
              <xm:f>'BS And Ratio Analysis'!C78:G78</xm:f>
              <xm:sqref>H78</xm:sqref>
            </x14:sparkline>
            <x14:sparkline>
              <xm:f>'BS And Ratio Analysis'!C79:G79</xm:f>
              <xm:sqref>H79</xm:sqref>
            </x14:sparkline>
            <x14:sparkline>
              <xm:f>'BS And Ratio Analysis'!C80:G80</xm:f>
              <xm:sqref>H80</xm:sqref>
            </x14:sparkline>
            <x14:sparkline>
              <xm:f>'BS And Ratio Analysis'!C81:G81</xm:f>
              <xm:sqref>H81</xm:sqref>
            </x14:sparkline>
            <x14:sparkline>
              <xm:f>'BS And Ratio Analysis'!C82:G82</xm:f>
              <xm:sqref>H82</xm:sqref>
            </x14:sparkline>
          </x14:sparklines>
        </x14:sparklineGroup>
        <x14:sparklineGroup type="column" displayEmptyCellsAs="gap" xr2:uid="{BB107689-267B-48C6-84AE-E741CABC8BC6}">
          <x14:colorSeries rgb="FF376092"/>
          <x14:colorNegative rgb="FFD00000"/>
          <x14:colorAxis rgb="FF000000"/>
          <x14:colorMarkers rgb="FFD00000"/>
          <x14:colorFirst rgb="FFD00000"/>
          <x14:colorLast rgb="FFD00000"/>
          <x14:colorHigh rgb="FFD00000"/>
          <x14:colorLow rgb="FFD00000"/>
          <x14:sparklines>
            <x14:sparkline>
              <xm:f>'BS And Ratio Analysis'!C88:G88</xm:f>
              <xm:sqref>H88</xm:sqref>
            </x14:sparkline>
            <x14:sparkline>
              <xm:f>'BS And Ratio Analysis'!C89:G89</xm:f>
              <xm:sqref>H89</xm:sqref>
            </x14:sparkline>
            <x14:sparkline>
              <xm:f>'BS And Ratio Analysis'!C90:G90</xm:f>
              <xm:sqref>H90</xm:sqref>
            </x14:sparkline>
            <x14:sparkline>
              <xm:f>'BS And Ratio Analysis'!C91:G91</xm:f>
              <xm:sqref>H91</xm:sqref>
            </x14:sparkline>
            <x14:sparkline>
              <xm:f>'BS And Ratio Analysis'!C92:G92</xm:f>
              <xm:sqref>H92</xm:sqref>
            </x14:sparkline>
            <x14:sparkline>
              <xm:f>'BS And Ratio Analysis'!C93:G93</xm:f>
              <xm:sqref>H93</xm:sqref>
            </x14:sparkline>
            <x14:sparkline>
              <xm:f>'BS And Ratio Analysis'!C94:G94</xm:f>
              <xm:sqref>H94</xm:sqref>
            </x14:sparkline>
            <x14:sparkline>
              <xm:f>'BS And Ratio Analysis'!C95:G95</xm:f>
              <xm:sqref>H95</xm:sqref>
            </x14:sparkline>
            <x14:sparkline>
              <xm:f>'BS And Ratio Analysis'!C96:G96</xm:f>
              <xm:sqref>H96</xm:sqref>
            </x14:sparkline>
            <x14:sparkline>
              <xm:f>'BS And Ratio Analysis'!C97:G97</xm:f>
              <xm:sqref>H97</xm:sqref>
            </x14:sparkline>
            <x14:sparkline>
              <xm:f>'BS And Ratio Analysis'!C98:G98</xm:f>
              <xm:sqref>H98</xm:sqref>
            </x14:sparkline>
            <x14:sparkline>
              <xm:f>'BS And Ratio Analysis'!C99:G99</xm:f>
              <xm:sqref>H99</xm:sqref>
            </x14:sparkline>
            <x14:sparkline>
              <xm:f>'BS And Ratio Analysis'!C100:G100</xm:f>
              <xm:sqref>H100</xm:sqref>
            </x14:sparkline>
            <x14:sparkline>
              <xm:f>'BS And Ratio Analysis'!C101:G101</xm:f>
              <xm:sqref>H101</xm:sqref>
            </x14:sparkline>
            <x14:sparkline>
              <xm:f>'BS And Ratio Analysis'!C102:G102</xm:f>
              <xm:sqref>H102</xm:sqref>
            </x14:sparkline>
            <x14:sparkline>
              <xm:f>'BS And Ratio Analysis'!C103:G103</xm:f>
              <xm:sqref>H103</xm:sqref>
            </x14:sparkline>
            <x14:sparkline>
              <xm:f>'BS And Ratio Analysis'!C104:G104</xm:f>
              <xm:sqref>H104</xm:sqref>
            </x14:sparkline>
            <x14:sparkline>
              <xm:f>'BS And Ratio Analysis'!C105:G105</xm:f>
              <xm:sqref>H105</xm:sqref>
            </x14:sparkline>
            <x14:sparkline>
              <xm:f>'BS And Ratio Analysis'!C106:G106</xm:f>
              <xm:sqref>H106</xm:sqref>
            </x14:sparkline>
            <x14:sparkline>
              <xm:f>'BS And Ratio Analysis'!C107:G107</xm:f>
              <xm:sqref>H107</xm:sqref>
            </x14:sparkline>
            <x14:sparkline>
              <xm:f>'BS And Ratio Analysis'!C108:G108</xm:f>
              <xm:sqref>H108</xm:sqref>
            </x14:sparkline>
            <x14:sparkline>
              <xm:f>'BS And Ratio Analysis'!C109:G109</xm:f>
              <xm:sqref>H109</xm:sqref>
            </x14:sparkline>
            <x14:sparkline>
              <xm:f>'BS And Ratio Analysis'!C110:G110</xm:f>
              <xm:sqref>H110</xm:sqref>
            </x14:sparkline>
            <x14:sparkline>
              <xm:f>'BS And Ratio Analysis'!C111:G111</xm:f>
              <xm:sqref>H111</xm:sqref>
            </x14:sparkline>
            <x14:sparkline>
              <xm:f>'BS And Ratio Analysis'!C112:G112</xm:f>
              <xm:sqref>H112</xm:sqref>
            </x14:sparkline>
            <x14:sparkline>
              <xm:f>'BS And Ratio Analysis'!C113:G113</xm:f>
              <xm:sqref>H113</xm:sqref>
            </x14:sparkline>
            <x14:sparkline>
              <xm:f>'BS And Ratio Analysis'!C114:G114</xm:f>
              <xm:sqref>H114</xm:sqref>
            </x14:sparkline>
          </x14:sparklines>
        </x14:sparklineGroup>
        <x14:sparklineGroup type="column" displayEmptyCellsAs="gap" xr2:uid="{B66BE89C-DB07-4212-8434-1CCF2334A1E0}">
          <x14:colorSeries rgb="FF376092"/>
          <x14:colorNegative rgb="FFD00000"/>
          <x14:colorAxis rgb="FF000000"/>
          <x14:colorMarkers rgb="FFD00000"/>
          <x14:colorFirst rgb="FFD00000"/>
          <x14:colorLast rgb="FFD00000"/>
          <x14:colorHigh rgb="FFD00000"/>
          <x14:colorLow rgb="FFD00000"/>
          <x14:sparklines>
            <x14:sparkline>
              <xm:f>'BS And Ratio Analysis'!C7:G7</xm:f>
              <xm:sqref>H7</xm:sqref>
            </x14:sparkline>
            <x14:sparkline>
              <xm:f>'BS And Ratio Analysis'!C8:G8</xm:f>
              <xm:sqref>H8</xm:sqref>
            </x14:sparkline>
            <x14:sparkline>
              <xm:f>'BS And Ratio Analysis'!C9:G9</xm:f>
              <xm:sqref>H9</xm:sqref>
            </x14:sparkline>
            <x14:sparkline>
              <xm:f>'BS And Ratio Analysis'!C10:G10</xm:f>
              <xm:sqref>H10</xm:sqref>
            </x14:sparkline>
            <x14:sparkline>
              <xm:f>'BS And Ratio Analysis'!C11:G11</xm:f>
              <xm:sqref>H11</xm:sqref>
            </x14:sparkline>
            <x14:sparkline>
              <xm:f>'BS And Ratio Analysis'!C12:G12</xm:f>
              <xm:sqref>H12</xm:sqref>
            </x14:sparkline>
            <x14:sparkline>
              <xm:f>'BS And Ratio Analysis'!C13:G13</xm:f>
              <xm:sqref>H13</xm:sqref>
            </x14:sparkline>
            <x14:sparkline>
              <xm:f>'BS And Ratio Analysis'!C14:G14</xm:f>
              <xm:sqref>H14</xm:sqref>
            </x14:sparkline>
            <x14:sparkline>
              <xm:f>'BS And Ratio Analysis'!C15:G15</xm:f>
              <xm:sqref>H15</xm:sqref>
            </x14:sparkline>
            <x14:sparkline>
              <xm:f>'BS And Ratio Analysis'!C16:G16</xm:f>
              <xm:sqref>H16</xm:sqref>
            </x14:sparkline>
            <x14:sparkline>
              <xm:f>'BS And Ratio Analysis'!C17:G17</xm:f>
              <xm:sqref>H17</xm:sqref>
            </x14:sparkline>
            <x14:sparkline>
              <xm:f>'BS And Ratio Analysis'!C18:G18</xm:f>
              <xm:sqref>H18</xm:sqref>
            </x14:sparkline>
            <x14:sparkline>
              <xm:f>'BS And Ratio Analysis'!C19:G19</xm:f>
              <xm:sqref>H19</xm:sqref>
            </x14:sparkline>
            <x14:sparkline>
              <xm:f>'BS And Ratio Analysis'!C20:G20</xm:f>
              <xm:sqref>H20</xm:sqref>
            </x14:sparkline>
            <x14:sparkline>
              <xm:f>'BS And Ratio Analysis'!C21:G21</xm:f>
              <xm:sqref>H21</xm:sqref>
            </x14:sparkline>
            <x14:sparkline>
              <xm:f>'BS And Ratio Analysis'!C22:G22</xm:f>
              <xm:sqref>H22</xm:sqref>
            </x14:sparkline>
            <x14:sparkline>
              <xm:f>'BS And Ratio Analysis'!C23:G23</xm:f>
              <xm:sqref>H23</xm:sqref>
            </x14:sparkline>
            <x14:sparkline>
              <xm:f>'BS And Ratio Analysis'!C24:G24</xm:f>
              <xm:sqref>H24</xm:sqref>
            </x14:sparkline>
            <x14:sparkline>
              <xm:f>'BS And Ratio Analysis'!C25:G25</xm:f>
              <xm:sqref>H25</xm:sqref>
            </x14:sparkline>
            <x14:sparkline>
              <xm:f>'BS And Ratio Analysis'!C26:G26</xm:f>
              <xm:sqref>H26</xm:sqref>
            </x14:sparkline>
            <x14:sparkline>
              <xm:f>'BS And Ratio Analysis'!C27:G27</xm:f>
              <xm:sqref>H27</xm:sqref>
            </x14:sparkline>
            <x14:sparkline>
              <xm:f>'BS And Ratio Analysis'!C28:G28</xm:f>
              <xm:sqref>H28</xm:sqref>
            </x14:sparkline>
            <x14:sparkline>
              <xm:f>'BS And Ratio Analysis'!C29:G29</xm:f>
              <xm:sqref>H29</xm:sqref>
            </x14:sparkline>
            <x14:sparkline>
              <xm:f>'BS And Ratio Analysis'!C30:G30</xm:f>
              <xm:sqref>H30</xm:sqref>
            </x14:sparkline>
            <x14:sparkline>
              <xm:f>'BS And Ratio Analysis'!C31:G31</xm:f>
              <xm:sqref>H31</xm:sqref>
            </x14:sparkline>
            <x14:sparkline>
              <xm:f>'BS And Ratio Analysis'!C32:G32</xm:f>
              <xm:sqref>H32</xm:sqref>
            </x14:sparkline>
            <x14:sparkline>
              <xm:f>'BS And Ratio Analysis'!C33:G33</xm:f>
              <xm:sqref>H33</xm:sqref>
            </x14:sparkline>
            <x14:sparkline>
              <xm:f>'BS And Ratio Analysis'!C34:G34</xm:f>
              <xm:sqref>H34</xm:sqref>
            </x14:sparkline>
            <x14:sparkline>
              <xm:f>'BS And Ratio Analysis'!C35:G35</xm:f>
              <xm:sqref>H35</xm:sqref>
            </x14:sparkline>
            <x14:sparkline>
              <xm:f>'BS And Ratio Analysis'!C36:G36</xm:f>
              <xm:sqref>H36</xm:sqref>
            </x14:sparkline>
            <x14:sparkline>
              <xm:f>'BS And Ratio Analysis'!C37:G37</xm:f>
              <xm:sqref>H37</xm:sqref>
            </x14:sparkline>
            <x14:sparkline>
              <xm:f>'BS And Ratio Analysis'!C38:G38</xm:f>
              <xm:sqref>H38</xm:sqref>
            </x14:sparkline>
            <x14:sparkline>
              <xm:f>'BS And Ratio Analysis'!C39:G39</xm:f>
              <xm:sqref>H39</xm:sqref>
            </x14:sparkline>
            <x14:sparkline>
              <xm:f>'BS And Ratio Analysis'!C40:G40</xm:f>
              <xm:sqref>H40</xm:sqref>
            </x14:sparkline>
            <x14:sparkline>
              <xm:f>'BS And Ratio Analysis'!C41:G41</xm:f>
              <xm:sqref>H41</xm:sqref>
            </x14:sparkline>
            <x14:sparkline>
              <xm:f>'BS And Ratio Analysis'!C42:G42</xm:f>
              <xm:sqref>H42</xm:sqref>
            </x14:sparkline>
            <x14:sparkline>
              <xm:f>'BS And Ratio Analysis'!C43:G43</xm:f>
              <xm:sqref>H43</xm:sqref>
            </x14:sparkline>
            <x14:sparkline>
              <xm:f>'BS And Ratio Analysis'!C44:G44</xm:f>
              <xm:sqref>H44</xm:sqref>
            </x14:sparkline>
            <x14:sparkline>
              <xm:f>'BS And Ratio Analysis'!C45:G45</xm:f>
              <xm:sqref>H45</xm:sqref>
            </x14:sparkline>
            <x14:sparkline>
              <xm:f>'BS And Ratio Analysis'!C46:G46</xm:f>
              <xm:sqref>H46</xm:sqref>
            </x14:sparkline>
            <x14:sparkline>
              <xm:f>'BS And Ratio Analysis'!C47:G47</xm:f>
              <xm:sqref>H47</xm:sqref>
            </x14:sparkline>
            <x14:sparkline>
              <xm:f>'BS And Ratio Analysis'!C48:G48</xm:f>
              <xm:sqref>H48</xm:sqref>
            </x14:sparkline>
            <x14:sparkline>
              <xm:f>'BS And Ratio Analysis'!C49:G49</xm:f>
              <xm:sqref>H49</xm:sqref>
            </x14:sparkline>
            <x14:sparkline>
              <xm:f>'BS And Ratio Analysis'!C50:G50</xm:f>
              <xm:sqref>H50</xm:sqref>
            </x14:sparkline>
            <x14:sparkline>
              <xm:f>'BS And Ratio Analysis'!C51:G51</xm:f>
              <xm:sqref>H51</xm:sqref>
            </x14:sparkline>
            <x14:sparkline>
              <xm:f>'BS And Ratio Analysis'!C52:G52</xm:f>
              <xm:sqref>H52</xm:sqref>
            </x14:sparkline>
            <x14:sparkline>
              <xm:f>'BS And Ratio Analysis'!C53:G53</xm:f>
              <xm:sqref>H53</xm:sqref>
            </x14:sparkline>
            <x14:sparkline>
              <xm:f>'BS And Ratio Analysis'!C54:G54</xm:f>
              <xm:sqref>H54</xm:sqref>
            </x14:sparkline>
            <x14:sparkline>
              <xm:f>'BS And Ratio Analysis'!C55:G55</xm:f>
              <xm:sqref>H55</xm:sqref>
            </x14:sparkline>
            <x14:sparkline>
              <xm:f>'BS And Ratio Analysis'!C56:G56</xm:f>
              <xm:sqref>H56</xm:sqref>
            </x14:sparkline>
          </x14:sparklines>
        </x14:sparklineGroup>
        <x14:sparklineGroup type="column" displayEmptyCellsAs="gap" xr2:uid="{D3EEB473-37D0-4A5B-85CD-3C51908BD77C}">
          <x14:colorSeries rgb="FF376092"/>
          <x14:colorNegative rgb="FFD00000"/>
          <x14:colorAxis rgb="FF000000"/>
          <x14:colorMarkers rgb="FFD00000"/>
          <x14:colorFirst rgb="FFD00000"/>
          <x14:colorLast rgb="FFD00000"/>
          <x14:colorHigh rgb="FFD00000"/>
          <x14:colorLow rgb="FFD00000"/>
          <x14:sparklines>
            <x14:sparkline>
              <xm:f>'BS And Ratio Analysis'!L7:O7</xm:f>
              <xm:sqref>P7</xm:sqref>
            </x14:sparkline>
            <x14:sparkline>
              <xm:f>'BS And Ratio Analysis'!L8:O8</xm:f>
              <xm:sqref>P8</xm:sqref>
            </x14:sparkline>
            <x14:sparkline>
              <xm:f>'BS And Ratio Analysis'!L9:O9</xm:f>
              <xm:sqref>P9</xm:sqref>
            </x14:sparkline>
            <x14:sparkline>
              <xm:f>'BS And Ratio Analysis'!L10:O10</xm:f>
              <xm:sqref>P10</xm:sqref>
            </x14:sparkline>
            <x14:sparkline>
              <xm:f>'BS And Ratio Analysis'!L11:O11</xm:f>
              <xm:sqref>P11</xm:sqref>
            </x14:sparkline>
            <x14:sparkline>
              <xm:f>'BS And Ratio Analysis'!L12:O12</xm:f>
              <xm:sqref>P12</xm:sqref>
            </x14:sparkline>
            <x14:sparkline>
              <xm:f>'BS And Ratio Analysis'!L13:O13</xm:f>
              <xm:sqref>P13</xm:sqref>
            </x14:sparkline>
            <x14:sparkline>
              <xm:f>'BS And Ratio Analysis'!L14:O14</xm:f>
              <xm:sqref>P14</xm:sqref>
            </x14:sparkline>
            <x14:sparkline>
              <xm:f>'BS And Ratio Analysis'!L15:O15</xm:f>
              <xm:sqref>P15</xm:sqref>
            </x14:sparkline>
            <x14:sparkline>
              <xm:f>'BS And Ratio Analysis'!L16:O16</xm:f>
              <xm:sqref>P16</xm:sqref>
            </x14:sparkline>
            <x14:sparkline>
              <xm:f>'BS And Ratio Analysis'!L17:O17</xm:f>
              <xm:sqref>P17</xm:sqref>
            </x14:sparkline>
            <x14:sparkline>
              <xm:f>'BS And Ratio Analysis'!L18:O18</xm:f>
              <xm:sqref>P18</xm:sqref>
            </x14:sparkline>
            <x14:sparkline>
              <xm:f>'BS And Ratio Analysis'!L19:O19</xm:f>
              <xm:sqref>P19</xm:sqref>
            </x14:sparkline>
            <x14:sparkline>
              <xm:f>'BS And Ratio Analysis'!L20:O20</xm:f>
              <xm:sqref>P20</xm:sqref>
            </x14:sparkline>
            <x14:sparkline>
              <xm:f>'BS And Ratio Analysis'!L21:O21</xm:f>
              <xm:sqref>P21</xm:sqref>
            </x14:sparkline>
            <x14:sparkline>
              <xm:f>'BS And Ratio Analysis'!L22:O22</xm:f>
              <xm:sqref>P22</xm:sqref>
            </x14:sparkline>
            <x14:sparkline>
              <xm:f>'BS And Ratio Analysis'!L23:O23</xm:f>
              <xm:sqref>P23</xm:sqref>
            </x14:sparkline>
            <x14:sparkline>
              <xm:f>'BS And Ratio Analysis'!L24:O24</xm:f>
              <xm:sqref>P24</xm:sqref>
            </x14:sparkline>
            <x14:sparkline>
              <xm:f>'BS And Ratio Analysis'!L25:O25</xm:f>
              <xm:sqref>P25</xm:sqref>
            </x14:sparkline>
            <x14:sparkline>
              <xm:f>'BS And Ratio Analysis'!L26:O26</xm:f>
              <xm:sqref>P26</xm:sqref>
            </x14:sparkline>
            <x14:sparkline>
              <xm:f>'BS And Ratio Analysis'!L27:O27</xm:f>
              <xm:sqref>P27</xm:sqref>
            </x14:sparkline>
            <x14:sparkline>
              <xm:f>'BS And Ratio Analysis'!L28:O28</xm:f>
              <xm:sqref>P28</xm:sqref>
            </x14:sparkline>
            <x14:sparkline>
              <xm:f>'BS And Ratio Analysis'!L29:O29</xm:f>
              <xm:sqref>P29</xm:sqref>
            </x14:sparkline>
            <x14:sparkline>
              <xm:f>'BS And Ratio Analysis'!L30:O30</xm:f>
              <xm:sqref>P30</xm:sqref>
            </x14:sparkline>
            <x14:sparkline>
              <xm:f>'BS And Ratio Analysis'!L31:O31</xm:f>
              <xm:sqref>P31</xm:sqref>
            </x14:sparkline>
            <x14:sparkline>
              <xm:f>'BS And Ratio Analysis'!L32:O32</xm:f>
              <xm:sqref>P32</xm:sqref>
            </x14:sparkline>
            <x14:sparkline>
              <xm:f>'BS And Ratio Analysis'!L33:O33</xm:f>
              <xm:sqref>P33</xm:sqref>
            </x14:sparkline>
            <x14:sparkline>
              <xm:f>'BS And Ratio Analysis'!L34:O34</xm:f>
              <xm:sqref>P34</xm:sqref>
            </x14:sparkline>
            <x14:sparkline>
              <xm:f>'BS And Ratio Analysis'!L35:O35</xm:f>
              <xm:sqref>P35</xm:sqref>
            </x14:sparkline>
            <x14:sparkline>
              <xm:f>'BS And Ratio Analysis'!L36:O36</xm:f>
              <xm:sqref>P36</xm:sqref>
            </x14:sparkline>
            <x14:sparkline>
              <xm:f>'BS And Ratio Analysis'!L37:O37</xm:f>
              <xm:sqref>P37</xm:sqref>
            </x14:sparkline>
            <x14:sparkline>
              <xm:f>'BS And Ratio Analysis'!L38:O38</xm:f>
              <xm:sqref>P38</xm:sqref>
            </x14:sparkline>
            <x14:sparkline>
              <xm:f>'BS And Ratio Analysis'!L39:O39</xm:f>
              <xm:sqref>P39</xm:sqref>
            </x14:sparkline>
            <x14:sparkline>
              <xm:f>'BS And Ratio Analysis'!L40:O40</xm:f>
              <xm:sqref>P40</xm:sqref>
            </x14:sparkline>
            <x14:sparkline>
              <xm:f>'BS And Ratio Analysis'!L41:O41</xm:f>
              <xm:sqref>P41</xm:sqref>
            </x14:sparkline>
            <x14:sparkline>
              <xm:f>'BS And Ratio Analysis'!L42:O42</xm:f>
              <xm:sqref>P42</xm:sqref>
            </x14:sparkline>
            <x14:sparkline>
              <xm:f>'BS And Ratio Analysis'!L43:O43</xm:f>
              <xm:sqref>P43</xm:sqref>
            </x14:sparkline>
            <x14:sparkline>
              <xm:f>'BS And Ratio Analysis'!L44:O44</xm:f>
              <xm:sqref>P44</xm:sqref>
            </x14:sparkline>
            <x14:sparkline>
              <xm:f>'BS And Ratio Analysis'!L45:O45</xm:f>
              <xm:sqref>P45</xm:sqref>
            </x14:sparkline>
            <x14:sparkline>
              <xm:f>'BS And Ratio Analysis'!L46:O46</xm:f>
              <xm:sqref>P46</xm:sqref>
            </x14:sparkline>
            <x14:sparkline>
              <xm:f>'BS And Ratio Analysis'!L47:O47</xm:f>
              <xm:sqref>P47</xm:sqref>
            </x14:sparkline>
            <x14:sparkline>
              <xm:f>'BS And Ratio Analysis'!L48:O48</xm:f>
              <xm:sqref>P48</xm:sqref>
            </x14:sparkline>
            <x14:sparkline>
              <xm:f>'BS And Ratio Analysis'!L49:O49</xm:f>
              <xm:sqref>P49</xm:sqref>
            </x14:sparkline>
            <x14:sparkline>
              <xm:f>'BS And Ratio Analysis'!L50:O50</xm:f>
              <xm:sqref>P50</xm:sqref>
            </x14:sparkline>
            <x14:sparkline>
              <xm:f>'BS And Ratio Analysis'!L51:O51</xm:f>
              <xm:sqref>P51</xm:sqref>
            </x14:sparkline>
            <x14:sparkline>
              <xm:f>'BS And Ratio Analysis'!L52:O52</xm:f>
              <xm:sqref>P52</xm:sqref>
            </x14:sparkline>
            <x14:sparkline>
              <xm:f>'BS And Ratio Analysis'!L53:O53</xm:f>
              <xm:sqref>P53</xm:sqref>
            </x14:sparkline>
            <x14:sparkline>
              <xm:f>'BS And Ratio Analysis'!L54:O54</xm:f>
              <xm:sqref>P54</xm:sqref>
            </x14:sparkline>
            <x14:sparkline>
              <xm:f>'BS And Ratio Analysis'!L55:O55</xm:f>
              <xm:sqref>P55</xm:sqref>
            </x14:sparkline>
            <x14:sparkline>
              <xm:f>'BS And Ratio Analysis'!L56:O56</xm:f>
              <xm:sqref>P56</xm:sqref>
            </x14:sparkline>
          </x14:sparklines>
        </x14:sparklineGroup>
      </x14:sparklineGroup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5F884-2684-4B83-9F04-F93117AD3E38}">
  <dimension ref="A1:B5"/>
  <sheetViews>
    <sheetView showGridLines="0" workbookViewId="0">
      <selection activeCell="H1" sqref="H1"/>
    </sheetView>
  </sheetViews>
  <sheetFormatPr defaultRowHeight="14.5" x14ac:dyDescent="0.35"/>
  <cols>
    <col min="1" max="1" width="17.453125" bestFit="1" customWidth="1"/>
    <col min="2" max="2" width="14.90625" bestFit="1" customWidth="1"/>
  </cols>
  <sheetData>
    <row r="1" spans="1:2" x14ac:dyDescent="0.35">
      <c r="A1" s="63" t="s">
        <v>110</v>
      </c>
      <c r="B1" t="s">
        <v>123</v>
      </c>
    </row>
    <row r="2" spans="1:2" x14ac:dyDescent="0.35">
      <c r="A2" s="64">
        <v>2017</v>
      </c>
      <c r="B2" s="65">
        <v>-0.74652729740697787</v>
      </c>
    </row>
    <row r="3" spans="1:2" x14ac:dyDescent="0.35">
      <c r="A3" s="66" t="s">
        <v>106</v>
      </c>
      <c r="B3" s="65">
        <v>-0.53996434640284396</v>
      </c>
    </row>
    <row r="4" spans="1:2" x14ac:dyDescent="0.35">
      <c r="A4" s="66" t="s">
        <v>107</v>
      </c>
      <c r="B4" s="65">
        <v>-0.20656295100413391</v>
      </c>
    </row>
    <row r="5" spans="1:2" x14ac:dyDescent="0.35">
      <c r="A5" s="64" t="s">
        <v>111</v>
      </c>
      <c r="B5" s="65">
        <v>-0.74652729740697787</v>
      </c>
    </row>
  </sheetData>
  <pageMargins left="0.7" right="0.7" top="0.75" bottom="0.75" header="0.3" footer="0.3"/>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4F20C-4E84-46BE-B26A-7DE49EDBFD52}">
  <dimension ref="A1:B5"/>
  <sheetViews>
    <sheetView showGridLines="0" workbookViewId="0">
      <selection activeCell="H1" sqref="H1"/>
    </sheetView>
  </sheetViews>
  <sheetFormatPr defaultRowHeight="14.5" x14ac:dyDescent="0.35"/>
  <cols>
    <col min="1" max="1" width="17.453125" bestFit="1" customWidth="1"/>
    <col min="2" max="2" width="14.08984375" bestFit="1" customWidth="1"/>
  </cols>
  <sheetData>
    <row r="1" spans="1:2" x14ac:dyDescent="0.35">
      <c r="A1" s="63" t="s">
        <v>110</v>
      </c>
      <c r="B1" t="s">
        <v>124</v>
      </c>
    </row>
    <row r="2" spans="1:2" x14ac:dyDescent="0.35">
      <c r="A2" s="64">
        <v>2017</v>
      </c>
      <c r="B2" s="65">
        <v>-1.1688826888639201</v>
      </c>
    </row>
    <row r="3" spans="1:2" x14ac:dyDescent="0.35">
      <c r="A3" s="66" t="s">
        <v>106</v>
      </c>
      <c r="B3" s="65">
        <v>-0.78750709018718101</v>
      </c>
    </row>
    <row r="4" spans="1:2" x14ac:dyDescent="0.35">
      <c r="A4" s="66" t="s">
        <v>107</v>
      </c>
      <c r="B4" s="65">
        <v>-0.3813755986767392</v>
      </c>
    </row>
    <row r="5" spans="1:2" x14ac:dyDescent="0.35">
      <c r="A5" s="64" t="s">
        <v>111</v>
      </c>
      <c r="B5" s="65">
        <v>-1.1688826888639201</v>
      </c>
    </row>
  </sheetData>
  <pageMargins left="0.7" right="0.7" top="0.75" bottom="0.75" header="0.3" footer="0.3"/>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FA97C-52B4-41A1-81A3-C8508B3C1576}">
  <dimension ref="A1:B5"/>
  <sheetViews>
    <sheetView showGridLines="0" workbookViewId="0">
      <selection activeCell="H1" sqref="H1"/>
    </sheetView>
  </sheetViews>
  <sheetFormatPr defaultRowHeight="14.5" x14ac:dyDescent="0.35"/>
  <cols>
    <col min="1" max="1" width="17.453125" bestFit="1" customWidth="1"/>
    <col min="2" max="2" width="18.7265625" bestFit="1" customWidth="1"/>
  </cols>
  <sheetData>
    <row r="1" spans="1:2" x14ac:dyDescent="0.35">
      <c r="A1" s="63" t="s">
        <v>110</v>
      </c>
      <c r="B1" t="s">
        <v>125</v>
      </c>
    </row>
    <row r="2" spans="1:2" x14ac:dyDescent="0.35">
      <c r="A2" s="64">
        <v>2017</v>
      </c>
      <c r="B2" s="65">
        <v>0.15836188854214889</v>
      </c>
    </row>
    <row r="3" spans="1:2" x14ac:dyDescent="0.35">
      <c r="A3" s="66" t="s">
        <v>106</v>
      </c>
      <c r="B3" s="65">
        <v>4.873819456179472E-2</v>
      </c>
    </row>
    <row r="4" spans="1:2" x14ac:dyDescent="0.35">
      <c r="A4" s="66" t="s">
        <v>107</v>
      </c>
      <c r="B4" s="65">
        <v>0.10962369398035415</v>
      </c>
    </row>
    <row r="5" spans="1:2" x14ac:dyDescent="0.35">
      <c r="A5" s="64" t="s">
        <v>111</v>
      </c>
      <c r="B5" s="65">
        <v>0.15836188854214889</v>
      </c>
    </row>
  </sheetData>
  <pageMargins left="0.7" right="0.7" top="0.75" bottom="0.75" header="0.3" footer="0.3"/>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F7374-1B55-4C66-9435-E09D48EBBD19}">
  <dimension ref="A1:B5"/>
  <sheetViews>
    <sheetView showGridLines="0" workbookViewId="0">
      <selection activeCell="H1" sqref="H1"/>
    </sheetView>
  </sheetViews>
  <sheetFormatPr defaultRowHeight="14.5" x14ac:dyDescent="0.35"/>
  <cols>
    <col min="1" max="1" width="17.453125" bestFit="1" customWidth="1"/>
    <col min="2" max="2" width="19.26953125" bestFit="1" customWidth="1"/>
  </cols>
  <sheetData>
    <row r="1" spans="1:2" x14ac:dyDescent="0.35">
      <c r="A1" s="63" t="s">
        <v>110</v>
      </c>
      <c r="B1" t="s">
        <v>126</v>
      </c>
    </row>
    <row r="2" spans="1:2" x14ac:dyDescent="0.35">
      <c r="A2" s="64">
        <v>2017</v>
      </c>
      <c r="B2" s="65">
        <v>120.09606910060756</v>
      </c>
    </row>
    <row r="3" spans="1:2" x14ac:dyDescent="0.35">
      <c r="A3" s="66" t="s">
        <v>106</v>
      </c>
      <c r="B3" s="65">
        <v>80.96880733944954</v>
      </c>
    </row>
    <row r="4" spans="1:2" x14ac:dyDescent="0.35">
      <c r="A4" s="66" t="s">
        <v>107</v>
      </c>
      <c r="B4" s="65">
        <v>39.127261761158024</v>
      </c>
    </row>
    <row r="5" spans="1:2" x14ac:dyDescent="0.35">
      <c r="A5" s="64" t="s">
        <v>111</v>
      </c>
      <c r="B5" s="65">
        <v>120.09606910060756</v>
      </c>
    </row>
  </sheetData>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K22"/>
  <sheetViews>
    <sheetView zoomScale="82" zoomScaleNormal="82" workbookViewId="0">
      <pane xSplit="1" ySplit="3" topLeftCell="B4" activePane="bottomRight" state="frozen"/>
      <selection activeCell="H1" sqref="H1"/>
      <selection pane="topRight" activeCell="H1" sqref="H1"/>
      <selection pane="bottomLeft" activeCell="H1" sqref="H1"/>
      <selection pane="bottomRight" activeCell="H1" sqref="H1"/>
    </sheetView>
  </sheetViews>
  <sheetFormatPr defaultColWidth="8.81640625" defaultRowHeight="14.5" x14ac:dyDescent="0.35"/>
  <cols>
    <col min="1" max="1" width="20.6328125" style="6" customWidth="1"/>
    <col min="2" max="11" width="13.453125" style="6" bestFit="1" customWidth="1"/>
    <col min="12" max="16384" width="8.81640625" style="6"/>
  </cols>
  <sheetData>
    <row r="1" spans="1:11" s="8" customFormat="1" x14ac:dyDescent="0.35">
      <c r="A1" s="8" t="str">
        <f>'Profit &amp; Loss'!A1</f>
        <v>BRITANNIA INDUSTRIES LTD</v>
      </c>
      <c r="E1" t="str">
        <f>UPDATE</f>
        <v/>
      </c>
      <c r="J1" s="4" t="s">
        <v>1</v>
      </c>
      <c r="K1" s="4"/>
    </row>
    <row r="3" spans="1:11" s="2" customFormat="1" x14ac:dyDescent="0.35">
      <c r="A3" s="15" t="s">
        <v>2</v>
      </c>
      <c r="B3" s="16">
        <f>'Data Sheet'!B41</f>
        <v>44286</v>
      </c>
      <c r="C3" s="16">
        <f>'Data Sheet'!C41</f>
        <v>44377</v>
      </c>
      <c r="D3" s="16">
        <f>'Data Sheet'!D41</f>
        <v>44469</v>
      </c>
      <c r="E3" s="16">
        <f>'Data Sheet'!E41</f>
        <v>44561</v>
      </c>
      <c r="F3" s="16">
        <f>'Data Sheet'!F41</f>
        <v>44651</v>
      </c>
      <c r="G3" s="16">
        <f>'Data Sheet'!G41</f>
        <v>44742</v>
      </c>
      <c r="H3" s="16">
        <f>'Data Sheet'!H41</f>
        <v>44834</v>
      </c>
      <c r="I3" s="16">
        <f>'Data Sheet'!I41</f>
        <v>44926</v>
      </c>
      <c r="J3" s="16">
        <f>'Data Sheet'!J41</f>
        <v>45016</v>
      </c>
      <c r="K3" s="16">
        <f>'Data Sheet'!K41</f>
        <v>45107</v>
      </c>
    </row>
    <row r="4" spans="1:11" s="8" customFormat="1" x14ac:dyDescent="0.35">
      <c r="A4" s="8" t="s">
        <v>6</v>
      </c>
      <c r="B4" s="1">
        <f>'Data Sheet'!B42</f>
        <v>3130.75</v>
      </c>
      <c r="C4" s="1">
        <f>'Data Sheet'!C42</f>
        <v>3403.46</v>
      </c>
      <c r="D4" s="1">
        <f>'Data Sheet'!D42</f>
        <v>3607.37</v>
      </c>
      <c r="E4" s="1">
        <f>'Data Sheet'!E42</f>
        <v>3574.98</v>
      </c>
      <c r="F4" s="1">
        <f>'Data Sheet'!F42</f>
        <v>3550.45</v>
      </c>
      <c r="G4" s="1">
        <f>'Data Sheet'!G42</f>
        <v>3700.96</v>
      </c>
      <c r="H4" s="1">
        <f>'Data Sheet'!H42</f>
        <v>4379.6099999999997</v>
      </c>
      <c r="I4" s="1">
        <f>'Data Sheet'!I42</f>
        <v>4196.8</v>
      </c>
      <c r="J4" s="1">
        <f>'Data Sheet'!J42</f>
        <v>4023.18</v>
      </c>
      <c r="K4" s="1">
        <f>'Data Sheet'!K42</f>
        <v>4010.7</v>
      </c>
    </row>
    <row r="5" spans="1:11" x14ac:dyDescent="0.35">
      <c r="A5" s="6" t="s">
        <v>7</v>
      </c>
      <c r="B5" s="9">
        <f>'Data Sheet'!B43</f>
        <v>2625.36</v>
      </c>
      <c r="C5" s="9">
        <f>'Data Sheet'!C43</f>
        <v>2849.68</v>
      </c>
      <c r="D5" s="9">
        <f>'Data Sheet'!D43</f>
        <v>3049.04</v>
      </c>
      <c r="E5" s="9">
        <f>'Data Sheet'!E43</f>
        <v>3035.97</v>
      </c>
      <c r="F5" s="9">
        <f>'Data Sheet'!F43</f>
        <v>3000.77</v>
      </c>
      <c r="G5" s="9">
        <f>'Data Sheet'!G43</f>
        <v>3200.37</v>
      </c>
      <c r="H5" s="9">
        <f>'Data Sheet'!H43</f>
        <v>3667.91</v>
      </c>
      <c r="I5" s="9">
        <f>'Data Sheet'!I43</f>
        <v>3379.22</v>
      </c>
      <c r="J5" s="9">
        <f>'Data Sheet'!J43</f>
        <v>3222.29</v>
      </c>
      <c r="K5" s="9">
        <f>'Data Sheet'!K43</f>
        <v>3321.82</v>
      </c>
    </row>
    <row r="6" spans="1:11" s="8" customFormat="1" x14ac:dyDescent="0.35">
      <c r="A6" s="8" t="s">
        <v>8</v>
      </c>
      <c r="B6" s="1">
        <f>'Data Sheet'!B50</f>
        <v>505.39</v>
      </c>
      <c r="C6" s="1">
        <f>'Data Sheet'!C50</f>
        <v>553.78</v>
      </c>
      <c r="D6" s="1">
        <f>'Data Sheet'!D50</f>
        <v>558.33000000000004</v>
      </c>
      <c r="E6" s="1">
        <f>'Data Sheet'!E50</f>
        <v>539.01</v>
      </c>
      <c r="F6" s="1">
        <f>'Data Sheet'!F50</f>
        <v>549.67999999999995</v>
      </c>
      <c r="G6" s="1">
        <f>'Data Sheet'!G50</f>
        <v>500.59</v>
      </c>
      <c r="H6" s="1">
        <f>'Data Sheet'!H50</f>
        <v>711.7</v>
      </c>
      <c r="I6" s="1">
        <f>'Data Sheet'!I50</f>
        <v>817.58</v>
      </c>
      <c r="J6" s="1">
        <f>'Data Sheet'!J50</f>
        <v>800.89</v>
      </c>
      <c r="K6" s="1">
        <f>'Data Sheet'!K50</f>
        <v>688.88</v>
      </c>
    </row>
    <row r="7" spans="1:11" x14ac:dyDescent="0.35">
      <c r="A7" s="6" t="s">
        <v>9</v>
      </c>
      <c r="B7" s="9">
        <f>'Data Sheet'!B44</f>
        <v>63.77</v>
      </c>
      <c r="C7" s="9">
        <f>'Data Sheet'!C44</f>
        <v>60.68</v>
      </c>
      <c r="D7" s="9">
        <f>'Data Sheet'!D44</f>
        <v>53.62</v>
      </c>
      <c r="E7" s="9">
        <f>'Data Sheet'!E44</f>
        <v>54.15</v>
      </c>
      <c r="F7" s="9">
        <f>'Data Sheet'!F44</f>
        <v>53.91</v>
      </c>
      <c r="G7" s="9">
        <f>'Data Sheet'!G44</f>
        <v>55.5</v>
      </c>
      <c r="H7" s="9">
        <f>'Data Sheet'!H44</f>
        <v>53.3</v>
      </c>
      <c r="I7" s="9">
        <f>'Data Sheet'!I44</f>
        <v>427.82</v>
      </c>
      <c r="J7" s="9">
        <f>'Data Sheet'!J44</f>
        <v>60.4</v>
      </c>
      <c r="K7" s="9">
        <f>'Data Sheet'!K44</f>
        <v>56.92</v>
      </c>
    </row>
    <row r="8" spans="1:11" x14ac:dyDescent="0.35">
      <c r="A8" s="6" t="s">
        <v>10</v>
      </c>
      <c r="B8" s="9">
        <f>'Data Sheet'!B45</f>
        <v>52.82</v>
      </c>
      <c r="C8" s="9">
        <f>'Data Sheet'!C45</f>
        <v>49.07</v>
      </c>
      <c r="D8" s="9">
        <f>'Data Sheet'!D45</f>
        <v>50.16</v>
      </c>
      <c r="E8" s="9">
        <f>'Data Sheet'!E45</f>
        <v>50.38</v>
      </c>
      <c r="F8" s="9">
        <f>'Data Sheet'!F45</f>
        <v>50.93</v>
      </c>
      <c r="G8" s="9">
        <f>'Data Sheet'!G45</f>
        <v>50.96</v>
      </c>
      <c r="H8" s="9">
        <f>'Data Sheet'!H45</f>
        <v>51.66</v>
      </c>
      <c r="I8" s="9">
        <f>'Data Sheet'!I45</f>
        <v>57.96</v>
      </c>
      <c r="J8" s="9">
        <f>'Data Sheet'!J45</f>
        <v>65.33</v>
      </c>
      <c r="K8" s="9">
        <f>'Data Sheet'!K45</f>
        <v>70.760000000000005</v>
      </c>
    </row>
    <row r="9" spans="1:11" x14ac:dyDescent="0.35">
      <c r="A9" s="6" t="s">
        <v>11</v>
      </c>
      <c r="B9" s="9">
        <f>'Data Sheet'!B46</f>
        <v>23.69</v>
      </c>
      <c r="C9" s="9">
        <f>'Data Sheet'!C46</f>
        <v>34.21</v>
      </c>
      <c r="D9" s="9">
        <f>'Data Sheet'!D46</f>
        <v>38.950000000000003</v>
      </c>
      <c r="E9" s="9">
        <f>'Data Sheet'!E46</f>
        <v>37.380000000000003</v>
      </c>
      <c r="F9" s="9">
        <f>'Data Sheet'!F46</f>
        <v>33.75</v>
      </c>
      <c r="G9" s="9">
        <f>'Data Sheet'!G46</f>
        <v>41.97</v>
      </c>
      <c r="H9" s="9">
        <f>'Data Sheet'!H46</f>
        <v>54.14</v>
      </c>
      <c r="I9" s="9">
        <f>'Data Sheet'!I46</f>
        <v>38.130000000000003</v>
      </c>
      <c r="J9" s="9">
        <f>'Data Sheet'!J46</f>
        <v>34.86</v>
      </c>
      <c r="K9" s="9">
        <f>'Data Sheet'!K46</f>
        <v>53.05</v>
      </c>
    </row>
    <row r="10" spans="1:11" x14ac:dyDescent="0.35">
      <c r="A10" s="6" t="s">
        <v>12</v>
      </c>
      <c r="B10" s="9">
        <f>'Data Sheet'!B47</f>
        <v>492.65</v>
      </c>
      <c r="C10" s="9">
        <f>'Data Sheet'!C47</f>
        <v>531.17999999999995</v>
      </c>
      <c r="D10" s="9">
        <f>'Data Sheet'!D47</f>
        <v>522.84</v>
      </c>
      <c r="E10" s="9">
        <f>'Data Sheet'!E47</f>
        <v>505.4</v>
      </c>
      <c r="F10" s="9">
        <f>'Data Sheet'!F47</f>
        <v>518.91</v>
      </c>
      <c r="G10" s="9">
        <f>'Data Sheet'!G47</f>
        <v>463.16</v>
      </c>
      <c r="H10" s="9">
        <f>'Data Sheet'!H47</f>
        <v>659.2</v>
      </c>
      <c r="I10" s="9">
        <f>'Data Sheet'!I47</f>
        <v>1149.31</v>
      </c>
      <c r="J10" s="9">
        <f>'Data Sheet'!J47</f>
        <v>761.1</v>
      </c>
      <c r="K10" s="9">
        <f>'Data Sheet'!K47</f>
        <v>621.99</v>
      </c>
    </row>
    <row r="11" spans="1:11" x14ac:dyDescent="0.35">
      <c r="A11" s="6" t="s">
        <v>13</v>
      </c>
      <c r="B11" s="9">
        <f>'Data Sheet'!B48</f>
        <v>132.58000000000001</v>
      </c>
      <c r="C11" s="9">
        <f>'Data Sheet'!C48</f>
        <v>144.16999999999999</v>
      </c>
      <c r="D11" s="9">
        <f>'Data Sheet'!D48</f>
        <v>141</v>
      </c>
      <c r="E11" s="9">
        <f>'Data Sheet'!E48</f>
        <v>136.22</v>
      </c>
      <c r="F11" s="9">
        <f>'Data Sheet'!F48</f>
        <v>140.96</v>
      </c>
      <c r="G11" s="9">
        <f>'Data Sheet'!G48</f>
        <v>127.42</v>
      </c>
      <c r="H11" s="9">
        <f>'Data Sheet'!H48</f>
        <v>168.62</v>
      </c>
      <c r="I11" s="9">
        <f>'Data Sheet'!I48</f>
        <v>216.91</v>
      </c>
      <c r="J11" s="9">
        <f>'Data Sheet'!J48</f>
        <v>203.5</v>
      </c>
      <c r="K11" s="9">
        <f>'Data Sheet'!K48</f>
        <v>166.54</v>
      </c>
    </row>
    <row r="12" spans="1:11" s="8" customFormat="1" x14ac:dyDescent="0.35">
      <c r="A12" s="8" t="s">
        <v>14</v>
      </c>
      <c r="B12" s="1">
        <f>'Data Sheet'!B49</f>
        <v>364.32</v>
      </c>
      <c r="C12" s="1">
        <f>'Data Sheet'!C49</f>
        <v>389.55</v>
      </c>
      <c r="D12" s="1">
        <f>'Data Sheet'!D49</f>
        <v>384.22</v>
      </c>
      <c r="E12" s="1">
        <f>'Data Sheet'!E49</f>
        <v>371.18</v>
      </c>
      <c r="F12" s="1">
        <f>'Data Sheet'!F49</f>
        <v>379.87</v>
      </c>
      <c r="G12" s="1">
        <f>'Data Sheet'!G49</f>
        <v>337.44</v>
      </c>
      <c r="H12" s="1">
        <f>'Data Sheet'!H49</f>
        <v>493.28</v>
      </c>
      <c r="I12" s="1">
        <f>'Data Sheet'!I49</f>
        <v>932.39</v>
      </c>
      <c r="J12" s="1">
        <f>'Data Sheet'!J49</f>
        <v>558.66</v>
      </c>
      <c r="K12" s="1">
        <f>'Data Sheet'!K49</f>
        <v>457.55</v>
      </c>
    </row>
    <row r="14" spans="1:11" s="8" customFormat="1" x14ac:dyDescent="0.35">
      <c r="A14" s="2" t="s">
        <v>18</v>
      </c>
      <c r="B14" s="14">
        <f>IF(B4&gt;0,B6/B4,"")</f>
        <v>0.16142777289786792</v>
      </c>
      <c r="C14" s="14">
        <f t="shared" ref="C14:K14" si="0">IF(C4&gt;0,C6/C4,"")</f>
        <v>0.16271088833128639</v>
      </c>
      <c r="D14" s="14">
        <f t="shared" si="0"/>
        <v>0.15477480823979797</v>
      </c>
      <c r="E14" s="14">
        <f t="shared" si="0"/>
        <v>0.15077287145662352</v>
      </c>
      <c r="F14" s="14">
        <f t="shared" si="0"/>
        <v>0.15481981157318087</v>
      </c>
      <c r="G14" s="14">
        <f t="shared" si="0"/>
        <v>0.13525950023777614</v>
      </c>
      <c r="H14" s="14">
        <f t="shared" si="0"/>
        <v>0.16250305392489287</v>
      </c>
      <c r="I14" s="14">
        <f t="shared" si="0"/>
        <v>0.19481033168128098</v>
      </c>
      <c r="J14" s="14">
        <f t="shared" si="0"/>
        <v>0.19906889574913378</v>
      </c>
      <c r="K14" s="14">
        <f t="shared" si="0"/>
        <v>0.17176054055401802</v>
      </c>
    </row>
    <row r="22" s="30" customFormat="1" x14ac:dyDescent="0.35"/>
  </sheetData>
  <hyperlinks>
    <hyperlink ref="J1"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zoomScale="150" zoomScaleNormal="150" zoomScalePageLayoutView="150" workbookViewId="0">
      <selection activeCell="H1" sqref="H1"/>
    </sheetView>
  </sheetViews>
  <sheetFormatPr defaultColWidth="8.81640625" defaultRowHeight="14.5" x14ac:dyDescent="0.35"/>
  <cols>
    <col min="1" max="1" width="8.81640625" style="8"/>
    <col min="2" max="2" width="10.453125" style="11" customWidth="1"/>
    <col min="3" max="3" width="13.36328125" style="26" customWidth="1"/>
    <col min="4" max="5" width="8.81640625" style="11"/>
    <col min="6" max="6" width="6.81640625" style="11" customWidth="1"/>
    <col min="7" max="16384" width="8.81640625" style="11"/>
  </cols>
  <sheetData>
    <row r="1" spans="1:7" ht="21" x14ac:dyDescent="0.5">
      <c r="A1" s="25" t="s">
        <v>56</v>
      </c>
    </row>
    <row r="3" spans="1:7" x14ac:dyDescent="0.35">
      <c r="A3" s="8" t="s">
        <v>48</v>
      </c>
    </row>
    <row r="4" spans="1:7" x14ac:dyDescent="0.35">
      <c r="B4" s="11" t="s">
        <v>90</v>
      </c>
    </row>
    <row r="5" spans="1:7" x14ac:dyDescent="0.35">
      <c r="B5" s="11" t="s">
        <v>49</v>
      </c>
    </row>
    <row r="7" spans="1:7" x14ac:dyDescent="0.35">
      <c r="A7" s="8" t="s">
        <v>50</v>
      </c>
    </row>
    <row r="8" spans="1:7" x14ac:dyDescent="0.35">
      <c r="B8" s="11" t="s">
        <v>51</v>
      </c>
      <c r="C8" s="27" t="s">
        <v>91</v>
      </c>
    </row>
    <row r="10" spans="1:7" x14ac:dyDescent="0.35">
      <c r="A10" s="8" t="s">
        <v>52</v>
      </c>
    </row>
    <row r="11" spans="1:7" x14ac:dyDescent="0.35">
      <c r="B11" s="11" t="s">
        <v>53</v>
      </c>
    </row>
    <row r="14" spans="1:7" x14ac:dyDescent="0.35">
      <c r="A14" s="8" t="s">
        <v>54</v>
      </c>
    </row>
    <row r="15" spans="1:7" x14ac:dyDescent="0.35">
      <c r="B15" s="11" t="s">
        <v>55</v>
      </c>
    </row>
    <row r="16" spans="1:7" x14ac:dyDescent="0.35">
      <c r="B16" s="11" t="s">
        <v>92</v>
      </c>
      <c r="G16" s="28"/>
    </row>
  </sheetData>
  <hyperlinks>
    <hyperlink ref="C8" r:id="rId1" display=" http://www.screener.in/excel" xr:uid="{00000000-0004-0000-04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3"/>
  <sheetViews>
    <sheetView zoomScale="120" zoomScaleNormal="120" zoomScalePageLayoutView="120" workbookViewId="0">
      <pane xSplit="1" ySplit="1" topLeftCell="E38" activePane="bottomRight" state="frozen"/>
      <selection activeCell="C4" sqref="C4"/>
      <selection pane="topRight" activeCell="C4" sqref="C4"/>
      <selection pane="bottomLeft" activeCell="C4" sqref="C4"/>
      <selection pane="bottomRight" activeCell="A51" sqref="A51"/>
    </sheetView>
  </sheetViews>
  <sheetFormatPr defaultColWidth="8.81640625" defaultRowHeight="14.5" x14ac:dyDescent="0.35"/>
  <cols>
    <col min="1" max="1" width="27.6328125" style="5" bestFit="1" customWidth="1"/>
    <col min="2" max="11" width="13.453125" style="5" bestFit="1" customWidth="1"/>
    <col min="12" max="16384" width="8.81640625" style="5"/>
  </cols>
  <sheetData>
    <row r="1" spans="1:11" s="1" customFormat="1" x14ac:dyDescent="0.35">
      <c r="A1" s="1" t="s">
        <v>0</v>
      </c>
      <c r="B1" s="1" t="s">
        <v>63</v>
      </c>
      <c r="E1" s="241" t="str">
        <f>IF(B2&lt;&gt;B3, "A NEW VERSION OF THE WORKSHEET IS AVAILABLE", "")</f>
        <v/>
      </c>
      <c r="F1" s="241"/>
      <c r="G1" s="241"/>
      <c r="H1" s="241"/>
      <c r="I1" s="241"/>
      <c r="J1" s="241"/>
      <c r="K1" s="241"/>
    </row>
    <row r="2" spans="1:11" x14ac:dyDescent="0.35">
      <c r="A2" s="1" t="s">
        <v>61</v>
      </c>
      <c r="B2" s="5">
        <v>2.1</v>
      </c>
      <c r="E2" s="242" t="s">
        <v>36</v>
      </c>
      <c r="F2" s="242"/>
      <c r="G2" s="242"/>
      <c r="H2" s="242"/>
      <c r="I2" s="242"/>
      <c r="J2" s="242"/>
      <c r="K2" s="242"/>
    </row>
    <row r="3" spans="1:11" x14ac:dyDescent="0.35">
      <c r="A3" s="1" t="s">
        <v>62</v>
      </c>
      <c r="B3" s="5">
        <v>2.1</v>
      </c>
    </row>
    <row r="4" spans="1:11" x14ac:dyDescent="0.35">
      <c r="A4" s="1"/>
    </row>
    <row r="5" spans="1:11" x14ac:dyDescent="0.35">
      <c r="A5" s="1" t="s">
        <v>64</v>
      </c>
    </row>
    <row r="6" spans="1:11" x14ac:dyDescent="0.35">
      <c r="A6" s="5" t="s">
        <v>42</v>
      </c>
      <c r="B6" s="5">
        <f>IF(B9&gt;0, B9/B8, 0)</f>
        <v>24.086828522694546</v>
      </c>
    </row>
    <row r="7" spans="1:11" x14ac:dyDescent="0.35">
      <c r="A7" s="5" t="s">
        <v>31</v>
      </c>
      <c r="B7">
        <v>1</v>
      </c>
    </row>
    <row r="8" spans="1:11" x14ac:dyDescent="0.35">
      <c r="A8" s="5" t="s">
        <v>43</v>
      </c>
      <c r="B8">
        <v>4514.3</v>
      </c>
    </row>
    <row r="9" spans="1:11" x14ac:dyDescent="0.35">
      <c r="A9" s="5" t="s">
        <v>79</v>
      </c>
      <c r="B9">
        <v>108735.17</v>
      </c>
    </row>
    <row r="15" spans="1:11" x14ac:dyDescent="0.35">
      <c r="A15" s="1" t="s">
        <v>37</v>
      </c>
    </row>
    <row r="16" spans="1:11" s="24" customFormat="1" x14ac:dyDescent="0.35">
      <c r="A16" s="23" t="s">
        <v>38</v>
      </c>
      <c r="B16" s="16">
        <v>41729</v>
      </c>
      <c r="C16" s="16">
        <v>42094</v>
      </c>
      <c r="D16" s="16">
        <v>42460</v>
      </c>
      <c r="E16" s="16">
        <v>42825</v>
      </c>
      <c r="F16" s="16">
        <v>43190</v>
      </c>
      <c r="G16" s="16">
        <v>43555</v>
      </c>
      <c r="H16" s="16">
        <v>43921</v>
      </c>
      <c r="I16" s="16">
        <v>44286</v>
      </c>
      <c r="J16" s="16">
        <v>44651</v>
      </c>
      <c r="K16" s="16">
        <v>45016</v>
      </c>
    </row>
    <row r="17" spans="1:11" s="9" customFormat="1" x14ac:dyDescent="0.35">
      <c r="A17" s="9" t="s">
        <v>6</v>
      </c>
      <c r="B17">
        <v>6912.71</v>
      </c>
      <c r="C17">
        <v>7858.42</v>
      </c>
      <c r="D17">
        <v>8397.23</v>
      </c>
      <c r="E17">
        <v>9054.09</v>
      </c>
      <c r="F17">
        <v>9913.99</v>
      </c>
      <c r="G17">
        <v>11054.67</v>
      </c>
      <c r="H17">
        <v>11599.55</v>
      </c>
      <c r="I17">
        <v>13136.14</v>
      </c>
      <c r="J17">
        <v>14136.26</v>
      </c>
      <c r="K17">
        <v>16300.55</v>
      </c>
    </row>
    <row r="18" spans="1:11" s="9" customFormat="1" x14ac:dyDescent="0.35">
      <c r="A18" s="5" t="s">
        <v>80</v>
      </c>
      <c r="B18">
        <v>4182.53</v>
      </c>
      <c r="C18">
        <v>4722.21</v>
      </c>
      <c r="D18">
        <v>5016.99</v>
      </c>
      <c r="E18">
        <v>5642.88</v>
      </c>
      <c r="F18">
        <v>6100.8</v>
      </c>
      <c r="G18">
        <v>6616.64</v>
      </c>
      <c r="H18">
        <v>6874.9</v>
      </c>
      <c r="I18">
        <v>7663.22</v>
      </c>
      <c r="J18">
        <v>8835.56</v>
      </c>
      <c r="K18">
        <v>9663.83</v>
      </c>
    </row>
    <row r="19" spans="1:11" s="9" customFormat="1" x14ac:dyDescent="0.35">
      <c r="A19" s="5" t="s">
        <v>81</v>
      </c>
      <c r="B19">
        <v>11.51</v>
      </c>
      <c r="C19">
        <v>30.4</v>
      </c>
      <c r="D19">
        <v>4.2699999999999996</v>
      </c>
      <c r="E19">
        <v>54.2</v>
      </c>
      <c r="F19">
        <v>-6.3</v>
      </c>
      <c r="G19">
        <v>55.18</v>
      </c>
      <c r="H19">
        <v>-52.57</v>
      </c>
      <c r="I19">
        <v>37.119999999999997</v>
      </c>
      <c r="J19">
        <v>75.260000000000005</v>
      </c>
      <c r="K19">
        <v>72.53</v>
      </c>
    </row>
    <row r="20" spans="1:11" s="9" customFormat="1" x14ac:dyDescent="0.35">
      <c r="A20" s="5" t="s">
        <v>82</v>
      </c>
      <c r="B20">
        <v>110.72</v>
      </c>
      <c r="C20">
        <v>110.96</v>
      </c>
      <c r="D20">
        <v>95.16</v>
      </c>
      <c r="E20">
        <v>104.28</v>
      </c>
      <c r="F20">
        <v>128.83000000000001</v>
      </c>
      <c r="G20">
        <v>175.17</v>
      </c>
      <c r="H20">
        <v>177.7</v>
      </c>
      <c r="I20">
        <v>182.29</v>
      </c>
      <c r="J20">
        <v>217.68</v>
      </c>
      <c r="K20">
        <v>272.2</v>
      </c>
    </row>
    <row r="21" spans="1:11" s="9" customFormat="1" x14ac:dyDescent="0.35">
      <c r="A21" s="5" t="s">
        <v>83</v>
      </c>
      <c r="B21">
        <v>509.95</v>
      </c>
      <c r="C21">
        <v>555.67999999999995</v>
      </c>
      <c r="D21">
        <v>510.15</v>
      </c>
      <c r="E21">
        <v>509.93</v>
      </c>
      <c r="F21">
        <v>487.59</v>
      </c>
      <c r="G21">
        <v>621.32000000000005</v>
      </c>
      <c r="H21">
        <v>610.67999999999995</v>
      </c>
      <c r="I21">
        <v>672.21</v>
      </c>
      <c r="J21">
        <v>752.29</v>
      </c>
      <c r="K21">
        <v>893.75</v>
      </c>
    </row>
    <row r="22" spans="1:11" s="9" customFormat="1" x14ac:dyDescent="0.35">
      <c r="A22" s="5" t="s">
        <v>84</v>
      </c>
      <c r="B22">
        <v>262.66000000000003</v>
      </c>
      <c r="C22">
        <v>294.44</v>
      </c>
      <c r="D22">
        <v>341.36</v>
      </c>
      <c r="E22">
        <v>352.61</v>
      </c>
      <c r="F22">
        <v>401.6</v>
      </c>
      <c r="G22">
        <v>441.82</v>
      </c>
      <c r="H22">
        <v>486.69</v>
      </c>
      <c r="I22">
        <v>527.38</v>
      </c>
      <c r="J22">
        <v>542.26</v>
      </c>
      <c r="K22">
        <v>658.38</v>
      </c>
    </row>
    <row r="23" spans="1:11" s="9" customFormat="1" x14ac:dyDescent="0.35">
      <c r="A23" s="5" t="s">
        <v>85</v>
      </c>
      <c r="B23">
        <v>1030.8900000000001</v>
      </c>
      <c r="C23">
        <v>1129.07</v>
      </c>
      <c r="D23">
        <v>956.77</v>
      </c>
      <c r="E23">
        <v>915.01</v>
      </c>
      <c r="F23">
        <v>953.48</v>
      </c>
      <c r="G23">
        <v>1107.49</v>
      </c>
      <c r="H23">
        <v>1125.23</v>
      </c>
      <c r="I23">
        <v>1163.82</v>
      </c>
      <c r="J23">
        <v>1187.32</v>
      </c>
      <c r="K23">
        <v>1473.86</v>
      </c>
    </row>
    <row r="24" spans="1:11" s="9" customFormat="1" x14ac:dyDescent="0.35">
      <c r="A24" s="5" t="s">
        <v>86</v>
      </c>
      <c r="B24">
        <v>200.27</v>
      </c>
      <c r="C24">
        <v>206.14</v>
      </c>
      <c r="D24">
        <v>257.5</v>
      </c>
      <c r="E24">
        <v>305.39999999999998</v>
      </c>
      <c r="F24">
        <v>333.92</v>
      </c>
      <c r="G24">
        <v>414.96</v>
      </c>
      <c r="H24">
        <v>428.6</v>
      </c>
      <c r="I24">
        <v>455.05</v>
      </c>
      <c r="J24">
        <v>475.1</v>
      </c>
      <c r="K24">
        <v>580.15</v>
      </c>
    </row>
    <row r="25" spans="1:11" s="9" customFormat="1" x14ac:dyDescent="0.35">
      <c r="A25" s="9" t="s">
        <v>9</v>
      </c>
      <c r="B25">
        <v>33.590000000000003</v>
      </c>
      <c r="C25">
        <v>227.61</v>
      </c>
      <c r="D25">
        <v>115.17</v>
      </c>
      <c r="E25">
        <v>150.54</v>
      </c>
      <c r="F25">
        <v>166.37</v>
      </c>
      <c r="G25">
        <v>206.45</v>
      </c>
      <c r="H25">
        <v>262.83</v>
      </c>
      <c r="I25">
        <v>313.07</v>
      </c>
      <c r="J25">
        <v>221.85</v>
      </c>
      <c r="K25">
        <v>596.87</v>
      </c>
    </row>
    <row r="26" spans="1:11" s="9" customFormat="1" x14ac:dyDescent="0.35">
      <c r="A26" s="9" t="s">
        <v>10</v>
      </c>
      <c r="B26">
        <v>83.18</v>
      </c>
      <c r="C26">
        <v>144.47999999999999</v>
      </c>
      <c r="D26">
        <v>113.41</v>
      </c>
      <c r="E26">
        <v>119.27</v>
      </c>
      <c r="F26">
        <v>142.07</v>
      </c>
      <c r="G26">
        <v>161.88</v>
      </c>
      <c r="H26">
        <v>184.81</v>
      </c>
      <c r="I26">
        <v>197.85</v>
      </c>
      <c r="J26">
        <v>200.54</v>
      </c>
      <c r="K26">
        <v>225.91</v>
      </c>
    </row>
    <row r="27" spans="1:11" s="9" customFormat="1" x14ac:dyDescent="0.35">
      <c r="A27" s="9" t="s">
        <v>11</v>
      </c>
      <c r="B27">
        <v>8.2899999999999991</v>
      </c>
      <c r="C27">
        <v>3.86</v>
      </c>
      <c r="D27">
        <v>4.87</v>
      </c>
      <c r="E27">
        <v>5.45</v>
      </c>
      <c r="F27">
        <v>7.59</v>
      </c>
      <c r="G27">
        <v>9.09</v>
      </c>
      <c r="H27">
        <v>76.900000000000006</v>
      </c>
      <c r="I27">
        <v>110.9</v>
      </c>
      <c r="J27">
        <v>144.29</v>
      </c>
      <c r="K27">
        <v>169.1</v>
      </c>
    </row>
    <row r="28" spans="1:11" s="9" customFormat="1" x14ac:dyDescent="0.35">
      <c r="A28" s="9" t="s">
        <v>12</v>
      </c>
      <c r="B28">
        <v>569.32000000000005</v>
      </c>
      <c r="C28">
        <v>949.59</v>
      </c>
      <c r="D28">
        <v>1220.46</v>
      </c>
      <c r="E28">
        <v>1304</v>
      </c>
      <c r="F28">
        <v>1518.18</v>
      </c>
      <c r="G28">
        <v>1767.93</v>
      </c>
      <c r="H28">
        <v>1844.3</v>
      </c>
      <c r="I28">
        <v>2513.61</v>
      </c>
      <c r="J28">
        <v>2078.33</v>
      </c>
      <c r="K28">
        <v>3032.77</v>
      </c>
    </row>
    <row r="29" spans="1:11" s="9" customFormat="1" x14ac:dyDescent="0.35">
      <c r="A29" s="9" t="s">
        <v>13</v>
      </c>
      <c r="B29">
        <v>173.58</v>
      </c>
      <c r="C29">
        <v>261.11</v>
      </c>
      <c r="D29">
        <v>396.1</v>
      </c>
      <c r="E29">
        <v>419.67</v>
      </c>
      <c r="F29">
        <v>514.22</v>
      </c>
      <c r="G29">
        <v>612.47</v>
      </c>
      <c r="H29">
        <v>450.7</v>
      </c>
      <c r="I29">
        <v>663.02</v>
      </c>
      <c r="J29">
        <v>562.35</v>
      </c>
      <c r="K29">
        <v>716.45</v>
      </c>
    </row>
    <row r="30" spans="1:11" s="9" customFormat="1" x14ac:dyDescent="0.35">
      <c r="A30" s="9" t="s">
        <v>14</v>
      </c>
      <c r="B30">
        <v>395.35</v>
      </c>
      <c r="C30">
        <v>688.64</v>
      </c>
      <c r="D30">
        <v>824.58</v>
      </c>
      <c r="E30">
        <v>884.47</v>
      </c>
      <c r="F30">
        <v>1004.23</v>
      </c>
      <c r="G30">
        <v>1159.1199999999999</v>
      </c>
      <c r="H30">
        <v>1402.63</v>
      </c>
      <c r="I30">
        <v>1863.9</v>
      </c>
      <c r="J30">
        <v>1524.82</v>
      </c>
      <c r="K30">
        <v>2321.77</v>
      </c>
    </row>
    <row r="31" spans="1:11" s="9" customFormat="1" x14ac:dyDescent="0.35">
      <c r="A31" s="9" t="s">
        <v>70</v>
      </c>
      <c r="B31">
        <v>143.94</v>
      </c>
      <c r="C31">
        <v>191.92</v>
      </c>
      <c r="D31">
        <v>240</v>
      </c>
      <c r="E31">
        <v>264</v>
      </c>
      <c r="F31">
        <v>300.12</v>
      </c>
      <c r="G31">
        <v>360.45</v>
      </c>
      <c r="H31">
        <v>841.75</v>
      </c>
      <c r="I31">
        <v>3794.18</v>
      </c>
      <c r="J31">
        <v>1361.08</v>
      </c>
      <c r="K31">
        <v>1734.48</v>
      </c>
    </row>
    <row r="32" spans="1:11" s="9" customFormat="1" x14ac:dyDescent="0.35"/>
    <row r="33" spans="1:11" x14ac:dyDescent="0.35">
      <c r="A33" s="9"/>
    </row>
    <row r="34" spans="1:11" x14ac:dyDescent="0.35">
      <c r="A34" s="9"/>
    </row>
    <row r="35" spans="1:11" x14ac:dyDescent="0.35">
      <c r="A35" s="9"/>
    </row>
    <row r="36" spans="1:11" x14ac:dyDescent="0.35">
      <c r="A36" s="9"/>
    </row>
    <row r="37" spans="1:11" x14ac:dyDescent="0.35">
      <c r="A37" s="9"/>
    </row>
    <row r="38" spans="1:11" x14ac:dyDescent="0.35">
      <c r="A38" s="9"/>
    </row>
    <row r="39" spans="1:11" x14ac:dyDescent="0.35">
      <c r="A39" s="9"/>
    </row>
    <row r="40" spans="1:11" x14ac:dyDescent="0.35">
      <c r="A40" s="1" t="s">
        <v>39</v>
      </c>
    </row>
    <row r="41" spans="1:11" s="24" customFormat="1" x14ac:dyDescent="0.35">
      <c r="A41" s="23" t="s">
        <v>38</v>
      </c>
      <c r="B41" s="16">
        <v>44286</v>
      </c>
      <c r="C41" s="16">
        <v>44377</v>
      </c>
      <c r="D41" s="16">
        <v>44469</v>
      </c>
      <c r="E41" s="16">
        <v>44561</v>
      </c>
      <c r="F41" s="16">
        <v>44651</v>
      </c>
      <c r="G41" s="16">
        <v>44742</v>
      </c>
      <c r="H41" s="16">
        <v>44834</v>
      </c>
      <c r="I41" s="16">
        <v>44926</v>
      </c>
      <c r="J41" s="16">
        <v>45016</v>
      </c>
      <c r="K41" s="16">
        <v>45107</v>
      </c>
    </row>
    <row r="42" spans="1:11" s="9" customFormat="1" x14ac:dyDescent="0.35">
      <c r="A42" s="9" t="s">
        <v>6</v>
      </c>
      <c r="B42">
        <v>3130.75</v>
      </c>
      <c r="C42">
        <v>3403.46</v>
      </c>
      <c r="D42">
        <v>3607.37</v>
      </c>
      <c r="E42">
        <v>3574.98</v>
      </c>
      <c r="F42">
        <v>3550.45</v>
      </c>
      <c r="G42">
        <v>3700.96</v>
      </c>
      <c r="H42">
        <v>4379.6099999999997</v>
      </c>
      <c r="I42">
        <v>4196.8</v>
      </c>
      <c r="J42">
        <v>4023.18</v>
      </c>
      <c r="K42">
        <v>4010.7</v>
      </c>
    </row>
    <row r="43" spans="1:11" s="9" customFormat="1" x14ac:dyDescent="0.35">
      <c r="A43" s="9" t="s">
        <v>7</v>
      </c>
      <c r="B43">
        <v>2625.36</v>
      </c>
      <c r="C43">
        <v>2849.68</v>
      </c>
      <c r="D43">
        <v>3049.04</v>
      </c>
      <c r="E43">
        <v>3035.97</v>
      </c>
      <c r="F43">
        <v>3000.77</v>
      </c>
      <c r="G43">
        <v>3200.37</v>
      </c>
      <c r="H43">
        <v>3667.91</v>
      </c>
      <c r="I43">
        <v>3379.22</v>
      </c>
      <c r="J43">
        <v>3222.29</v>
      </c>
      <c r="K43">
        <v>3321.82</v>
      </c>
    </row>
    <row r="44" spans="1:11" s="9" customFormat="1" x14ac:dyDescent="0.35">
      <c r="A44" s="9" t="s">
        <v>9</v>
      </c>
      <c r="B44">
        <v>63.77</v>
      </c>
      <c r="C44">
        <v>60.68</v>
      </c>
      <c r="D44">
        <v>53.62</v>
      </c>
      <c r="E44">
        <v>54.15</v>
      </c>
      <c r="F44">
        <v>53.91</v>
      </c>
      <c r="G44">
        <v>55.5</v>
      </c>
      <c r="H44">
        <v>53.3</v>
      </c>
      <c r="I44">
        <v>427.82</v>
      </c>
      <c r="J44">
        <v>60.4</v>
      </c>
      <c r="K44">
        <v>56.92</v>
      </c>
    </row>
    <row r="45" spans="1:11" s="9" customFormat="1" x14ac:dyDescent="0.35">
      <c r="A45" s="9" t="s">
        <v>10</v>
      </c>
      <c r="B45">
        <v>52.82</v>
      </c>
      <c r="C45">
        <v>49.07</v>
      </c>
      <c r="D45">
        <v>50.16</v>
      </c>
      <c r="E45">
        <v>50.38</v>
      </c>
      <c r="F45">
        <v>50.93</v>
      </c>
      <c r="G45">
        <v>50.96</v>
      </c>
      <c r="H45">
        <v>51.66</v>
      </c>
      <c r="I45">
        <v>57.96</v>
      </c>
      <c r="J45">
        <v>65.33</v>
      </c>
      <c r="K45">
        <v>70.760000000000005</v>
      </c>
    </row>
    <row r="46" spans="1:11" s="9" customFormat="1" x14ac:dyDescent="0.35">
      <c r="A46" s="9" t="s">
        <v>11</v>
      </c>
      <c r="B46">
        <v>23.69</v>
      </c>
      <c r="C46">
        <v>34.21</v>
      </c>
      <c r="D46">
        <v>38.950000000000003</v>
      </c>
      <c r="E46">
        <v>37.380000000000003</v>
      </c>
      <c r="F46">
        <v>33.75</v>
      </c>
      <c r="G46">
        <v>41.97</v>
      </c>
      <c r="H46">
        <v>54.14</v>
      </c>
      <c r="I46">
        <v>38.130000000000003</v>
      </c>
      <c r="J46">
        <v>34.86</v>
      </c>
      <c r="K46">
        <v>53.05</v>
      </c>
    </row>
    <row r="47" spans="1:11" s="9" customFormat="1" x14ac:dyDescent="0.35">
      <c r="A47" s="9" t="s">
        <v>12</v>
      </c>
      <c r="B47">
        <v>492.65</v>
      </c>
      <c r="C47">
        <v>531.17999999999995</v>
      </c>
      <c r="D47">
        <v>522.84</v>
      </c>
      <c r="E47">
        <v>505.4</v>
      </c>
      <c r="F47">
        <v>518.91</v>
      </c>
      <c r="G47">
        <v>463.16</v>
      </c>
      <c r="H47">
        <v>659.2</v>
      </c>
      <c r="I47">
        <v>1149.31</v>
      </c>
      <c r="J47">
        <v>761.1</v>
      </c>
      <c r="K47">
        <v>621.99</v>
      </c>
    </row>
    <row r="48" spans="1:11" s="9" customFormat="1" x14ac:dyDescent="0.35">
      <c r="A48" s="9" t="s">
        <v>13</v>
      </c>
      <c r="B48">
        <v>132.58000000000001</v>
      </c>
      <c r="C48">
        <v>144.16999999999999</v>
      </c>
      <c r="D48">
        <v>141</v>
      </c>
      <c r="E48">
        <v>136.22</v>
      </c>
      <c r="F48">
        <v>140.96</v>
      </c>
      <c r="G48">
        <v>127.42</v>
      </c>
      <c r="H48">
        <v>168.62</v>
      </c>
      <c r="I48">
        <v>216.91</v>
      </c>
      <c r="J48">
        <v>203.5</v>
      </c>
      <c r="K48">
        <v>166.54</v>
      </c>
    </row>
    <row r="49" spans="1:11" s="9" customFormat="1" x14ac:dyDescent="0.35">
      <c r="A49" s="9" t="s">
        <v>14</v>
      </c>
      <c r="B49">
        <v>364.32</v>
      </c>
      <c r="C49">
        <v>389.55</v>
      </c>
      <c r="D49">
        <v>384.22</v>
      </c>
      <c r="E49">
        <v>371.18</v>
      </c>
      <c r="F49">
        <v>379.87</v>
      </c>
      <c r="G49">
        <v>337.44</v>
      </c>
      <c r="H49">
        <v>493.28</v>
      </c>
      <c r="I49">
        <v>932.39</v>
      </c>
      <c r="J49">
        <v>558.66</v>
      </c>
      <c r="K49">
        <v>457.55</v>
      </c>
    </row>
    <row r="50" spans="1:11" x14ac:dyDescent="0.35">
      <c r="A50" s="9" t="s">
        <v>8</v>
      </c>
      <c r="B50">
        <v>505.39</v>
      </c>
      <c r="C50">
        <v>553.78</v>
      </c>
      <c r="D50">
        <v>558.33000000000004</v>
      </c>
      <c r="E50">
        <v>539.01</v>
      </c>
      <c r="F50">
        <v>549.67999999999995</v>
      </c>
      <c r="G50">
        <v>500.59</v>
      </c>
      <c r="H50">
        <v>711.7</v>
      </c>
      <c r="I50">
        <v>817.58</v>
      </c>
      <c r="J50">
        <v>800.89</v>
      </c>
      <c r="K50">
        <v>688.88</v>
      </c>
    </row>
    <row r="51" spans="1:11" x14ac:dyDescent="0.35">
      <c r="A51" s="9"/>
    </row>
    <row r="52" spans="1:11" x14ac:dyDescent="0.35">
      <c r="A52" s="9"/>
    </row>
    <row r="53" spans="1:11" x14ac:dyDescent="0.35">
      <c r="A53" s="9"/>
    </row>
    <row r="54" spans="1:11" x14ac:dyDescent="0.35">
      <c r="A54" s="9"/>
    </row>
    <row r="55" spans="1:11" x14ac:dyDescent="0.35">
      <c r="A55" s="1" t="s">
        <v>40</v>
      </c>
    </row>
    <row r="56" spans="1:11" s="24" customFormat="1" x14ac:dyDescent="0.35">
      <c r="A56" s="23" t="s">
        <v>38</v>
      </c>
      <c r="B56" s="16">
        <v>41729</v>
      </c>
      <c r="C56" s="16">
        <v>42094</v>
      </c>
      <c r="D56" s="16">
        <v>42460</v>
      </c>
      <c r="E56" s="16">
        <v>42825</v>
      </c>
      <c r="F56" s="16">
        <v>43190</v>
      </c>
      <c r="G56" s="16">
        <v>43555</v>
      </c>
      <c r="H56" s="16">
        <v>43921</v>
      </c>
      <c r="I56" s="16">
        <v>44286</v>
      </c>
      <c r="J56" s="16">
        <v>44651</v>
      </c>
      <c r="K56" s="16">
        <v>45016</v>
      </c>
    </row>
    <row r="57" spans="1:11" x14ac:dyDescent="0.35">
      <c r="A57" s="9" t="s">
        <v>24</v>
      </c>
      <c r="B57">
        <v>23.99</v>
      </c>
      <c r="C57">
        <v>23.99</v>
      </c>
      <c r="D57">
        <v>24</v>
      </c>
      <c r="E57">
        <v>24</v>
      </c>
      <c r="F57">
        <v>24.01</v>
      </c>
      <c r="G57">
        <v>24.03</v>
      </c>
      <c r="H57">
        <v>24.05</v>
      </c>
      <c r="I57">
        <v>24.09</v>
      </c>
      <c r="J57">
        <v>24.09</v>
      </c>
      <c r="K57">
        <v>24.09</v>
      </c>
    </row>
    <row r="58" spans="1:11" x14ac:dyDescent="0.35">
      <c r="A58" s="9" t="s">
        <v>25</v>
      </c>
      <c r="B58">
        <v>774.12</v>
      </c>
      <c r="C58">
        <v>1221.1199999999999</v>
      </c>
      <c r="D58">
        <v>2067.6799999999998</v>
      </c>
      <c r="E58">
        <v>2672.42</v>
      </c>
      <c r="F58">
        <v>3382.22</v>
      </c>
      <c r="G58">
        <v>4229.22</v>
      </c>
      <c r="H58">
        <v>4378.78</v>
      </c>
      <c r="I58">
        <v>3523.57</v>
      </c>
      <c r="J58">
        <v>2534.0100000000002</v>
      </c>
      <c r="K58">
        <v>3510.18</v>
      </c>
    </row>
    <row r="59" spans="1:11" x14ac:dyDescent="0.35">
      <c r="A59" s="9" t="s">
        <v>71</v>
      </c>
      <c r="B59">
        <v>149.76</v>
      </c>
      <c r="C59">
        <v>145.07</v>
      </c>
      <c r="D59">
        <v>131.05000000000001</v>
      </c>
      <c r="E59">
        <v>124.56</v>
      </c>
      <c r="F59">
        <v>200.7</v>
      </c>
      <c r="G59">
        <v>156.02000000000001</v>
      </c>
      <c r="H59">
        <v>1537.59</v>
      </c>
      <c r="I59">
        <v>2121.5100000000002</v>
      </c>
      <c r="J59">
        <v>2481.1999999999998</v>
      </c>
      <c r="K59">
        <v>2997.37</v>
      </c>
    </row>
    <row r="60" spans="1:11" x14ac:dyDescent="0.35">
      <c r="A60" s="9" t="s">
        <v>72</v>
      </c>
      <c r="B60">
        <v>1159</v>
      </c>
      <c r="C60">
        <v>1403.17</v>
      </c>
      <c r="D60">
        <v>1271.18</v>
      </c>
      <c r="E60">
        <v>1287.82</v>
      </c>
      <c r="F60">
        <v>1580.99</v>
      </c>
      <c r="G60">
        <v>1828.68</v>
      </c>
      <c r="H60">
        <v>1889.12</v>
      </c>
      <c r="I60">
        <v>2330.92</v>
      </c>
      <c r="J60">
        <v>2487.3000000000002</v>
      </c>
      <c r="K60">
        <v>2819.21</v>
      </c>
    </row>
    <row r="61" spans="1:11" s="1" customFormat="1" x14ac:dyDescent="0.35">
      <c r="A61" s="1" t="s">
        <v>26</v>
      </c>
      <c r="B61">
        <v>2106.87</v>
      </c>
      <c r="C61">
        <v>2793.35</v>
      </c>
      <c r="D61">
        <v>3493.91</v>
      </c>
      <c r="E61">
        <v>4108.8</v>
      </c>
      <c r="F61">
        <v>5187.92</v>
      </c>
      <c r="G61">
        <v>6237.95</v>
      </c>
      <c r="H61">
        <v>7829.54</v>
      </c>
      <c r="I61">
        <v>8000.09</v>
      </c>
      <c r="J61">
        <v>7526.6</v>
      </c>
      <c r="K61">
        <v>9350.85</v>
      </c>
    </row>
    <row r="62" spans="1:11" x14ac:dyDescent="0.35">
      <c r="A62" s="9" t="s">
        <v>27</v>
      </c>
      <c r="B62">
        <v>847.59</v>
      </c>
      <c r="C62">
        <v>844.07</v>
      </c>
      <c r="D62">
        <v>950.24</v>
      </c>
      <c r="E62">
        <v>1159.99</v>
      </c>
      <c r="F62">
        <v>1345.6</v>
      </c>
      <c r="G62">
        <v>1688.3</v>
      </c>
      <c r="H62">
        <v>1878.18</v>
      </c>
      <c r="I62">
        <v>1792.95</v>
      </c>
      <c r="J62">
        <v>1753.21</v>
      </c>
      <c r="K62">
        <v>2655.22</v>
      </c>
    </row>
    <row r="63" spans="1:11" x14ac:dyDescent="0.35">
      <c r="A63" s="9" t="s">
        <v>28</v>
      </c>
      <c r="B63">
        <v>107.09</v>
      </c>
      <c r="C63">
        <v>48.37</v>
      </c>
      <c r="D63">
        <v>90.07</v>
      </c>
      <c r="E63">
        <v>30.07</v>
      </c>
      <c r="F63">
        <v>202.82</v>
      </c>
      <c r="G63">
        <v>101.24</v>
      </c>
      <c r="H63">
        <v>39.549999999999997</v>
      </c>
      <c r="I63">
        <v>116.52</v>
      </c>
      <c r="J63">
        <v>535.67999999999995</v>
      </c>
      <c r="K63">
        <v>105</v>
      </c>
    </row>
    <row r="64" spans="1:11" x14ac:dyDescent="0.35">
      <c r="A64" s="9" t="s">
        <v>29</v>
      </c>
      <c r="B64">
        <v>197.87</v>
      </c>
      <c r="C64">
        <v>517.94000000000005</v>
      </c>
      <c r="D64">
        <v>788.38</v>
      </c>
      <c r="E64">
        <v>486.85</v>
      </c>
      <c r="F64">
        <v>1079.28</v>
      </c>
      <c r="G64">
        <v>1476.28</v>
      </c>
      <c r="H64">
        <v>2893.23</v>
      </c>
      <c r="I64">
        <v>2780.91</v>
      </c>
      <c r="J64">
        <v>1762.37</v>
      </c>
      <c r="K64">
        <v>3324.24</v>
      </c>
    </row>
    <row r="65" spans="1:11" x14ac:dyDescent="0.35">
      <c r="A65" s="9" t="s">
        <v>73</v>
      </c>
      <c r="B65">
        <v>954.32</v>
      </c>
      <c r="C65">
        <v>1382.97</v>
      </c>
      <c r="D65">
        <v>1665.22</v>
      </c>
      <c r="E65">
        <v>2431.89</v>
      </c>
      <c r="F65">
        <v>2560.2199999999998</v>
      </c>
      <c r="G65">
        <v>2972.13</v>
      </c>
      <c r="H65">
        <v>3018.58</v>
      </c>
      <c r="I65">
        <v>3309.71</v>
      </c>
      <c r="J65">
        <v>3475.34</v>
      </c>
      <c r="K65">
        <v>3266.39</v>
      </c>
    </row>
    <row r="66" spans="1:11" s="1" customFormat="1" x14ac:dyDescent="0.35">
      <c r="A66" s="1" t="s">
        <v>26</v>
      </c>
      <c r="B66">
        <v>2106.87</v>
      </c>
      <c r="C66">
        <v>2793.35</v>
      </c>
      <c r="D66">
        <v>3493.91</v>
      </c>
      <c r="E66">
        <v>4108.8</v>
      </c>
      <c r="F66">
        <v>5187.92</v>
      </c>
      <c r="G66">
        <v>6237.95</v>
      </c>
      <c r="H66">
        <v>7829.54</v>
      </c>
      <c r="I66">
        <v>8000.09</v>
      </c>
      <c r="J66">
        <v>7526.6</v>
      </c>
      <c r="K66">
        <v>9350.85</v>
      </c>
    </row>
    <row r="67" spans="1:11" s="9" customFormat="1" x14ac:dyDescent="0.35">
      <c r="A67" s="9" t="s">
        <v>78</v>
      </c>
      <c r="B67">
        <v>108.7</v>
      </c>
      <c r="C67">
        <v>135.81</v>
      </c>
      <c r="D67">
        <v>170.61</v>
      </c>
      <c r="E67">
        <v>179.16</v>
      </c>
      <c r="F67">
        <v>304.60000000000002</v>
      </c>
      <c r="G67">
        <v>394.24</v>
      </c>
      <c r="H67">
        <v>320.36</v>
      </c>
      <c r="I67">
        <v>257.27</v>
      </c>
      <c r="J67">
        <v>331.93</v>
      </c>
      <c r="K67">
        <v>328.94</v>
      </c>
    </row>
    <row r="68" spans="1:11" x14ac:dyDescent="0.35">
      <c r="A68" s="9" t="s">
        <v>45</v>
      </c>
      <c r="B68">
        <v>420.27</v>
      </c>
      <c r="C68">
        <v>404.04</v>
      </c>
      <c r="D68">
        <v>440.65</v>
      </c>
      <c r="E68">
        <v>661.45</v>
      </c>
      <c r="F68">
        <v>652.79</v>
      </c>
      <c r="G68">
        <v>781.38</v>
      </c>
      <c r="H68">
        <v>740.96</v>
      </c>
      <c r="I68">
        <v>1091.49</v>
      </c>
      <c r="J68">
        <v>1367.49</v>
      </c>
      <c r="K68">
        <v>1193.26</v>
      </c>
    </row>
    <row r="69" spans="1:11" x14ac:dyDescent="0.35">
      <c r="A69" s="5" t="s">
        <v>87</v>
      </c>
      <c r="B69">
        <v>109.07</v>
      </c>
      <c r="C69">
        <v>226.33</v>
      </c>
      <c r="D69">
        <v>87.65</v>
      </c>
      <c r="E69">
        <v>120.76</v>
      </c>
      <c r="F69">
        <v>186.42</v>
      </c>
      <c r="G69">
        <v>109.82</v>
      </c>
      <c r="H69">
        <v>122.85</v>
      </c>
      <c r="I69">
        <v>211.34</v>
      </c>
      <c r="J69">
        <v>184.9</v>
      </c>
      <c r="K69">
        <v>197.98</v>
      </c>
    </row>
    <row r="70" spans="1:11" x14ac:dyDescent="0.35">
      <c r="A70" s="5" t="s">
        <v>74</v>
      </c>
      <c r="B70">
        <v>119925800</v>
      </c>
      <c r="C70">
        <v>119925800</v>
      </c>
      <c r="D70">
        <v>119975815</v>
      </c>
      <c r="E70">
        <v>120000815</v>
      </c>
      <c r="F70">
        <v>120059148</v>
      </c>
      <c r="G70">
        <v>240318294</v>
      </c>
      <c r="H70">
        <v>240468296</v>
      </c>
      <c r="I70">
        <v>240868296</v>
      </c>
      <c r="J70">
        <v>240868296</v>
      </c>
      <c r="K70">
        <v>240868296</v>
      </c>
    </row>
    <row r="71" spans="1:11" x14ac:dyDescent="0.35">
      <c r="A71" s="5" t="s">
        <v>75</v>
      </c>
    </row>
    <row r="72" spans="1:11" x14ac:dyDescent="0.35">
      <c r="A72" s="5" t="s">
        <v>88</v>
      </c>
      <c r="B72">
        <v>2</v>
      </c>
      <c r="C72">
        <v>2</v>
      </c>
      <c r="D72">
        <v>2</v>
      </c>
      <c r="E72">
        <v>2</v>
      </c>
      <c r="F72">
        <v>2</v>
      </c>
      <c r="G72">
        <v>1</v>
      </c>
      <c r="H72">
        <v>1</v>
      </c>
      <c r="I72">
        <v>1</v>
      </c>
      <c r="J72">
        <v>1</v>
      </c>
      <c r="K72">
        <v>1</v>
      </c>
    </row>
    <row r="74" spans="1:11" x14ac:dyDescent="0.35">
      <c r="A74" s="9"/>
    </row>
    <row r="75" spans="1:11" x14ac:dyDescent="0.35">
      <c r="A75" s="9"/>
    </row>
    <row r="76" spans="1:11" x14ac:dyDescent="0.35">
      <c r="A76" s="9"/>
    </row>
    <row r="77" spans="1:11" x14ac:dyDescent="0.35">
      <c r="A77" s="9"/>
    </row>
    <row r="78" spans="1:11" x14ac:dyDescent="0.35">
      <c r="A78" s="9"/>
    </row>
    <row r="79" spans="1:11" x14ac:dyDescent="0.35">
      <c r="A79" s="9"/>
    </row>
    <row r="80" spans="1:11" x14ac:dyDescent="0.35">
      <c r="A80" s="1" t="s">
        <v>41</v>
      </c>
    </row>
    <row r="81" spans="1:11" s="24" customFormat="1" x14ac:dyDescent="0.35">
      <c r="A81" s="23" t="s">
        <v>38</v>
      </c>
      <c r="B81" s="16">
        <v>41729</v>
      </c>
      <c r="C81" s="16">
        <v>42094</v>
      </c>
      <c r="D81" s="16">
        <v>42460</v>
      </c>
      <c r="E81" s="16">
        <v>42825</v>
      </c>
      <c r="F81" s="16">
        <v>43190</v>
      </c>
      <c r="G81" s="16">
        <v>43555</v>
      </c>
      <c r="H81" s="16">
        <v>43921</v>
      </c>
      <c r="I81" s="16">
        <v>44286</v>
      </c>
      <c r="J81" s="16">
        <v>44651</v>
      </c>
      <c r="K81" s="16">
        <v>45016</v>
      </c>
    </row>
    <row r="82" spans="1:11" s="1" customFormat="1" x14ac:dyDescent="0.35">
      <c r="A82" s="9" t="s">
        <v>32</v>
      </c>
      <c r="B82">
        <v>671.48</v>
      </c>
      <c r="C82">
        <v>584.46</v>
      </c>
      <c r="D82">
        <v>959.23</v>
      </c>
      <c r="E82">
        <v>441.28</v>
      </c>
      <c r="F82">
        <v>1248.77</v>
      </c>
      <c r="G82">
        <v>1155.78</v>
      </c>
      <c r="H82">
        <v>1484.53</v>
      </c>
      <c r="I82">
        <v>1875.52</v>
      </c>
      <c r="J82">
        <v>1299.52</v>
      </c>
      <c r="K82">
        <v>2526.21</v>
      </c>
    </row>
    <row r="83" spans="1:11" s="9" customFormat="1" x14ac:dyDescent="0.35">
      <c r="A83" s="9" t="s">
        <v>33</v>
      </c>
      <c r="B83">
        <v>-245.64</v>
      </c>
      <c r="C83">
        <v>-450.3</v>
      </c>
      <c r="D83">
        <v>-705.2</v>
      </c>
      <c r="E83">
        <v>-149.85</v>
      </c>
      <c r="F83">
        <v>-956.52</v>
      </c>
      <c r="G83">
        <v>-852.22</v>
      </c>
      <c r="H83">
        <v>-1525.93</v>
      </c>
      <c r="I83">
        <v>433.17</v>
      </c>
      <c r="J83">
        <v>914.19</v>
      </c>
      <c r="K83">
        <v>-1507</v>
      </c>
    </row>
    <row r="84" spans="1:11" s="9" customFormat="1" x14ac:dyDescent="0.35">
      <c r="A84" s="9" t="s">
        <v>34</v>
      </c>
      <c r="B84">
        <v>-357.34</v>
      </c>
      <c r="C84">
        <v>-181.37</v>
      </c>
      <c r="D84">
        <v>-246.18</v>
      </c>
      <c r="E84">
        <v>-295.08</v>
      </c>
      <c r="F84">
        <v>-231.75</v>
      </c>
      <c r="G84">
        <v>-352.68</v>
      </c>
      <c r="H84">
        <v>57.94</v>
      </c>
      <c r="I84">
        <v>-2242.5</v>
      </c>
      <c r="J84">
        <v>-2245.84</v>
      </c>
      <c r="K84">
        <v>-1028.3699999999999</v>
      </c>
    </row>
    <row r="85" spans="1:11" s="1" customFormat="1" x14ac:dyDescent="0.35">
      <c r="A85" s="9" t="s">
        <v>35</v>
      </c>
      <c r="B85">
        <v>68.5</v>
      </c>
      <c r="C85">
        <v>-47.21</v>
      </c>
      <c r="D85">
        <v>7.85</v>
      </c>
      <c r="E85">
        <v>-3.65</v>
      </c>
      <c r="F85">
        <v>60.5</v>
      </c>
      <c r="G85">
        <v>-49.12</v>
      </c>
      <c r="H85">
        <v>16.54</v>
      </c>
      <c r="I85">
        <v>66.19</v>
      </c>
      <c r="J85">
        <v>-32.130000000000003</v>
      </c>
      <c r="K85">
        <v>-9.16</v>
      </c>
    </row>
    <row r="86" spans="1:11" x14ac:dyDescent="0.35">
      <c r="A86" s="9"/>
    </row>
    <row r="87" spans="1:11" x14ac:dyDescent="0.35">
      <c r="A87" s="9"/>
    </row>
    <row r="88" spans="1:11" x14ac:dyDescent="0.35">
      <c r="A88" s="9"/>
    </row>
    <row r="89" spans="1:11" x14ac:dyDescent="0.35">
      <c r="A89" s="9"/>
    </row>
    <row r="90" spans="1:11" s="1" customFormat="1" x14ac:dyDescent="0.35">
      <c r="A90" s="1" t="s">
        <v>77</v>
      </c>
      <c r="B90">
        <v>421.7</v>
      </c>
      <c r="C90">
        <v>1079.28</v>
      </c>
      <c r="D90">
        <v>1343.25</v>
      </c>
      <c r="E90">
        <v>1687</v>
      </c>
      <c r="F90">
        <v>2485.3000000000002</v>
      </c>
      <c r="G90">
        <v>3085.5</v>
      </c>
      <c r="H90">
        <v>2688.95</v>
      </c>
      <c r="I90">
        <v>3625.05</v>
      </c>
      <c r="J90">
        <v>3206.4</v>
      </c>
      <c r="K90">
        <v>4322.1499999999996</v>
      </c>
    </row>
    <row r="92" spans="1:11" s="1" customFormat="1" x14ac:dyDescent="0.35">
      <c r="A92" s="1" t="s">
        <v>76</v>
      </c>
    </row>
    <row r="93" spans="1:11" x14ac:dyDescent="0.35">
      <c r="A93" s="5" t="s">
        <v>89</v>
      </c>
      <c r="B93" s="31">
        <v>23.99</v>
      </c>
      <c r="C93" s="31">
        <v>23.99</v>
      </c>
      <c r="D93" s="31">
        <v>24</v>
      </c>
      <c r="E93" s="31">
        <v>24</v>
      </c>
      <c r="F93" s="31">
        <v>24.01</v>
      </c>
      <c r="G93" s="31">
        <v>24.03</v>
      </c>
      <c r="H93" s="31">
        <v>24.05</v>
      </c>
      <c r="I93" s="31">
        <v>24.09</v>
      </c>
      <c r="J93" s="31">
        <v>24.09</v>
      </c>
      <c r="K93" s="31">
        <v>24.09</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BCB76-714A-480A-8589-8BA7516A6A6A}">
  <dimension ref="A1:J14"/>
  <sheetViews>
    <sheetView showGridLines="0" zoomScale="69" zoomScaleNormal="69" workbookViewId="0">
      <selection activeCell="H21" sqref="H21"/>
    </sheetView>
  </sheetViews>
  <sheetFormatPr defaultRowHeight="14.5" x14ac:dyDescent="0.35"/>
  <cols>
    <col min="1" max="1" width="2.54296875" style="67" customWidth="1"/>
    <col min="2" max="2" width="35.08984375" customWidth="1"/>
    <col min="7" max="7" width="9.54296875" customWidth="1"/>
    <col min="8" max="8" width="12.90625" bestFit="1" customWidth="1"/>
  </cols>
  <sheetData>
    <row r="1" spans="1:10" ht="15" thickBot="1" x14ac:dyDescent="0.4">
      <c r="B1" s="238" t="s">
        <v>287</v>
      </c>
      <c r="C1" s="238"/>
      <c r="D1" s="238"/>
      <c r="E1" s="238"/>
      <c r="F1" s="238"/>
      <c r="G1" s="238"/>
      <c r="H1" s="163"/>
      <c r="I1" s="163"/>
      <c r="J1" s="163"/>
    </row>
    <row r="2" spans="1:10" ht="16.5" customHeight="1" thickBot="1" x14ac:dyDescent="0.4">
      <c r="A2" s="68"/>
      <c r="B2" s="213" t="s">
        <v>286</v>
      </c>
      <c r="C2" s="214">
        <v>43525</v>
      </c>
      <c r="D2" s="214">
        <v>43891</v>
      </c>
      <c r="E2" s="214">
        <v>44256</v>
      </c>
      <c r="F2" s="214">
        <v>44621</v>
      </c>
      <c r="G2" s="215">
        <v>44986</v>
      </c>
      <c r="H2" s="163"/>
      <c r="I2" s="163"/>
      <c r="J2" s="163"/>
    </row>
    <row r="3" spans="1:10" ht="27.5" customHeight="1" x14ac:dyDescent="0.35">
      <c r="B3" s="177" t="s">
        <v>280</v>
      </c>
      <c r="C3" s="166">
        <v>1155.78</v>
      </c>
      <c r="D3" s="166">
        <v>1484.53</v>
      </c>
      <c r="E3" s="166">
        <v>1851.07</v>
      </c>
      <c r="F3" s="166">
        <v>1299.52</v>
      </c>
      <c r="G3" s="178">
        <v>2526.21</v>
      </c>
      <c r="H3" s="163"/>
      <c r="I3" s="163"/>
      <c r="J3" s="163"/>
    </row>
    <row r="4" spans="1:10" ht="27" customHeight="1" x14ac:dyDescent="0.35">
      <c r="B4" s="177" t="s">
        <v>281</v>
      </c>
      <c r="C4" s="165">
        <v>-855.53</v>
      </c>
      <c r="D4" s="166">
        <v>-1531.62</v>
      </c>
      <c r="E4" s="165">
        <v>461.26</v>
      </c>
      <c r="F4" s="165">
        <v>910.89</v>
      </c>
      <c r="G4" s="178">
        <v>-1517.06</v>
      </c>
      <c r="H4" s="163"/>
      <c r="I4" s="163"/>
      <c r="J4" s="163"/>
    </row>
    <row r="5" spans="1:10" ht="27" customHeight="1" thickBot="1" x14ac:dyDescent="0.4">
      <c r="B5" s="179" t="s">
        <v>282</v>
      </c>
      <c r="C5" s="180">
        <v>-352.68</v>
      </c>
      <c r="D5" s="180">
        <v>57.94</v>
      </c>
      <c r="E5" s="181">
        <v>-2243.69</v>
      </c>
      <c r="F5" s="181">
        <v>-2245.84</v>
      </c>
      <c r="G5" s="182">
        <v>-1028.3699999999999</v>
      </c>
      <c r="H5" s="163"/>
      <c r="I5" s="163"/>
      <c r="J5" s="163"/>
    </row>
    <row r="6" spans="1:10" x14ac:dyDescent="0.35">
      <c r="B6" s="163"/>
      <c r="C6" s="163"/>
      <c r="D6" s="163"/>
      <c r="E6" s="163"/>
      <c r="F6" s="163"/>
      <c r="G6" s="163"/>
      <c r="H6" s="163"/>
      <c r="I6" s="163"/>
      <c r="J6" s="163"/>
    </row>
    <row r="7" spans="1:10" ht="15" thickBot="1" x14ac:dyDescent="0.4">
      <c r="B7" s="163"/>
      <c r="C7" s="163"/>
      <c r="D7" s="163"/>
      <c r="E7" s="163"/>
      <c r="F7" s="163"/>
      <c r="G7" s="163"/>
      <c r="H7" s="163"/>
      <c r="I7" s="163"/>
      <c r="J7" s="163"/>
    </row>
    <row r="8" spans="1:10" ht="23" customHeight="1" thickBot="1" x14ac:dyDescent="0.4">
      <c r="B8" s="213" t="s">
        <v>185</v>
      </c>
      <c r="C8" s="214">
        <v>43525</v>
      </c>
      <c r="D8" s="214">
        <v>43891</v>
      </c>
      <c r="E8" s="214">
        <v>44256</v>
      </c>
      <c r="F8" s="214">
        <v>44621</v>
      </c>
      <c r="G8" s="214">
        <v>44986</v>
      </c>
      <c r="H8" s="216" t="s">
        <v>268</v>
      </c>
      <c r="I8" s="163"/>
      <c r="J8" s="163"/>
    </row>
    <row r="9" spans="1:10" x14ac:dyDescent="0.35">
      <c r="B9" s="183" t="s">
        <v>99</v>
      </c>
      <c r="C9" s="171"/>
      <c r="D9" s="171">
        <f>(D3/C3)-1</f>
        <v>0.28443994531831307</v>
      </c>
      <c r="E9" s="171">
        <f t="shared" ref="E9:G10" si="0">(E3/D3)-1</f>
        <v>0.24690642829717158</v>
      </c>
      <c r="F9" s="171">
        <f t="shared" si="0"/>
        <v>-0.29796279989411523</v>
      </c>
      <c r="G9" s="171">
        <f t="shared" si="0"/>
        <v>0.94395622999261275</v>
      </c>
      <c r="H9" s="175"/>
      <c r="I9" s="163"/>
      <c r="J9" s="163"/>
    </row>
    <row r="10" spans="1:10" x14ac:dyDescent="0.35">
      <c r="B10" s="183" t="s">
        <v>100</v>
      </c>
      <c r="C10" s="171"/>
      <c r="D10" s="171">
        <f>(D4/C4)-1</f>
        <v>0.79025867006417072</v>
      </c>
      <c r="E10" s="171">
        <f t="shared" si="0"/>
        <v>-1.3011582507410455</v>
      </c>
      <c r="F10" s="171">
        <f t="shared" si="0"/>
        <v>0.97478645449421153</v>
      </c>
      <c r="G10" s="171">
        <f t="shared" si="0"/>
        <v>-2.6654700348011282</v>
      </c>
      <c r="H10" s="175"/>
      <c r="I10" s="163"/>
      <c r="J10" s="163"/>
    </row>
    <row r="11" spans="1:10" x14ac:dyDescent="0.35">
      <c r="B11" s="183" t="s">
        <v>101</v>
      </c>
      <c r="C11" s="171">
        <f>C3/'[1]IS Analysis'!C51</f>
        <v>2.6554394026421596E-2</v>
      </c>
      <c r="D11" s="171">
        <f>D3/'[1]IS Analysis'!D51</f>
        <v>3.3823107242942747E-2</v>
      </c>
      <c r="E11" s="171">
        <f>E3/'[1]IS Analysis'!E51</f>
        <v>4.1826419016630513E-2</v>
      </c>
      <c r="F11" s="171">
        <f>F3/'[1]IS Analysis'!F51</f>
        <v>2.9123506868963044E-2</v>
      </c>
      <c r="G11" s="171">
        <f>G3/'[1]IS Analysis'!G51</f>
        <v>5.6155470590850486E-2</v>
      </c>
      <c r="H11" s="175"/>
      <c r="I11" s="163"/>
      <c r="J11" s="163"/>
    </row>
    <row r="12" spans="1:10" ht="15" thickBot="1" x14ac:dyDescent="0.4">
      <c r="B12" s="184" t="s">
        <v>102</v>
      </c>
      <c r="C12" s="185">
        <f>C3/'[1]IS Analysis'!C62</f>
        <v>0.67288446423893067</v>
      </c>
      <c r="D12" s="185">
        <f>D3/'[1]IS Analysis'!D62</f>
        <v>0.75957184447639448</v>
      </c>
      <c r="E12" s="185">
        <f>E3/'[1]IS Analysis'!E62</f>
        <v>0.74722777273185947</v>
      </c>
      <c r="F12" s="185">
        <f>F3/'[1]IS Analysis'!F62</f>
        <v>0.57032011164848306</v>
      </c>
      <c r="G12" s="185">
        <f>G3/'[1]IS Analysis'!G62</f>
        <v>0.91288557717325336</v>
      </c>
      <c r="H12" s="176"/>
      <c r="I12" s="163"/>
      <c r="J12" s="163"/>
    </row>
    <row r="13" spans="1:10" x14ac:dyDescent="0.35">
      <c r="B13" s="163"/>
      <c r="C13" s="163"/>
      <c r="D13" s="163"/>
      <c r="E13" s="163"/>
      <c r="F13" s="163"/>
      <c r="G13" s="163"/>
      <c r="H13" s="163"/>
      <c r="I13" s="163"/>
      <c r="J13" s="163"/>
    </row>
    <row r="14" spans="1:10" x14ac:dyDescent="0.35">
      <c r="B14" s="163"/>
      <c r="C14" s="163"/>
      <c r="D14" s="163"/>
      <c r="E14" s="163"/>
      <c r="F14" s="163"/>
      <c r="G14" s="163"/>
      <c r="H14" s="163"/>
      <c r="I14" s="163"/>
      <c r="J14" s="163"/>
    </row>
  </sheetData>
  <mergeCells count="1">
    <mergeCell ref="B1:G1"/>
  </mergeCells>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type="column" displayEmptyCellsAs="gap" xr2:uid="{FA82F827-0DBF-40C6-AA9A-A2F78C038621}">
          <x14:colorSeries rgb="FF376092"/>
          <x14:colorNegative rgb="FFD00000"/>
          <x14:colorAxis rgb="FF000000"/>
          <x14:colorMarkers rgb="FFD00000"/>
          <x14:colorFirst rgb="FFD00000"/>
          <x14:colorLast rgb="FFD00000"/>
          <x14:colorHigh rgb="FFD00000"/>
          <x14:colorLow rgb="FFD00000"/>
          <x14:sparklines>
            <x14:sparkline>
              <xm:f>CFS!C9:G9</xm:f>
              <xm:sqref>H9</xm:sqref>
            </x14:sparkline>
            <x14:sparkline>
              <xm:f>CFS!C10:G10</xm:f>
              <xm:sqref>H10</xm:sqref>
            </x14:sparkline>
            <x14:sparkline>
              <xm:f>CFS!C11:G11</xm:f>
              <xm:sqref>H11</xm:sqref>
            </x14:sparkline>
            <x14:sparkline>
              <xm:f>CFS!C12:G12</xm:f>
              <xm:sqref>H12</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27"/>
  <sheetViews>
    <sheetView zoomScale="79" zoomScaleNormal="90" zoomScaleSheetLayoutView="100" zoomScalePageLayoutView="120" workbookViewId="0">
      <pane xSplit="1" ySplit="4" topLeftCell="B5" activePane="bottomRight" state="frozen"/>
      <selection activeCell="I2" sqref="I2"/>
      <selection pane="topRight" activeCell="I2" sqref="I2"/>
      <selection pane="bottomLeft" activeCell="I2" sqref="I2"/>
      <selection pane="bottomRight" activeCell="H27" sqref="H27"/>
    </sheetView>
  </sheetViews>
  <sheetFormatPr defaultColWidth="8.81640625" defaultRowHeight="14.5" x14ac:dyDescent="0.35"/>
  <cols>
    <col min="1" max="1" width="20.6328125" style="6" customWidth="1"/>
    <col min="2" max="6" width="13.453125" style="6" customWidth="1"/>
    <col min="7" max="7" width="14.81640625" style="6" bestFit="1" customWidth="1"/>
    <col min="8" max="11" width="13.453125" style="6" customWidth="1"/>
    <col min="12" max="12" width="13.36328125" style="6" customWidth="1"/>
    <col min="13" max="14" width="12.1796875" style="6" customWidth="1"/>
    <col min="15" max="16384" width="8.81640625" style="6"/>
  </cols>
  <sheetData>
    <row r="1" spans="1:14" s="8" customFormat="1" x14ac:dyDescent="0.35">
      <c r="A1" s="8" t="str">
        <f>'Data Sheet'!B1</f>
        <v>BRITANNIA INDUSTRIES LTD</v>
      </c>
      <c r="H1" t="str">
        <f>UPDATE</f>
        <v/>
      </c>
      <c r="J1" s="3"/>
      <c r="K1" s="3"/>
      <c r="M1" s="8" t="s">
        <v>1</v>
      </c>
    </row>
    <row r="3" spans="1:14" s="2" customFormat="1" x14ac:dyDescent="0.35">
      <c r="A3" s="15" t="s">
        <v>2</v>
      </c>
      <c r="B3" s="16">
        <f>'Data Sheet'!B16</f>
        <v>41729</v>
      </c>
      <c r="C3" s="16">
        <f>'Data Sheet'!C16</f>
        <v>42094</v>
      </c>
      <c r="D3" s="16">
        <f>'Data Sheet'!D16</f>
        <v>42460</v>
      </c>
      <c r="E3" s="16">
        <f>'Data Sheet'!E16</f>
        <v>42825</v>
      </c>
      <c r="F3" s="16">
        <f>'Data Sheet'!F16</f>
        <v>43190</v>
      </c>
      <c r="G3" s="16">
        <f>'Data Sheet'!G16</f>
        <v>43555</v>
      </c>
      <c r="H3" s="16">
        <f>'Data Sheet'!H16</f>
        <v>43921</v>
      </c>
      <c r="I3" s="16">
        <f>'Data Sheet'!I16</f>
        <v>44286</v>
      </c>
      <c r="J3" s="16">
        <f>'Data Sheet'!J16</f>
        <v>44651</v>
      </c>
      <c r="K3" s="16">
        <f>'Data Sheet'!K16</f>
        <v>45016</v>
      </c>
      <c r="L3" s="17" t="s">
        <v>3</v>
      </c>
      <c r="M3" s="17" t="s">
        <v>4</v>
      </c>
      <c r="N3" s="17" t="s">
        <v>5</v>
      </c>
    </row>
    <row r="4" spans="1:14" s="8" customFormat="1" x14ac:dyDescent="0.35">
      <c r="A4" s="8" t="s">
        <v>6</v>
      </c>
      <c r="B4" s="1">
        <f>'Data Sheet'!B17</f>
        <v>6912.71</v>
      </c>
      <c r="C4" s="1">
        <f>'Data Sheet'!C17</f>
        <v>7858.42</v>
      </c>
      <c r="D4" s="1">
        <f>'Data Sheet'!D17</f>
        <v>8397.23</v>
      </c>
      <c r="E4" s="1">
        <f>'Data Sheet'!E17</f>
        <v>9054.09</v>
      </c>
      <c r="F4" s="1">
        <f>'Data Sheet'!F17</f>
        <v>9913.99</v>
      </c>
      <c r="G4" s="1">
        <f>'Data Sheet'!G17</f>
        <v>11054.67</v>
      </c>
      <c r="H4" s="1">
        <f>'Data Sheet'!H17</f>
        <v>11599.55</v>
      </c>
      <c r="I4" s="1">
        <f>'Data Sheet'!I17</f>
        <v>13136.14</v>
      </c>
      <c r="J4" s="1">
        <f>'Data Sheet'!J17</f>
        <v>14136.26</v>
      </c>
      <c r="K4" s="1">
        <f>'Data Sheet'!K17</f>
        <v>16300.55</v>
      </c>
      <c r="L4" s="1">
        <f>SUM(Quarters!H4:K4)</f>
        <v>16610.29</v>
      </c>
      <c r="M4" s="1">
        <f>$K4+M25*K4</f>
        <v>18796.197176799236</v>
      </c>
      <c r="N4" s="1">
        <f>$K4+N25*L4</f>
        <v>17951.469148596094</v>
      </c>
    </row>
    <row r="5" spans="1:14" s="22" customFormat="1" x14ac:dyDescent="0.35">
      <c r="A5" s="44" t="s">
        <v>93</v>
      </c>
      <c r="B5" s="35"/>
      <c r="C5" s="36">
        <f>(C4/B4)-1</f>
        <v>0.13680741706219424</v>
      </c>
      <c r="D5" s="36">
        <f t="shared" ref="D5:K5" si="0">(D4/C4)-1</f>
        <v>6.8564673305829826E-2</v>
      </c>
      <c r="E5" s="36">
        <f t="shared" si="0"/>
        <v>7.8223414149666048E-2</v>
      </c>
      <c r="F5" s="36">
        <f t="shared" si="0"/>
        <v>9.4973652791169538E-2</v>
      </c>
      <c r="G5" s="36">
        <f t="shared" si="0"/>
        <v>0.11505761050797925</v>
      </c>
      <c r="H5" s="36">
        <f t="shared" si="0"/>
        <v>4.9289576260530543E-2</v>
      </c>
      <c r="I5" s="36">
        <f t="shared" si="0"/>
        <v>0.13246979408683957</v>
      </c>
      <c r="J5" s="36">
        <f t="shared" si="0"/>
        <v>7.613499856122119E-2</v>
      </c>
      <c r="K5" s="36">
        <f t="shared" si="0"/>
        <v>0.15310202274151719</v>
      </c>
      <c r="L5" s="100">
        <f t="shared" ref="L5" si="1">(L4/K4)-1</f>
        <v>1.9001812822266873E-2</v>
      </c>
      <c r="M5" s="100">
        <f t="shared" ref="M5" si="2">(M4/L4)-1</f>
        <v>0.13159957934504662</v>
      </c>
      <c r="N5" s="100">
        <f t="shared" ref="N5" si="3">(N4/M4)-1</f>
        <v>-4.4941432581150909E-2</v>
      </c>
    </row>
    <row r="6" spans="1:14" x14ac:dyDescent="0.35">
      <c r="A6" s="6" t="s">
        <v>7</v>
      </c>
      <c r="B6" s="9">
        <f>SUM('Data Sheet'!B18,'Data Sheet'!B20:B24, -1*'Data Sheet'!B19)</f>
        <v>6285.51</v>
      </c>
      <c r="C6" s="9">
        <f>SUM('Data Sheet'!C18,'Data Sheet'!C20:C24, -1*'Data Sheet'!C19)</f>
        <v>6988.1</v>
      </c>
      <c r="D6" s="9">
        <f>SUM('Data Sheet'!D18,'Data Sheet'!D20:D24, -1*'Data Sheet'!D19)</f>
        <v>7173.659999999998</v>
      </c>
      <c r="E6" s="9">
        <f>SUM('Data Sheet'!E18,'Data Sheet'!E20:E24, -1*'Data Sheet'!E19)</f>
        <v>7775.91</v>
      </c>
      <c r="F6" s="9">
        <f>SUM('Data Sheet'!F18,'Data Sheet'!F20:F24, -1*'Data Sheet'!F19)</f>
        <v>8412.52</v>
      </c>
      <c r="G6" s="9">
        <f>SUM('Data Sheet'!G18,'Data Sheet'!G20:G24, -1*'Data Sheet'!G19)</f>
        <v>9322.2199999999993</v>
      </c>
      <c r="H6" s="9">
        <f>SUM('Data Sheet'!H18,'Data Sheet'!H20:H24, -1*'Data Sheet'!H19)</f>
        <v>9756.369999999999</v>
      </c>
      <c r="I6" s="9">
        <f>SUM('Data Sheet'!I18,'Data Sheet'!I20:I24, -1*'Data Sheet'!I19)</f>
        <v>10626.849999999999</v>
      </c>
      <c r="J6" s="9">
        <f>SUM('Data Sheet'!J18,'Data Sheet'!J20:J24, -1*'Data Sheet'!J19)</f>
        <v>11934.949999999999</v>
      </c>
      <c r="K6" s="9">
        <f>SUM('Data Sheet'!K18,'Data Sheet'!K20:K24, -1*'Data Sheet'!K19)</f>
        <v>13469.64</v>
      </c>
      <c r="L6" s="9">
        <f>SUM(Quarters!H5:K5)</f>
        <v>13591.239999999998</v>
      </c>
      <c r="M6" s="9">
        <f t="shared" ref="M6:N6" si="4">M4-M7</f>
        <v>15379.841466777572</v>
      </c>
      <c r="N6" s="9">
        <f t="shared" si="4"/>
        <v>15198.558276255535</v>
      </c>
    </row>
    <row r="7" spans="1:14" s="8" customFormat="1" x14ac:dyDescent="0.35">
      <c r="A7" s="8" t="s">
        <v>8</v>
      </c>
      <c r="B7" s="1">
        <f>B4-B6</f>
        <v>627.19999999999982</v>
      </c>
      <c r="C7" s="1">
        <f t="shared" ref="C7:K7" si="5">C4-C6</f>
        <v>870.31999999999971</v>
      </c>
      <c r="D7" s="1">
        <f t="shared" si="5"/>
        <v>1223.5700000000015</v>
      </c>
      <c r="E7" s="1">
        <f t="shared" si="5"/>
        <v>1278.1800000000003</v>
      </c>
      <c r="F7" s="1">
        <f t="shared" si="5"/>
        <v>1501.4699999999993</v>
      </c>
      <c r="G7" s="1">
        <f t="shared" si="5"/>
        <v>1732.4500000000007</v>
      </c>
      <c r="H7" s="1">
        <f t="shared" si="5"/>
        <v>1843.1800000000003</v>
      </c>
      <c r="I7" s="1">
        <f t="shared" si="5"/>
        <v>2509.2900000000009</v>
      </c>
      <c r="J7" s="1">
        <f t="shared" si="5"/>
        <v>2201.3100000000013</v>
      </c>
      <c r="K7" s="1">
        <f t="shared" si="5"/>
        <v>2830.91</v>
      </c>
      <c r="L7" s="1">
        <f>SUM(Quarters!H6:K6)</f>
        <v>3019.05</v>
      </c>
      <c r="M7" s="1">
        <f>M4*M26</f>
        <v>3416.3557100216631</v>
      </c>
      <c r="N7" s="1">
        <f>N4*N26</f>
        <v>2752.9108723405589</v>
      </c>
    </row>
    <row r="8" spans="1:14" s="22" customFormat="1" x14ac:dyDescent="0.35">
      <c r="A8" s="44" t="s">
        <v>94</v>
      </c>
      <c r="B8" s="35"/>
      <c r="C8" s="36">
        <f>(C7/B7)-1</f>
        <v>0.38762755102040813</v>
      </c>
      <c r="D8" s="36">
        <f t="shared" ref="D8:K8" si="6">(D7/C7)-1</f>
        <v>0.40588519165364678</v>
      </c>
      <c r="E8" s="36">
        <f t="shared" si="6"/>
        <v>4.4631692506353238E-2</v>
      </c>
      <c r="F8" s="36">
        <f t="shared" si="6"/>
        <v>0.17469370511195526</v>
      </c>
      <c r="G8" s="36">
        <f t="shared" si="6"/>
        <v>0.15383590747733988</v>
      </c>
      <c r="H8" s="36">
        <f t="shared" si="6"/>
        <v>6.3915264509798009E-2</v>
      </c>
      <c r="I8" s="36">
        <f t="shared" si="6"/>
        <v>0.36139172517062934</v>
      </c>
      <c r="J8" s="36">
        <f t="shared" si="6"/>
        <v>-0.12273591334600598</v>
      </c>
      <c r="K8" s="36">
        <f t="shared" si="6"/>
        <v>0.28601151132734515</v>
      </c>
      <c r="L8" s="100">
        <f t="shared" ref="L8" si="7">(L7/K7)-1</f>
        <v>6.6459195099809021E-2</v>
      </c>
      <c r="M8" s="100">
        <f t="shared" ref="M8" si="8">(M7/L7)-1</f>
        <v>0.13159957934504662</v>
      </c>
      <c r="N8" s="100">
        <f t="shared" ref="N8" si="9">(N7/M7)-1</f>
        <v>-0.19419665104981043</v>
      </c>
    </row>
    <row r="9" spans="1:14" x14ac:dyDescent="0.35">
      <c r="A9" s="6" t="s">
        <v>9</v>
      </c>
      <c r="B9" s="9">
        <f>'Data Sheet'!B25</f>
        <v>33.590000000000003</v>
      </c>
      <c r="C9" s="9">
        <f>'Data Sheet'!C25</f>
        <v>227.61</v>
      </c>
      <c r="D9" s="9">
        <f>'Data Sheet'!D25</f>
        <v>115.17</v>
      </c>
      <c r="E9" s="9">
        <f>'Data Sheet'!E25</f>
        <v>150.54</v>
      </c>
      <c r="F9" s="9">
        <f>'Data Sheet'!F25</f>
        <v>166.37</v>
      </c>
      <c r="G9" s="9">
        <f>'Data Sheet'!G25</f>
        <v>206.45</v>
      </c>
      <c r="H9" s="9">
        <f>'Data Sheet'!H25</f>
        <v>262.83</v>
      </c>
      <c r="I9" s="9">
        <f>'Data Sheet'!I25</f>
        <v>313.07</v>
      </c>
      <c r="J9" s="9">
        <f>'Data Sheet'!J25</f>
        <v>221.85</v>
      </c>
      <c r="K9" s="9">
        <f>'Data Sheet'!K25</f>
        <v>596.87</v>
      </c>
      <c r="L9" s="9">
        <f>SUM(Quarters!H7:K7)</f>
        <v>598.43999999999994</v>
      </c>
      <c r="M9" s="9">
        <v>0</v>
      </c>
      <c r="N9" s="9">
        <v>0</v>
      </c>
    </row>
    <row r="10" spans="1:14" x14ac:dyDescent="0.35">
      <c r="A10" s="6" t="s">
        <v>10</v>
      </c>
      <c r="B10" s="9">
        <f>'Data Sheet'!B26</f>
        <v>83.18</v>
      </c>
      <c r="C10" s="9">
        <f>'Data Sheet'!C26</f>
        <v>144.47999999999999</v>
      </c>
      <c r="D10" s="9">
        <f>'Data Sheet'!D26</f>
        <v>113.41</v>
      </c>
      <c r="E10" s="9">
        <f>'Data Sheet'!E26</f>
        <v>119.27</v>
      </c>
      <c r="F10" s="9">
        <f>'Data Sheet'!F26</f>
        <v>142.07</v>
      </c>
      <c r="G10" s="9">
        <f>'Data Sheet'!G26</f>
        <v>161.88</v>
      </c>
      <c r="H10" s="9">
        <f>'Data Sheet'!H26</f>
        <v>184.81</v>
      </c>
      <c r="I10" s="9">
        <f>'Data Sheet'!I26</f>
        <v>197.85</v>
      </c>
      <c r="J10" s="9">
        <f>'Data Sheet'!J26</f>
        <v>200.54</v>
      </c>
      <c r="K10" s="9">
        <f>'Data Sheet'!K26</f>
        <v>225.91</v>
      </c>
      <c r="L10" s="9">
        <f>SUM(Quarters!H8:K8)</f>
        <v>245.70999999999998</v>
      </c>
      <c r="M10" s="9">
        <f>+$L10</f>
        <v>245.70999999999998</v>
      </c>
      <c r="N10" s="9">
        <f>+$L10</f>
        <v>245.70999999999998</v>
      </c>
    </row>
    <row r="11" spans="1:14" x14ac:dyDescent="0.35">
      <c r="A11" s="6" t="s">
        <v>11</v>
      </c>
      <c r="B11" s="9">
        <f>'Data Sheet'!B27</f>
        <v>8.2899999999999991</v>
      </c>
      <c r="C11" s="9">
        <f>'Data Sheet'!C27</f>
        <v>3.86</v>
      </c>
      <c r="D11" s="9">
        <f>'Data Sheet'!D27</f>
        <v>4.87</v>
      </c>
      <c r="E11" s="9">
        <f>'Data Sheet'!E27</f>
        <v>5.45</v>
      </c>
      <c r="F11" s="9">
        <f>'Data Sheet'!F27</f>
        <v>7.59</v>
      </c>
      <c r="G11" s="9">
        <f>'Data Sheet'!G27</f>
        <v>9.09</v>
      </c>
      <c r="H11" s="9">
        <f>'Data Sheet'!H27</f>
        <v>76.900000000000006</v>
      </c>
      <c r="I11" s="9">
        <f>'Data Sheet'!I27</f>
        <v>110.9</v>
      </c>
      <c r="J11" s="9">
        <f>'Data Sheet'!J27</f>
        <v>144.29</v>
      </c>
      <c r="K11" s="9">
        <f>'Data Sheet'!K27</f>
        <v>169.1</v>
      </c>
      <c r="L11" s="9">
        <f>SUM(Quarters!H9:K9)</f>
        <v>180.18</v>
      </c>
      <c r="M11" s="9">
        <f>+$L11</f>
        <v>180.18</v>
      </c>
      <c r="N11" s="9">
        <f>+$L11</f>
        <v>180.18</v>
      </c>
    </row>
    <row r="12" spans="1:14" x14ac:dyDescent="0.35">
      <c r="A12" s="6" t="s">
        <v>12</v>
      </c>
      <c r="B12" s="9">
        <f>'Data Sheet'!B28</f>
        <v>569.32000000000005</v>
      </c>
      <c r="C12" s="9">
        <f>'Data Sheet'!C28</f>
        <v>949.59</v>
      </c>
      <c r="D12" s="9">
        <f>'Data Sheet'!D28</f>
        <v>1220.46</v>
      </c>
      <c r="E12" s="9">
        <f>'Data Sheet'!E28</f>
        <v>1304</v>
      </c>
      <c r="F12" s="9">
        <f>'Data Sheet'!F28</f>
        <v>1518.18</v>
      </c>
      <c r="G12" s="9">
        <f>'Data Sheet'!G28</f>
        <v>1767.93</v>
      </c>
      <c r="H12" s="9">
        <f>'Data Sheet'!H28</f>
        <v>1844.3</v>
      </c>
      <c r="I12" s="9">
        <f>'Data Sheet'!I28</f>
        <v>2513.61</v>
      </c>
      <c r="J12" s="9">
        <f>'Data Sheet'!J28</f>
        <v>2078.33</v>
      </c>
      <c r="K12" s="9">
        <f>'Data Sheet'!K28</f>
        <v>3032.77</v>
      </c>
      <c r="L12" s="9">
        <f>SUM(Quarters!H10:K10)</f>
        <v>3191.6000000000004</v>
      </c>
      <c r="M12" s="9">
        <f>M7+M9-SUM(M10:M11)</f>
        <v>2990.4657100216632</v>
      </c>
      <c r="N12" s="9">
        <f>N7+N9-SUM(N10:N11)</f>
        <v>2327.020872340559</v>
      </c>
    </row>
    <row r="13" spans="1:14" x14ac:dyDescent="0.35">
      <c r="A13" s="6" t="s">
        <v>13</v>
      </c>
      <c r="B13" s="9">
        <f>'Data Sheet'!B29</f>
        <v>173.58</v>
      </c>
      <c r="C13" s="9">
        <f>'Data Sheet'!C29</f>
        <v>261.11</v>
      </c>
      <c r="D13" s="9">
        <f>'Data Sheet'!D29</f>
        <v>396.1</v>
      </c>
      <c r="E13" s="9">
        <f>'Data Sheet'!E29</f>
        <v>419.67</v>
      </c>
      <c r="F13" s="9">
        <f>'Data Sheet'!F29</f>
        <v>514.22</v>
      </c>
      <c r="G13" s="9">
        <f>'Data Sheet'!G29</f>
        <v>612.47</v>
      </c>
      <c r="H13" s="9">
        <f>'Data Sheet'!H29</f>
        <v>450.7</v>
      </c>
      <c r="I13" s="9">
        <f>'Data Sheet'!I29</f>
        <v>663.02</v>
      </c>
      <c r="J13" s="9">
        <f>'Data Sheet'!J29</f>
        <v>562.35</v>
      </c>
      <c r="K13" s="9">
        <f>'Data Sheet'!K29</f>
        <v>716.45</v>
      </c>
      <c r="L13" s="9">
        <f>SUM(Quarters!H11:K11)</f>
        <v>755.56999999999994</v>
      </c>
      <c r="M13" s="10">
        <f>IF($L12&gt;0,$L13/$L12,0)</f>
        <v>0.23673705978192752</v>
      </c>
      <c r="N13" s="10">
        <f>IF($L12&gt;0,$L13/$L12,0)</f>
        <v>0.23673705978192752</v>
      </c>
    </row>
    <row r="14" spans="1:14" s="8" customFormat="1" x14ac:dyDescent="0.35">
      <c r="A14" s="8" t="s">
        <v>14</v>
      </c>
      <c r="B14" s="1">
        <f>'Data Sheet'!B30</f>
        <v>395.35</v>
      </c>
      <c r="C14" s="1">
        <f>'Data Sheet'!C30</f>
        <v>688.64</v>
      </c>
      <c r="D14" s="1">
        <f>'Data Sheet'!D30</f>
        <v>824.58</v>
      </c>
      <c r="E14" s="1">
        <f>'Data Sheet'!E30</f>
        <v>884.47</v>
      </c>
      <c r="F14" s="1">
        <f>'Data Sheet'!F30</f>
        <v>1004.23</v>
      </c>
      <c r="G14" s="1">
        <f>'Data Sheet'!G30</f>
        <v>1159.1199999999999</v>
      </c>
      <c r="H14" s="1">
        <f>'Data Sheet'!H30</f>
        <v>1402.63</v>
      </c>
      <c r="I14" s="1">
        <f>'Data Sheet'!I30</f>
        <v>1863.9</v>
      </c>
      <c r="J14" s="1">
        <f>'Data Sheet'!J30</f>
        <v>1524.82</v>
      </c>
      <c r="K14" s="1">
        <f>'Data Sheet'!K30</f>
        <v>2321.77</v>
      </c>
      <c r="L14" s="1">
        <f>SUM(Quarters!H12:K12)</f>
        <v>2441.88</v>
      </c>
      <c r="M14" s="1">
        <f>M12-M13*M12</f>
        <v>2282.5116504524603</v>
      </c>
      <c r="N14" s="1">
        <f>N12-N13*N12</f>
        <v>1776.128792971479</v>
      </c>
    </row>
    <row r="15" spans="1:14" x14ac:dyDescent="0.35">
      <c r="A15" s="11" t="s">
        <v>57</v>
      </c>
      <c r="B15" s="9">
        <f>IF('Data Sheet'!B93&gt;0,B14/'Data Sheet'!B93,0)</f>
        <v>16.479783243017927</v>
      </c>
      <c r="C15" s="9">
        <f>IF('Data Sheet'!C93&gt;0,C14/'Data Sheet'!C93,0)</f>
        <v>28.705293872446855</v>
      </c>
      <c r="D15" s="9">
        <f>IF('Data Sheet'!D93&gt;0,D14/'Data Sheet'!D93,0)</f>
        <v>34.357500000000002</v>
      </c>
      <c r="E15" s="9">
        <f>IF('Data Sheet'!E93&gt;0,E14/'Data Sheet'!E93,0)</f>
        <v>36.852916666666665</v>
      </c>
      <c r="F15" s="9">
        <f>IF('Data Sheet'!F93&gt;0,F14/'Data Sheet'!F93,0)</f>
        <v>41.825489379425235</v>
      </c>
      <c r="G15" s="9">
        <f>IF('Data Sheet'!G93&gt;0,G14/'Data Sheet'!G93,0)</f>
        <v>48.236371202663328</v>
      </c>
      <c r="H15" s="9">
        <f>IF('Data Sheet'!H93&gt;0,H14/'Data Sheet'!H93,0)</f>
        <v>58.321413721413727</v>
      </c>
      <c r="I15" s="9">
        <f>IF('Data Sheet'!I93&gt;0,I14/'Data Sheet'!I93,0)</f>
        <v>77.372353673723538</v>
      </c>
      <c r="J15" s="9">
        <f>IF('Data Sheet'!J93&gt;0,J14/'Data Sheet'!J93,0)</f>
        <v>63.296803652968038</v>
      </c>
      <c r="K15" s="9">
        <f>IF('Data Sheet'!K93&gt;0,K14/'Data Sheet'!K93,0)</f>
        <v>96.378995433789953</v>
      </c>
      <c r="L15" s="9">
        <f>IF('Data Sheet'!$B6&gt;0,'Profit &amp; Loss'!L14/'Data Sheet'!$B6,0)</f>
        <v>101.37822825862139</v>
      </c>
      <c r="M15" s="9">
        <f>IF('Data Sheet'!$B6&gt;0,'Profit &amp; Loss'!M14/'Data Sheet'!$B6,0)</f>
        <v>94.761817576020192</v>
      </c>
      <c r="N15" s="9">
        <f>IF('Data Sheet'!$B6&gt;0,'Profit &amp; Loss'!N14/'Data Sheet'!$B6,0)</f>
        <v>73.738590835983871</v>
      </c>
    </row>
    <row r="16" spans="1:14" x14ac:dyDescent="0.35">
      <c r="A16" s="6" t="s">
        <v>16</v>
      </c>
      <c r="B16" s="9">
        <f>IF(B17&gt;0,B17/B15,"")</f>
        <v>25.588928797268238</v>
      </c>
      <c r="C16" s="9">
        <f t="shared" ref="C16:K16" si="10">IF(C17&gt;0,C17/C15,"")</f>
        <v>37.598639637546462</v>
      </c>
      <c r="D16" s="9">
        <f t="shared" si="10"/>
        <v>39.096267190569741</v>
      </c>
      <c r="E16" s="9">
        <f t="shared" si="10"/>
        <v>45.776566757493192</v>
      </c>
      <c r="F16" s="9">
        <f t="shared" si="10"/>
        <v>59.420703424514315</v>
      </c>
      <c r="G16" s="9">
        <f t="shared" si="10"/>
        <v>63.966254572434273</v>
      </c>
      <c r="H16" s="9">
        <f t="shared" si="10"/>
        <v>46.105706779407249</v>
      </c>
      <c r="I16" s="9">
        <f t="shared" si="10"/>
        <v>46.852006277160797</v>
      </c>
      <c r="J16" s="9">
        <f t="shared" si="10"/>
        <v>50.656586351175875</v>
      </c>
      <c r="K16" s="9">
        <f t="shared" si="10"/>
        <v>44.845352252807125</v>
      </c>
      <c r="L16" s="9">
        <f t="shared" ref="L16" si="11">IF(L15&gt;0,L17/L15,0)</f>
        <v>44.529284813340539</v>
      </c>
      <c r="M16" s="9">
        <f>M27</f>
        <v>46.720807423621082</v>
      </c>
      <c r="N16" s="9">
        <f>N27</f>
        <v>44.529284813340539</v>
      </c>
    </row>
    <row r="17" spans="1:14" s="8" customFormat="1" x14ac:dyDescent="0.35">
      <c r="A17" s="8" t="s">
        <v>58</v>
      </c>
      <c r="B17" s="1">
        <f>'Data Sheet'!B90</f>
        <v>421.7</v>
      </c>
      <c r="C17" s="1">
        <f>'Data Sheet'!C90</f>
        <v>1079.28</v>
      </c>
      <c r="D17" s="1">
        <f>'Data Sheet'!D90</f>
        <v>1343.25</v>
      </c>
      <c r="E17" s="1">
        <f>'Data Sheet'!E90</f>
        <v>1687</v>
      </c>
      <c r="F17" s="1">
        <f>'Data Sheet'!F90</f>
        <v>2485.3000000000002</v>
      </c>
      <c r="G17" s="1">
        <f>'Data Sheet'!G90</f>
        <v>3085.5</v>
      </c>
      <c r="H17" s="1">
        <f>'Data Sheet'!H90</f>
        <v>2688.95</v>
      </c>
      <c r="I17" s="1">
        <f>'Data Sheet'!I90</f>
        <v>3625.05</v>
      </c>
      <c r="J17" s="1">
        <f>'Data Sheet'!J90</f>
        <v>3206.4</v>
      </c>
      <c r="K17" s="1">
        <f>'Data Sheet'!K90</f>
        <v>4322.1499999999996</v>
      </c>
      <c r="L17" s="1">
        <f>'Data Sheet'!B8</f>
        <v>4514.3</v>
      </c>
      <c r="M17" s="12">
        <f>M15*M16</f>
        <v>4427.3486300815512</v>
      </c>
      <c r="N17" s="13">
        <f>N15*N16</f>
        <v>3283.5267130699085</v>
      </c>
    </row>
    <row r="19" spans="1:14" s="8" customFormat="1" x14ac:dyDescent="0.35">
      <c r="A19" s="8" t="s">
        <v>15</v>
      </c>
    </row>
    <row r="20" spans="1:14" x14ac:dyDescent="0.35">
      <c r="A20" s="37" t="s">
        <v>17</v>
      </c>
      <c r="B20" s="39">
        <f>IF('Data Sheet'!B30&gt;0, 'Data Sheet'!B31/'Data Sheet'!B30, 0)</f>
        <v>0.36408245858100413</v>
      </c>
      <c r="C20" s="39">
        <f>IF('Data Sheet'!C30&gt;0, 'Data Sheet'!C31/'Data Sheet'!C30, 0)</f>
        <v>0.27869423791821563</v>
      </c>
      <c r="D20" s="39">
        <f>IF('Data Sheet'!D30&gt;0, 'Data Sheet'!D31/'Data Sheet'!D30, 0)</f>
        <v>0.29105726551699046</v>
      </c>
      <c r="E20" s="39">
        <f>IF('Data Sheet'!E30&gt;0, 'Data Sheet'!E31/'Data Sheet'!E30, 0)</f>
        <v>0.29848383777855664</v>
      </c>
      <c r="F20" s="39">
        <f>IF('Data Sheet'!F30&gt;0, 'Data Sheet'!F31/'Data Sheet'!F30, 0)</f>
        <v>0.2988558397976559</v>
      </c>
      <c r="G20" s="39">
        <f>IF('Data Sheet'!G30&gt;0, 'Data Sheet'!G31/'Data Sheet'!G30, 0)</f>
        <v>0.31096866588446409</v>
      </c>
      <c r="H20" s="39">
        <f>IF('Data Sheet'!H30&gt;0, 'Data Sheet'!H31/'Data Sheet'!H30, 0)</f>
        <v>0.60012262677969241</v>
      </c>
      <c r="I20" s="39">
        <f>IF('Data Sheet'!I30&gt;0, 'Data Sheet'!I31/'Data Sheet'!I30, 0)</f>
        <v>2.0356134985782499</v>
      </c>
      <c r="J20" s="39">
        <f>IF('Data Sheet'!J30&gt;0, 'Data Sheet'!J31/'Data Sheet'!J30, 0)</f>
        <v>0.89261683346231024</v>
      </c>
      <c r="K20" s="39">
        <f>IF('Data Sheet'!K30&gt;0, 'Data Sheet'!K31/'Data Sheet'!K30, 0)</f>
        <v>0.74705074146017914</v>
      </c>
    </row>
    <row r="21" spans="1:14" x14ac:dyDescent="0.35">
      <c r="A21" s="37" t="s">
        <v>18</v>
      </c>
      <c r="B21" s="39">
        <f t="shared" ref="B21:L21" si="12">IF(B7&gt;0,B7/B4,0)</f>
        <v>9.0731420817595387E-2</v>
      </c>
      <c r="C21" s="39">
        <f t="shared" ref="C21:K21" si="13">IF(C7&gt;0,C7/C4,0)</f>
        <v>0.11074999809121931</v>
      </c>
      <c r="D21" s="39">
        <f t="shared" si="13"/>
        <v>0.14571114522288917</v>
      </c>
      <c r="E21" s="39">
        <f t="shared" si="13"/>
        <v>0.14117155893082578</v>
      </c>
      <c r="F21" s="39">
        <f t="shared" si="13"/>
        <v>0.15144961816584437</v>
      </c>
      <c r="G21" s="39">
        <f t="shared" si="13"/>
        <v>0.15671657317676607</v>
      </c>
      <c r="H21" s="39">
        <f t="shared" si="13"/>
        <v>0.15890099184882175</v>
      </c>
      <c r="I21" s="39">
        <f t="shared" si="13"/>
        <v>0.19102186791553691</v>
      </c>
      <c r="J21" s="39">
        <f t="shared" si="13"/>
        <v>0.15572082007546559</v>
      </c>
      <c r="K21" s="39">
        <f t="shared" si="13"/>
        <v>0.17366960010551791</v>
      </c>
      <c r="L21" s="7">
        <f t="shared" si="12"/>
        <v>0.18175781398157406</v>
      </c>
    </row>
    <row r="22" spans="1:14" x14ac:dyDescent="0.35">
      <c r="A22" s="37" t="s">
        <v>95</v>
      </c>
      <c r="B22" s="39">
        <f>B14/B4</f>
        <v>5.7191752583284995E-2</v>
      </c>
      <c r="C22" s="39">
        <f t="shared" ref="C22:K22" si="14">C14/C4</f>
        <v>8.7630846913247185E-2</v>
      </c>
      <c r="D22" s="39">
        <f t="shared" si="14"/>
        <v>9.8196667234314181E-2</v>
      </c>
      <c r="E22" s="39">
        <f t="shared" si="14"/>
        <v>9.7687343509949648E-2</v>
      </c>
      <c r="F22" s="39">
        <f t="shared" si="14"/>
        <v>0.10129423168673764</v>
      </c>
      <c r="G22" s="39">
        <f t="shared" si="14"/>
        <v>0.1048534239375757</v>
      </c>
      <c r="H22" s="39">
        <f t="shared" si="14"/>
        <v>0.12092107021393073</v>
      </c>
      <c r="I22" s="39">
        <f>I14/I4</f>
        <v>0.14189099689863233</v>
      </c>
      <c r="J22" s="39">
        <f t="shared" si="14"/>
        <v>0.10786587117101694</v>
      </c>
      <c r="K22" s="39">
        <f t="shared" si="14"/>
        <v>0.14243507120925369</v>
      </c>
      <c r="L22" s="7"/>
      <c r="M22" s="32"/>
      <c r="N22" s="32"/>
    </row>
    <row r="23" spans="1:14" s="34" customFormat="1" x14ac:dyDescent="0.35">
      <c r="A23" s="38" t="s">
        <v>96</v>
      </c>
      <c r="B23" s="40">
        <f>B7/B11</f>
        <v>75.657418576598303</v>
      </c>
      <c r="C23" s="40">
        <f t="shared" ref="C23:K23" si="15">C7/C11</f>
        <v>225.47150259067351</v>
      </c>
      <c r="D23" s="40">
        <f t="shared" si="15"/>
        <v>251.2464065708422</v>
      </c>
      <c r="E23" s="40">
        <f t="shared" si="15"/>
        <v>234.52844036697252</v>
      </c>
      <c r="F23" s="40">
        <f t="shared" si="15"/>
        <v>197.8221343873517</v>
      </c>
      <c r="G23" s="40">
        <f t="shared" si="15"/>
        <v>190.58855885588568</v>
      </c>
      <c r="H23" s="40">
        <f t="shared" si="15"/>
        <v>23.968530559167753</v>
      </c>
      <c r="I23" s="40">
        <f t="shared" si="15"/>
        <v>22.626600541027958</v>
      </c>
      <c r="J23" s="40">
        <f t="shared" si="15"/>
        <v>15.25615080740177</v>
      </c>
      <c r="K23" s="40">
        <f t="shared" si="15"/>
        <v>16.741040804257835</v>
      </c>
      <c r="M23" s="33"/>
      <c r="N23" s="33"/>
    </row>
    <row r="24" spans="1:14" s="2" customFormat="1" x14ac:dyDescent="0.35">
      <c r="A24" s="15"/>
      <c r="B24" s="16"/>
      <c r="C24" s="16"/>
      <c r="D24" s="16"/>
      <c r="E24" s="16"/>
      <c r="F24" s="16"/>
      <c r="G24" s="16" t="s">
        <v>19</v>
      </c>
      <c r="H24" s="16" t="s">
        <v>65</v>
      </c>
      <c r="I24" s="16" t="s">
        <v>66</v>
      </c>
      <c r="J24" s="16" t="s">
        <v>67</v>
      </c>
      <c r="K24" s="16" t="s">
        <v>68</v>
      </c>
      <c r="L24" s="17" t="s">
        <v>69</v>
      </c>
      <c r="M24" s="17" t="s">
        <v>20</v>
      </c>
      <c r="N24" s="17" t="s">
        <v>21</v>
      </c>
    </row>
    <row r="25" spans="1:14" s="8" customFormat="1" x14ac:dyDescent="0.35">
      <c r="A25" s="6"/>
      <c r="B25" s="6"/>
      <c r="C25" s="6"/>
      <c r="D25" s="6"/>
      <c r="E25" s="6"/>
      <c r="F25" s="6"/>
      <c r="G25" s="6" t="s">
        <v>22</v>
      </c>
      <c r="H25" s="7">
        <f>IF(B4=0,"",POWER($K4/B4,1/9)-1)</f>
        <v>0.10000555931651345</v>
      </c>
      <c r="I25" s="7">
        <f>IF(D4=0,"",POWER($K4/D4,1/7)-1)</f>
        <v>9.9391350096602382E-2</v>
      </c>
      <c r="J25" s="7">
        <f>IF(F4=0,"",POWER($K4/F4,1/5)-1)</f>
        <v>0.10456367388813481</v>
      </c>
      <c r="K25" s="7">
        <f>IF(H4=0,"",POWER($K4/H4, 1/3)-1)</f>
        <v>0.12009202648887962</v>
      </c>
      <c r="L25" s="7">
        <f>IF(ISERROR(MAX(IF(J4=0,"",(K4-J4)/J4),IF(K4=0,"",(L4-K4)/K4))),"",MAX(IF(J4=0,"",(K4-J4)/J4),IF(K4=0,"",(L4-K4)/K4)))</f>
        <v>0.15310202274151713</v>
      </c>
      <c r="M25" s="22">
        <f>MAX(K25:L25)</f>
        <v>0.15310202274151713</v>
      </c>
      <c r="N25" s="22">
        <f>MIN(H25:L25)</f>
        <v>9.9391350096602382E-2</v>
      </c>
    </row>
    <row r="26" spans="1:14" x14ac:dyDescent="0.35">
      <c r="G26" s="6" t="s">
        <v>18</v>
      </c>
      <c r="H26" s="7">
        <f>IF(SUM(B4:$K$4)=0,"",SUMPRODUCT(B21:$K$21,B4:$K$4)/SUM(B4:$K$4))</f>
        <v>0.153352956772112</v>
      </c>
      <c r="I26" s="7">
        <f>IF(SUM(E4:$K$4)=0,"",SUMPRODUCT(E21:$K$21,E4:$K$4)/SUM(E4:$K$4))</f>
        <v>0.16311695781161512</v>
      </c>
      <c r="J26" s="7">
        <f>IF(SUM(G4:$K$4)=0,"",SUMPRODUCT(G21:$K$21,G4:$K$4)/SUM(G4:$K$4))</f>
        <v>0.16786373326838522</v>
      </c>
      <c r="K26" s="7">
        <f>IF(SUM(I4:$K$4)=0, "", SUMPRODUCT(I21:$K$21,I4:$K$4)/SUM(I4:$K$4))</f>
        <v>0.17307779252953959</v>
      </c>
      <c r="L26" s="7">
        <f>L21</f>
        <v>0.18175781398157406</v>
      </c>
      <c r="M26" s="22">
        <f>MAX(K26:L26)</f>
        <v>0.18175781398157406</v>
      </c>
      <c r="N26" s="22">
        <f>MIN(H26:L26)</f>
        <v>0.153352956772112</v>
      </c>
    </row>
    <row r="27" spans="1:14" x14ac:dyDescent="0.35">
      <c r="G27" s="6" t="s">
        <v>23</v>
      </c>
      <c r="H27" s="9">
        <f>IF(ISERROR(AVERAGEIF(B16:$L16,"&gt;0")),"",AVERAGEIF(B16:$L16,"&gt;0"))</f>
        <v>45.857845168519795</v>
      </c>
      <c r="I27" s="9">
        <f>IF(ISERROR(AVERAGEIF(E16:$L16,"&gt;0")),"",AVERAGEIF(E16:$L16,"&gt;0"))</f>
        <v>50.269057653541672</v>
      </c>
      <c r="J27" s="9">
        <f>IF(ISERROR(AVERAGEIF(G16:$L16,"&gt;0")),"",AVERAGEIF(G16:$L16,"&gt;0"))</f>
        <v>49.492531841054308</v>
      </c>
      <c r="K27" s="9">
        <f>IF(ISERROR(AVERAGEIF(I16:$L16,"&gt;0")),"",AVERAGEIF(I16:$L16,"&gt;0"))</f>
        <v>46.720807423621082</v>
      </c>
      <c r="L27" s="9">
        <f>L16</f>
        <v>44.529284813340539</v>
      </c>
      <c r="M27" s="1">
        <f>MAX(K27:L27)</f>
        <v>46.720807423621082</v>
      </c>
      <c r="N27" s="1">
        <f>MIN(H27:L27)</f>
        <v>44.529284813340539</v>
      </c>
    </row>
  </sheetData>
  <hyperlinks>
    <hyperlink ref="M1" r:id="rId1" xr:uid="{00000000-0004-0000-0000-000000000000}"/>
  </hyperlinks>
  <printOptions gridLines="1"/>
  <pageMargins left="0.7" right="0.7" top="0.75" bottom="0.75" header="0.3" footer="0.3"/>
  <pageSetup paperSize="9" orientation="landscape" horizontalDpi="300" verticalDpi="30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K27"/>
  <sheetViews>
    <sheetView zoomScale="82" zoomScaleNormal="92" workbookViewId="0">
      <pane xSplit="1" ySplit="3" topLeftCell="B4" activePane="bottomRight" state="frozen"/>
      <selection activeCell="C4" sqref="C4"/>
      <selection pane="topRight" activeCell="C4" sqref="C4"/>
      <selection pane="bottomLeft" activeCell="C4" sqref="C4"/>
      <selection pane="bottomRight" activeCell="E20" sqref="E20"/>
    </sheetView>
  </sheetViews>
  <sheetFormatPr defaultColWidth="8.81640625" defaultRowHeight="14.5" x14ac:dyDescent="0.35"/>
  <cols>
    <col min="1" max="1" width="27.08984375" style="11" bestFit="1" customWidth="1"/>
    <col min="2" max="2" width="13.453125" style="11" customWidth="1"/>
    <col min="3" max="11" width="15.453125" style="11" customWidth="1"/>
    <col min="12" max="16384" width="8.81640625" style="11"/>
  </cols>
  <sheetData>
    <row r="1" spans="1:11" s="8" customFormat="1" x14ac:dyDescent="0.35">
      <c r="A1" s="8" t="str">
        <f>'Profit &amp; Loss'!A1</f>
        <v>BRITANNIA INDUSTRIES LTD</v>
      </c>
      <c r="E1" t="str">
        <f>UPDATE</f>
        <v/>
      </c>
      <c r="G1"/>
      <c r="J1" s="4" t="s">
        <v>1</v>
      </c>
      <c r="K1" s="4"/>
    </row>
    <row r="2" spans="1:11" x14ac:dyDescent="0.35">
      <c r="G2" s="8"/>
      <c r="H2" s="8"/>
    </row>
    <row r="3" spans="1:11" s="18" customFormat="1" x14ac:dyDescent="0.35">
      <c r="A3" s="15" t="s">
        <v>2</v>
      </c>
      <c r="B3" s="16">
        <f>'Data Sheet'!B56</f>
        <v>41729</v>
      </c>
      <c r="C3" s="16">
        <f>'Data Sheet'!C56</f>
        <v>42094</v>
      </c>
      <c r="D3" s="16">
        <f>'Data Sheet'!D56</f>
        <v>42460</v>
      </c>
      <c r="E3" s="16">
        <f>'Data Sheet'!E56</f>
        <v>42825</v>
      </c>
      <c r="F3" s="16">
        <f>'Data Sheet'!F56</f>
        <v>43190</v>
      </c>
      <c r="G3" s="16">
        <f>'Data Sheet'!G56</f>
        <v>43555</v>
      </c>
      <c r="H3" s="16">
        <f>'Data Sheet'!H56</f>
        <v>43921</v>
      </c>
      <c r="I3" s="16">
        <f>'Data Sheet'!I56</f>
        <v>44286</v>
      </c>
      <c r="J3" s="16">
        <f>'Data Sheet'!J56</f>
        <v>44651</v>
      </c>
      <c r="K3" s="16">
        <f>'Data Sheet'!K56</f>
        <v>45016</v>
      </c>
    </row>
    <row r="4" spans="1:11" x14ac:dyDescent="0.35">
      <c r="A4" s="6" t="s">
        <v>24</v>
      </c>
      <c r="B4" s="19">
        <f>'Data Sheet'!B57</f>
        <v>23.99</v>
      </c>
      <c r="C4" s="19">
        <f>'Data Sheet'!C57</f>
        <v>23.99</v>
      </c>
      <c r="D4" s="19">
        <f>'Data Sheet'!D57</f>
        <v>24</v>
      </c>
      <c r="E4" s="19">
        <f>'Data Sheet'!E57</f>
        <v>24</v>
      </c>
      <c r="F4" s="19">
        <f>'Data Sheet'!F57</f>
        <v>24.01</v>
      </c>
      <c r="G4" s="19">
        <f>'Data Sheet'!G57</f>
        <v>24.03</v>
      </c>
      <c r="H4" s="19">
        <f>'Data Sheet'!H57</f>
        <v>24.05</v>
      </c>
      <c r="I4" s="19">
        <f>'Data Sheet'!I57</f>
        <v>24.09</v>
      </c>
      <c r="J4" s="19">
        <f>'Data Sheet'!J57</f>
        <v>24.09</v>
      </c>
      <c r="K4" s="19">
        <f>'Data Sheet'!K57</f>
        <v>24.09</v>
      </c>
    </row>
    <row r="5" spans="1:11" s="6" customFormat="1" x14ac:dyDescent="0.35">
      <c r="A5" s="6" t="s">
        <v>25</v>
      </c>
      <c r="B5" s="19">
        <f>'Data Sheet'!B58</f>
        <v>774.12</v>
      </c>
      <c r="C5" s="19">
        <f>'Data Sheet'!C58</f>
        <v>1221.1199999999999</v>
      </c>
      <c r="D5" s="19">
        <f>'Data Sheet'!D58</f>
        <v>2067.6799999999998</v>
      </c>
      <c r="E5" s="19">
        <f>'Data Sheet'!E58</f>
        <v>2672.42</v>
      </c>
      <c r="F5" s="19">
        <f>'Data Sheet'!F58</f>
        <v>3382.22</v>
      </c>
      <c r="G5" s="19">
        <f>'Data Sheet'!G58</f>
        <v>4229.22</v>
      </c>
      <c r="H5" s="19">
        <f>'Data Sheet'!H58</f>
        <v>4378.78</v>
      </c>
      <c r="I5" s="19">
        <f>'Data Sheet'!I58</f>
        <v>3523.57</v>
      </c>
      <c r="J5" s="19">
        <f>'Data Sheet'!J58</f>
        <v>2534.0100000000002</v>
      </c>
      <c r="K5" s="19">
        <f>'Data Sheet'!K58</f>
        <v>3510.18</v>
      </c>
    </row>
    <row r="6" spans="1:11" x14ac:dyDescent="0.35">
      <c r="A6" s="11" t="s">
        <v>71</v>
      </c>
      <c r="B6" s="19">
        <f>'Data Sheet'!B59</f>
        <v>149.76</v>
      </c>
      <c r="C6" s="19">
        <f>'Data Sheet'!C59</f>
        <v>145.07</v>
      </c>
      <c r="D6" s="19">
        <f>'Data Sheet'!D59</f>
        <v>131.05000000000001</v>
      </c>
      <c r="E6" s="19">
        <f>'Data Sheet'!E59</f>
        <v>124.56</v>
      </c>
      <c r="F6" s="19">
        <f>'Data Sheet'!F59</f>
        <v>200.7</v>
      </c>
      <c r="G6" s="19">
        <f>'Data Sheet'!G59</f>
        <v>156.02000000000001</v>
      </c>
      <c r="H6" s="19">
        <f>'Data Sheet'!H59</f>
        <v>1537.59</v>
      </c>
      <c r="I6" s="19">
        <f>'Data Sheet'!I59</f>
        <v>2121.5100000000002</v>
      </c>
      <c r="J6" s="19">
        <f>'Data Sheet'!J59</f>
        <v>2481.1999999999998</v>
      </c>
      <c r="K6" s="19">
        <f>'Data Sheet'!K59</f>
        <v>2997.37</v>
      </c>
    </row>
    <row r="7" spans="1:11" s="6" customFormat="1" x14ac:dyDescent="0.35">
      <c r="A7" s="11" t="s">
        <v>72</v>
      </c>
      <c r="B7" s="19">
        <f>'Data Sheet'!B60</f>
        <v>1159</v>
      </c>
      <c r="C7" s="19">
        <f>'Data Sheet'!C60</f>
        <v>1403.17</v>
      </c>
      <c r="D7" s="19">
        <f>'Data Sheet'!D60</f>
        <v>1271.18</v>
      </c>
      <c r="E7" s="19">
        <f>'Data Sheet'!E60</f>
        <v>1287.82</v>
      </c>
      <c r="F7" s="19">
        <f>'Data Sheet'!F60</f>
        <v>1580.99</v>
      </c>
      <c r="G7" s="19">
        <f>'Data Sheet'!G60</f>
        <v>1828.68</v>
      </c>
      <c r="H7" s="19">
        <f>'Data Sheet'!H60</f>
        <v>1889.12</v>
      </c>
      <c r="I7" s="19">
        <f>'Data Sheet'!I60</f>
        <v>2330.92</v>
      </c>
      <c r="J7" s="19">
        <f>'Data Sheet'!J60</f>
        <v>2487.3000000000002</v>
      </c>
      <c r="K7" s="19">
        <f>'Data Sheet'!K60</f>
        <v>2819.21</v>
      </c>
    </row>
    <row r="8" spans="1:11" s="8" customFormat="1" x14ac:dyDescent="0.35">
      <c r="A8" s="8" t="s">
        <v>26</v>
      </c>
      <c r="B8" s="20">
        <f>'Data Sheet'!B61</f>
        <v>2106.87</v>
      </c>
      <c r="C8" s="20">
        <f>'Data Sheet'!C61</f>
        <v>2793.35</v>
      </c>
      <c r="D8" s="20">
        <f>'Data Sheet'!D61</f>
        <v>3493.91</v>
      </c>
      <c r="E8" s="20">
        <f>'Data Sheet'!E61</f>
        <v>4108.8</v>
      </c>
      <c r="F8" s="20">
        <f>'Data Sheet'!F61</f>
        <v>5187.92</v>
      </c>
      <c r="G8" s="20">
        <f>'Data Sheet'!G61</f>
        <v>6237.95</v>
      </c>
      <c r="H8" s="20">
        <f>'Data Sheet'!H61</f>
        <v>7829.54</v>
      </c>
      <c r="I8" s="20">
        <f>'Data Sheet'!I61</f>
        <v>8000.09</v>
      </c>
      <c r="J8" s="20">
        <f>'Data Sheet'!J61</f>
        <v>7526.6</v>
      </c>
      <c r="K8" s="20">
        <f>'Data Sheet'!K61</f>
        <v>9350.85</v>
      </c>
    </row>
    <row r="9" spans="1:11" s="8" customFormat="1" x14ac:dyDescent="0.35">
      <c r="B9" s="20"/>
      <c r="C9" s="20"/>
      <c r="D9" s="20"/>
      <c r="E9" s="20"/>
      <c r="F9" s="20"/>
      <c r="G9" s="20"/>
      <c r="H9" s="20"/>
      <c r="I9" s="20"/>
      <c r="J9" s="20"/>
      <c r="K9" s="20"/>
    </row>
    <row r="10" spans="1:11" x14ac:dyDescent="0.35">
      <c r="A10" s="6" t="s">
        <v>27</v>
      </c>
      <c r="B10" s="19">
        <f>'Data Sheet'!B62</f>
        <v>847.59</v>
      </c>
      <c r="C10" s="19">
        <f>'Data Sheet'!C62</f>
        <v>844.07</v>
      </c>
      <c r="D10" s="19">
        <f>'Data Sheet'!D62</f>
        <v>950.24</v>
      </c>
      <c r="E10" s="19">
        <f>'Data Sheet'!E62</f>
        <v>1159.99</v>
      </c>
      <c r="F10" s="19">
        <f>'Data Sheet'!F62</f>
        <v>1345.6</v>
      </c>
      <c r="G10" s="19">
        <f>'Data Sheet'!G62</f>
        <v>1688.3</v>
      </c>
      <c r="H10" s="19">
        <f>'Data Sheet'!H62</f>
        <v>1878.18</v>
      </c>
      <c r="I10" s="19">
        <f>'Data Sheet'!I62</f>
        <v>1792.95</v>
      </c>
      <c r="J10" s="19">
        <f>'Data Sheet'!J62</f>
        <v>1753.21</v>
      </c>
      <c r="K10" s="19">
        <f>'Data Sheet'!K62</f>
        <v>2655.22</v>
      </c>
    </row>
    <row r="11" spans="1:11" x14ac:dyDescent="0.35">
      <c r="A11" s="6" t="s">
        <v>28</v>
      </c>
      <c r="B11" s="19">
        <f>'Data Sheet'!B63</f>
        <v>107.09</v>
      </c>
      <c r="C11" s="19">
        <f>'Data Sheet'!C63</f>
        <v>48.37</v>
      </c>
      <c r="D11" s="19">
        <f>'Data Sheet'!D63</f>
        <v>90.07</v>
      </c>
      <c r="E11" s="19">
        <f>'Data Sheet'!E63</f>
        <v>30.07</v>
      </c>
      <c r="F11" s="19">
        <f>'Data Sheet'!F63</f>
        <v>202.82</v>
      </c>
      <c r="G11" s="19">
        <f>'Data Sheet'!G63</f>
        <v>101.24</v>
      </c>
      <c r="H11" s="19">
        <f>'Data Sheet'!H63</f>
        <v>39.549999999999997</v>
      </c>
      <c r="I11" s="19">
        <f>'Data Sheet'!I63</f>
        <v>116.52</v>
      </c>
      <c r="J11" s="19">
        <f>'Data Sheet'!J63</f>
        <v>535.67999999999995</v>
      </c>
      <c r="K11" s="19">
        <f>'Data Sheet'!K63</f>
        <v>105</v>
      </c>
    </row>
    <row r="12" spans="1:11" x14ac:dyDescent="0.35">
      <c r="A12" s="6" t="s">
        <v>29</v>
      </c>
      <c r="B12" s="19">
        <f>'Data Sheet'!B64</f>
        <v>197.87</v>
      </c>
      <c r="C12" s="19">
        <f>'Data Sheet'!C64</f>
        <v>517.94000000000005</v>
      </c>
      <c r="D12" s="19">
        <f>'Data Sheet'!D64</f>
        <v>788.38</v>
      </c>
      <c r="E12" s="19">
        <f>'Data Sheet'!E64</f>
        <v>486.85</v>
      </c>
      <c r="F12" s="19">
        <f>'Data Sheet'!F64</f>
        <v>1079.28</v>
      </c>
      <c r="G12" s="19">
        <f>'Data Sheet'!G64</f>
        <v>1476.28</v>
      </c>
      <c r="H12" s="19">
        <f>'Data Sheet'!H64</f>
        <v>2893.23</v>
      </c>
      <c r="I12" s="19">
        <f>'Data Sheet'!I64</f>
        <v>2780.91</v>
      </c>
      <c r="J12" s="19">
        <f>'Data Sheet'!J64</f>
        <v>1762.37</v>
      </c>
      <c r="K12" s="19">
        <f>'Data Sheet'!K64</f>
        <v>3324.24</v>
      </c>
    </row>
    <row r="13" spans="1:11" x14ac:dyDescent="0.35">
      <c r="A13" s="11" t="s">
        <v>73</v>
      </c>
      <c r="B13" s="19">
        <f>'Data Sheet'!B65</f>
        <v>954.32</v>
      </c>
      <c r="C13" s="19">
        <f>'Data Sheet'!C65</f>
        <v>1382.97</v>
      </c>
      <c r="D13" s="19">
        <f>'Data Sheet'!D65</f>
        <v>1665.22</v>
      </c>
      <c r="E13" s="19">
        <f>'Data Sheet'!E65</f>
        <v>2431.89</v>
      </c>
      <c r="F13" s="19">
        <f>'Data Sheet'!F65</f>
        <v>2560.2199999999998</v>
      </c>
      <c r="G13" s="19">
        <f>'Data Sheet'!G65</f>
        <v>2972.13</v>
      </c>
      <c r="H13" s="19">
        <f>'Data Sheet'!H65</f>
        <v>3018.58</v>
      </c>
      <c r="I13" s="19">
        <f>'Data Sheet'!I65</f>
        <v>3309.71</v>
      </c>
      <c r="J13" s="19">
        <f>'Data Sheet'!J65</f>
        <v>3475.34</v>
      </c>
      <c r="K13" s="19">
        <f>'Data Sheet'!K65</f>
        <v>3266.39</v>
      </c>
    </row>
    <row r="14" spans="1:11" s="8" customFormat="1" x14ac:dyDescent="0.35">
      <c r="A14" s="8" t="s">
        <v>26</v>
      </c>
      <c r="B14" s="19">
        <f>'Data Sheet'!B66</f>
        <v>2106.87</v>
      </c>
      <c r="C14" s="19">
        <f>'Data Sheet'!C66</f>
        <v>2793.35</v>
      </c>
      <c r="D14" s="19">
        <f>'Data Sheet'!D66</f>
        <v>3493.91</v>
      </c>
      <c r="E14" s="19">
        <f>'Data Sheet'!E66</f>
        <v>4108.8</v>
      </c>
      <c r="F14" s="19">
        <f>'Data Sheet'!F66</f>
        <v>5187.92</v>
      </c>
      <c r="G14" s="19">
        <f>'Data Sheet'!G66</f>
        <v>6237.95</v>
      </c>
      <c r="H14" s="19">
        <f>'Data Sheet'!H66</f>
        <v>7829.54</v>
      </c>
      <c r="I14" s="19">
        <f>'Data Sheet'!I66</f>
        <v>8000.09</v>
      </c>
      <c r="J14" s="19">
        <f>'Data Sheet'!J66</f>
        <v>7526.6</v>
      </c>
      <c r="K14" s="19">
        <f>'Data Sheet'!K66</f>
        <v>9350.85</v>
      </c>
    </row>
    <row r="15" spans="1:11" x14ac:dyDescent="0.35">
      <c r="A15" s="6"/>
      <c r="B15" s="21"/>
      <c r="C15" s="21"/>
      <c r="D15" s="21"/>
      <c r="E15" s="21"/>
      <c r="F15" s="21"/>
      <c r="G15" s="21"/>
      <c r="H15" s="21"/>
      <c r="I15" s="21"/>
      <c r="J15" s="21"/>
      <c r="K15" s="21"/>
    </row>
    <row r="16" spans="1:11" x14ac:dyDescent="0.35">
      <c r="A16" s="29" t="s">
        <v>30</v>
      </c>
      <c r="B16" s="21">
        <f>B13-B7</f>
        <v>-204.67999999999995</v>
      </c>
      <c r="C16" s="21">
        <f t="shared" ref="C16:K16" si="0">C13-C7</f>
        <v>-20.200000000000045</v>
      </c>
      <c r="D16" s="21">
        <f t="shared" si="0"/>
        <v>394.03999999999996</v>
      </c>
      <c r="E16" s="21">
        <f t="shared" si="0"/>
        <v>1144.07</v>
      </c>
      <c r="F16" s="21">
        <f t="shared" si="0"/>
        <v>979.22999999999979</v>
      </c>
      <c r="G16" s="21">
        <f t="shared" si="0"/>
        <v>1143.45</v>
      </c>
      <c r="H16" s="21">
        <f t="shared" si="0"/>
        <v>1129.46</v>
      </c>
      <c r="I16" s="21">
        <f t="shared" si="0"/>
        <v>978.79</v>
      </c>
      <c r="J16" s="21">
        <f t="shared" si="0"/>
        <v>988.04</v>
      </c>
      <c r="K16" s="21">
        <f t="shared" si="0"/>
        <v>447.17999999999984</v>
      </c>
    </row>
    <row r="17" spans="1:11" x14ac:dyDescent="0.35">
      <c r="A17" s="11" t="s">
        <v>44</v>
      </c>
      <c r="B17" s="21">
        <f>'Data Sheet'!B67</f>
        <v>108.7</v>
      </c>
      <c r="C17" s="21">
        <f>'Data Sheet'!C67</f>
        <v>135.81</v>
      </c>
      <c r="D17" s="21">
        <f>'Data Sheet'!D67</f>
        <v>170.61</v>
      </c>
      <c r="E17" s="21">
        <f>'Data Sheet'!E67</f>
        <v>179.16</v>
      </c>
      <c r="F17" s="21">
        <f>'Data Sheet'!F67</f>
        <v>304.60000000000002</v>
      </c>
      <c r="G17" s="21">
        <f>'Data Sheet'!G67</f>
        <v>394.24</v>
      </c>
      <c r="H17" s="21">
        <f>'Data Sheet'!H67</f>
        <v>320.36</v>
      </c>
      <c r="I17" s="21">
        <f>'Data Sheet'!I67</f>
        <v>257.27</v>
      </c>
      <c r="J17" s="21">
        <f>'Data Sheet'!J67</f>
        <v>331.93</v>
      </c>
      <c r="K17" s="21">
        <f>'Data Sheet'!K67</f>
        <v>328.94</v>
      </c>
    </row>
    <row r="18" spans="1:11" x14ac:dyDescent="0.35">
      <c r="A18" s="11" t="s">
        <v>45</v>
      </c>
      <c r="B18" s="21">
        <f>'Data Sheet'!B68</f>
        <v>420.27</v>
      </c>
      <c r="C18" s="21">
        <f>'Data Sheet'!C68</f>
        <v>404.04</v>
      </c>
      <c r="D18" s="21">
        <f>'Data Sheet'!D68</f>
        <v>440.65</v>
      </c>
      <c r="E18" s="21">
        <f>'Data Sheet'!E68</f>
        <v>661.45</v>
      </c>
      <c r="F18" s="21">
        <f>'Data Sheet'!F68</f>
        <v>652.79</v>
      </c>
      <c r="G18" s="21">
        <f>'Data Sheet'!G68</f>
        <v>781.38</v>
      </c>
      <c r="H18" s="21">
        <f>'Data Sheet'!H68</f>
        <v>740.96</v>
      </c>
      <c r="I18" s="21">
        <f>'Data Sheet'!I68</f>
        <v>1091.49</v>
      </c>
      <c r="J18" s="21">
        <f>'Data Sheet'!J68</f>
        <v>1367.49</v>
      </c>
      <c r="K18" s="21">
        <f>'Data Sheet'!K68</f>
        <v>1193.26</v>
      </c>
    </row>
    <row r="20" spans="1:11" x14ac:dyDescent="0.35">
      <c r="A20" s="11" t="s">
        <v>46</v>
      </c>
      <c r="B20" s="5">
        <f>IF('Profit &amp; Loss'!B4&gt;0,'Balance Sheet'!B17/('Profit &amp; Loss'!B4/365),0)</f>
        <v>5.7395001381513184</v>
      </c>
      <c r="C20" s="5">
        <f>IF('Profit &amp; Loss'!C4&gt;0,'Balance Sheet'!C17/('Profit &amp; Loss'!C4/365),0)</f>
        <v>6.3079664869019476</v>
      </c>
      <c r="D20" s="5">
        <f>IF('Profit &amp; Loss'!D4&gt;0,'Balance Sheet'!D17/('Profit &amp; Loss'!D4/365),0)</f>
        <v>7.4158561811454495</v>
      </c>
      <c r="E20" s="5">
        <f>IF('Profit &amp; Loss'!E4&gt;0,'Balance Sheet'!E17/('Profit &amp; Loss'!E4/365),0)</f>
        <v>7.2225259523596517</v>
      </c>
      <c r="F20" s="5">
        <f>IF('Profit &amp; Loss'!F4&gt;0,'Balance Sheet'!F17/('Profit &amp; Loss'!F4/365),0)</f>
        <v>11.2143546644691</v>
      </c>
      <c r="G20" s="5">
        <f>IF('Profit &amp; Loss'!G4&gt;0,'Balance Sheet'!G17/('Profit &amp; Loss'!G4/365),0)</f>
        <v>13.016905977292854</v>
      </c>
      <c r="H20" s="5">
        <f>IF('Profit &amp; Loss'!H4&gt;0,'Balance Sheet'!H17/('Profit &amp; Loss'!H4/365),0)</f>
        <v>10.080684164471899</v>
      </c>
      <c r="I20" s="5">
        <f>IF('Profit &amp; Loss'!I4&gt;0,'Balance Sheet'!I17/('Profit &amp; Loss'!I4/365),0)</f>
        <v>7.1484888254845034</v>
      </c>
      <c r="J20" s="5">
        <f>IF('Profit &amp; Loss'!J4&gt;0,'Balance Sheet'!J17/('Profit &amp; Loss'!J4/365),0)</f>
        <v>8.5704740857907247</v>
      </c>
      <c r="K20" s="5">
        <f>IF('Profit &amp; Loss'!K4&gt;0,'Balance Sheet'!K17/('Profit &amp; Loss'!K4/365),0)</f>
        <v>7.3655858237912222</v>
      </c>
    </row>
    <row r="21" spans="1:11" x14ac:dyDescent="0.35">
      <c r="A21" s="69" t="s">
        <v>47</v>
      </c>
      <c r="B21" s="70">
        <f>IF('Balance Sheet'!B18&gt;0,'Profit &amp; Loss'!B4/'Balance Sheet'!B18,0)</f>
        <v>16.448259452256885</v>
      </c>
      <c r="C21" s="70">
        <f>IF('Balance Sheet'!C18&gt;0,'Profit &amp; Loss'!C4/'Balance Sheet'!C18,0)</f>
        <v>19.449608949608947</v>
      </c>
      <c r="D21" s="70">
        <f>IF('Balance Sheet'!D18&gt;0,'Profit &amp; Loss'!D4/'Balance Sheet'!D18,0)</f>
        <v>19.056462044706684</v>
      </c>
      <c r="E21" s="70">
        <f>IF('Balance Sheet'!E18&gt;0,'Profit &amp; Loss'!E4/'Balance Sheet'!E18,0)</f>
        <v>13.688245521203417</v>
      </c>
      <c r="F21" s="70">
        <f>IF('Balance Sheet'!F18&gt;0,'Profit &amp; Loss'!F4/'Balance Sheet'!F18,0)</f>
        <v>15.18710458187166</v>
      </c>
      <c r="G21" s="70">
        <f>IF('Balance Sheet'!G18&gt;0,'Profit &amp; Loss'!G4/'Balance Sheet'!G18,0)</f>
        <v>14.147623435460339</v>
      </c>
      <c r="H21" s="70">
        <f>IF('Balance Sheet'!H18&gt;0,'Profit &amp; Loss'!H4/'Balance Sheet'!H18,0)</f>
        <v>15.654758691427336</v>
      </c>
      <c r="I21" s="70">
        <f>IF('Balance Sheet'!I18&gt;0,'Profit &amp; Loss'!I4/'Balance Sheet'!I18,0)</f>
        <v>12.035053000943664</v>
      </c>
      <c r="J21" s="70">
        <f>IF('Balance Sheet'!J18&gt;0,'Profit &amp; Loss'!J4/'Balance Sheet'!J18,0)</f>
        <v>10.33737723859041</v>
      </c>
      <c r="K21" s="70">
        <f>IF('Balance Sheet'!K18&gt;0,'Profit &amp; Loss'!K4/'Balance Sheet'!K18,0)</f>
        <v>13.660518244137908</v>
      </c>
    </row>
    <row r="22" spans="1:11" x14ac:dyDescent="0.35">
      <c r="A22" s="18"/>
    </row>
    <row r="23" spans="1:11" s="8" customFormat="1" x14ac:dyDescent="0.35">
      <c r="A23" s="37" t="s">
        <v>59</v>
      </c>
      <c r="B23" s="41">
        <f>IF(SUM('Balance Sheet'!B4:B5)&gt;0,'Profit &amp; Loss'!B14/SUM('Balance Sheet'!B4:B5),"")</f>
        <v>0.49535778276177472</v>
      </c>
      <c r="C23" s="41">
        <f>IF(SUM('Balance Sheet'!C4:C5)&gt;0,'Profit &amp; Loss'!C14/SUM('Balance Sheet'!C4:C5),"")</f>
        <v>0.5530756318718828</v>
      </c>
      <c r="D23" s="41">
        <f>IF(SUM('Balance Sheet'!D4:D5)&gt;0,'Profit &amp; Loss'!D14/SUM('Balance Sheet'!D4:D5),"")</f>
        <v>0.39421900099441604</v>
      </c>
      <c r="E23" s="41">
        <f>IF(SUM('Balance Sheet'!E4:E5)&gt;0,'Profit &amp; Loss'!E14/SUM('Balance Sheet'!E4:E5),"")</f>
        <v>0.32801640693957174</v>
      </c>
      <c r="F23" s="41">
        <f>IF(SUM('Balance Sheet'!F4:F5)&gt;0,'Profit &amp; Loss'!F14/SUM('Balance Sheet'!F4:F5),"")</f>
        <v>0.29482154757605916</v>
      </c>
      <c r="G23" s="41">
        <f>IF(SUM('Balance Sheet'!G4:G5)&gt;0,'Profit &amp; Loss'!G14/SUM('Balance Sheet'!G4:G5),"")</f>
        <v>0.27252571562922467</v>
      </c>
      <c r="H23" s="41">
        <f>IF(SUM('Balance Sheet'!H4:H5)&gt;0,'Profit &amp; Loss'!H14/SUM('Balance Sheet'!H4:H5),"")</f>
        <v>0.31857464403576791</v>
      </c>
      <c r="I23" s="41">
        <f>IF(SUM('Balance Sheet'!I4:I5)&gt;0,'Profit &amp; Loss'!I14/SUM('Balance Sheet'!I4:I5),"")</f>
        <v>0.52538856598433892</v>
      </c>
      <c r="J23" s="41">
        <f>IF(SUM('Balance Sheet'!J4:J5)&gt;0,'Profit &amp; Loss'!J14/SUM('Balance Sheet'!J4:J5),"")</f>
        <v>0.59607521207145919</v>
      </c>
      <c r="K23" s="41">
        <f>IF(SUM('Balance Sheet'!K4:K5)&gt;0,'Profit &amp; Loss'!K14/SUM('Balance Sheet'!K4:K5),"")</f>
        <v>0.65693056840592257</v>
      </c>
    </row>
    <row r="24" spans="1:11" s="8" customFormat="1" x14ac:dyDescent="0.35">
      <c r="A24" s="37" t="s">
        <v>60</v>
      </c>
      <c r="B24" s="41"/>
      <c r="C24" s="41">
        <f>IF((B4+B5+B6+C4+C5+C6)&gt;0,('Profit &amp; Loss'!C12+'Profit &amp; Loss'!C11)*2/(B4+B5+B6+C4+C5+C6),"")</f>
        <v>0.81559419174098069</v>
      </c>
      <c r="D24" s="41">
        <f>IF((C4+C5+C6+D4+D5+D6)&gt;0,('Profit &amp; Loss'!D12+'Profit &amp; Loss'!D11)*2/(C4+C5+C6+D4+D5+D6),"")</f>
        <v>0.67830640674691589</v>
      </c>
      <c r="E24" s="41">
        <f>IF((D4+D5+D6+E4+E5+E6)&gt;0,('Profit &amp; Loss'!E12+'Profit &amp; Loss'!E11)*2/(D4+D5+D6+E4+E5+E6),"")</f>
        <v>0.5192407969530366</v>
      </c>
      <c r="F24" s="41">
        <f>IF((E4+E5+E6+F4+F5+F6)&gt;0,('Profit &amp; Loss'!F12+'Profit &amp; Loss'!F11)*2/(E4+E5+E6+F4+F5+F6),"")</f>
        <v>0.47473284473491384</v>
      </c>
      <c r="G24" s="41">
        <f>IF((F4+F5+F6+G4+G5+G6)&gt;0,('Profit &amp; Loss'!G12+'Profit &amp; Loss'!G11)*2/(F4+F5+F6+G4+G5+G6),"")</f>
        <v>0.44335720166662507</v>
      </c>
      <c r="H24" s="41">
        <f>IF((G4+G5+G6+H4+H5+H6)&gt;0,('Profit &amp; Loss'!H12+'Profit &amp; Loss'!H11)*2/(G4+G5+G6+H4+H5+H6),"")</f>
        <v>0.37125749660134749</v>
      </c>
      <c r="I24" s="41">
        <f>IF((H4+H5+H6+I4+I5+I6)&gt;0,('Profit &amp; Loss'!I12+'Profit &amp; Loss'!I11)*2/(H4+H5+H6+I4+I5+I6),"")</f>
        <v>0.45212793905727938</v>
      </c>
      <c r="J24" s="41">
        <f>IF((I4+I5+I6+J4+J5+J6)&gt;0,('Profit &amp; Loss'!J12+'Profit &amp; Loss'!J11)*2/(I4+I5+I6+J4+J5+J6),"")</f>
        <v>0.41511439075797002</v>
      </c>
      <c r="K24" s="41">
        <f>IF((J4+J5+J6+K4+K5+K6)&gt;0,('Profit &amp; Loss'!K12+'Profit &amp; Loss'!K11)*2/(J4+J5+J6+K4+K5+K6),"")</f>
        <v>0.55343299680060565</v>
      </c>
    </row>
    <row r="25" spans="1:11" s="18" customFormat="1" x14ac:dyDescent="0.35">
      <c r="A25" s="37" t="s">
        <v>97</v>
      </c>
      <c r="B25" s="42">
        <f>(B18/'Profit &amp; Loss'!B4)*360</f>
        <v>21.886814288462844</v>
      </c>
      <c r="C25" s="42">
        <f>(C18/'Profit &amp; Loss'!C4)*360</f>
        <v>18.509369567928413</v>
      </c>
      <c r="D25" s="42">
        <f>(D18/'Profit &amp; Loss'!D4)*360</f>
        <v>18.891229607858783</v>
      </c>
      <c r="E25" s="42">
        <f>(E18/'Profit &amp; Loss'!E4)*360</f>
        <v>26.299937376368028</v>
      </c>
      <c r="F25" s="42">
        <f>(F18/'Profit &amp; Loss'!F4)*360</f>
        <v>23.704320863749103</v>
      </c>
      <c r="G25" s="42">
        <f>(G18/'Profit &amp; Loss'!G4)*360</f>
        <v>25.445969893266827</v>
      </c>
      <c r="H25" s="42">
        <f>(H18/'Profit &amp; Loss'!H4)*360</f>
        <v>22.996202438887721</v>
      </c>
      <c r="I25" s="42">
        <f>(I18/'Profit &amp; Loss'!I4)*360</f>
        <v>29.91262273392336</v>
      </c>
      <c r="J25" s="42">
        <f>(J18/'Profit &amp; Loss'!J4)*360</f>
        <v>34.825081032748407</v>
      </c>
      <c r="K25" s="42">
        <f>(K18/'Profit &amp; Loss'!K4)*360</f>
        <v>26.353319366524442</v>
      </c>
    </row>
    <row r="26" spans="1:11" x14ac:dyDescent="0.35">
      <c r="A26" s="37" t="s">
        <v>98</v>
      </c>
      <c r="B26" s="40">
        <f>(B17/'Profit &amp; Loss'!B4)*360</f>
        <v>5.660876848587602</v>
      </c>
      <c r="C26" s="40">
        <f>(C17/'Profit &amp; Loss'!C4)*360</f>
        <v>6.2215559870813735</v>
      </c>
      <c r="D26" s="40">
        <f>(D17/'Profit &amp; Loss'!D4)*360</f>
        <v>7.314269110170855</v>
      </c>
      <c r="E26" s="40">
        <f>(E17/'Profit &amp; Loss'!E4)*360</f>
        <v>7.1235872406834924</v>
      </c>
      <c r="F26" s="40">
        <f>(F17/'Profit &amp; Loss'!F4)*360</f>
        <v>11.060733367695551</v>
      </c>
      <c r="G26" s="40">
        <f>(G17/'Profit &amp; Loss'!G4)*360</f>
        <v>12.838592196781994</v>
      </c>
      <c r="H26" s="40">
        <f>(H17/'Profit &amp; Loss'!H4)*360</f>
        <v>9.942592600575022</v>
      </c>
      <c r="I26" s="40">
        <f>(I17/'Profit &amp; Loss'!I4)*360</f>
        <v>7.0505643210258109</v>
      </c>
      <c r="J26" s="40">
        <f>(J17/'Profit &amp; Loss'!J4)*360</f>
        <v>8.4530703311908528</v>
      </c>
      <c r="K26" s="40">
        <f>(K17/'Profit &amp; Loss'!K4)*360</f>
        <v>7.2646873878488769</v>
      </c>
    </row>
    <row r="27" spans="1:11" x14ac:dyDescent="0.35">
      <c r="A27" s="37" t="s">
        <v>104</v>
      </c>
      <c r="B27" s="46">
        <f>B5/B8</f>
        <v>0.36742656167680021</v>
      </c>
      <c r="C27" s="46">
        <f t="shared" ref="C27:K27" si="1">C5/C8</f>
        <v>0.43715252295630691</v>
      </c>
      <c r="D27" s="46">
        <f t="shared" si="1"/>
        <v>0.59179543834844051</v>
      </c>
      <c r="E27" s="46">
        <f t="shared" si="1"/>
        <v>0.65041374610591896</v>
      </c>
      <c r="F27" s="46">
        <f t="shared" si="1"/>
        <v>0.65194143317553077</v>
      </c>
      <c r="G27" s="46">
        <f t="shared" si="1"/>
        <v>0.67798234997074369</v>
      </c>
      <c r="H27" s="46">
        <f t="shared" si="1"/>
        <v>0.55926401806491821</v>
      </c>
      <c r="I27" s="46">
        <f t="shared" si="1"/>
        <v>0.44044129503543089</v>
      </c>
      <c r="J27" s="46">
        <f t="shared" si="1"/>
        <v>0.33667392979565808</v>
      </c>
      <c r="K27" s="46">
        <f t="shared" si="1"/>
        <v>0.37538619483790242</v>
      </c>
    </row>
  </sheetData>
  <hyperlinks>
    <hyperlink ref="J1" r:id="rId1" xr:uid="{00000000-0004-0000-0200-000000000000}"/>
  </hyperlinks>
  <printOptions gridLines="1"/>
  <pageMargins left="0.7" right="0.7" top="0.75" bottom="0.75" header="0.3" footer="0.3"/>
  <pageSetup paperSize="9" orientation="landscape" horizontalDpi="0" verticalDpi="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K24"/>
  <sheetViews>
    <sheetView zoomScale="108" zoomScaleNormal="108" zoomScalePageLayoutView="150" workbookViewId="0">
      <pane xSplit="1" ySplit="3" topLeftCell="D4" activePane="bottomRight" state="frozen"/>
      <selection pane="topRight" activeCell="B1" sqref="B1"/>
      <selection pane="bottomLeft" activeCell="A4" sqref="A4"/>
      <selection pane="bottomRight" activeCell="I19" sqref="I19"/>
    </sheetView>
  </sheetViews>
  <sheetFormatPr defaultColWidth="8.81640625" defaultRowHeight="14.5" x14ac:dyDescent="0.35"/>
  <cols>
    <col min="1" max="1" width="26.81640625" style="6" bestFit="1" customWidth="1"/>
    <col min="2" max="6" width="13.453125" style="6" customWidth="1"/>
    <col min="7" max="11" width="13.453125" style="6" bestFit="1" customWidth="1"/>
    <col min="12" max="16384" width="8.81640625" style="6"/>
  </cols>
  <sheetData>
    <row r="1" spans="1:11" s="8" customFormat="1" x14ac:dyDescent="0.35">
      <c r="A1" s="8" t="str">
        <f>'Balance Sheet'!A1</f>
        <v>BRITANNIA INDUSTRIES LTD</v>
      </c>
      <c r="E1" t="str">
        <f>UPDATE</f>
        <v/>
      </c>
      <c r="F1"/>
      <c r="J1" s="4" t="s">
        <v>1</v>
      </c>
      <c r="K1" s="4"/>
    </row>
    <row r="3" spans="1:11" s="2" customFormat="1" x14ac:dyDescent="0.35">
      <c r="A3" s="15" t="s">
        <v>2</v>
      </c>
      <c r="B3" s="16">
        <f>'Data Sheet'!B81</f>
        <v>41729</v>
      </c>
      <c r="C3" s="16">
        <f>'Data Sheet'!C81</f>
        <v>42094</v>
      </c>
      <c r="D3" s="16">
        <f>'Data Sheet'!D81</f>
        <v>42460</v>
      </c>
      <c r="E3" s="16">
        <f>'Data Sheet'!E81</f>
        <v>42825</v>
      </c>
      <c r="F3" s="16">
        <f>'Data Sheet'!F81</f>
        <v>43190</v>
      </c>
      <c r="G3" s="16">
        <f>'Data Sheet'!G81</f>
        <v>43555</v>
      </c>
      <c r="H3" s="16">
        <f>'Data Sheet'!H81</f>
        <v>43921</v>
      </c>
      <c r="I3" s="16">
        <f>'Data Sheet'!I81</f>
        <v>44286</v>
      </c>
      <c r="J3" s="16">
        <f>'Data Sheet'!J81</f>
        <v>44651</v>
      </c>
      <c r="K3" s="16">
        <f>'Data Sheet'!K81</f>
        <v>45016</v>
      </c>
    </row>
    <row r="4" spans="1:11" s="8" customFormat="1" x14ac:dyDescent="0.35">
      <c r="A4" s="8" t="s">
        <v>32</v>
      </c>
      <c r="B4" s="1">
        <f>'Data Sheet'!B82</f>
        <v>671.48</v>
      </c>
      <c r="C4" s="1">
        <f>'Data Sheet'!C82</f>
        <v>584.46</v>
      </c>
      <c r="D4" s="1">
        <f>'Data Sheet'!D82</f>
        <v>959.23</v>
      </c>
      <c r="E4" s="1">
        <f>'Data Sheet'!E82</f>
        <v>441.28</v>
      </c>
      <c r="F4" s="1">
        <f>'Data Sheet'!F82</f>
        <v>1248.77</v>
      </c>
      <c r="G4" s="1">
        <f>'Data Sheet'!G82</f>
        <v>1155.78</v>
      </c>
      <c r="H4" s="1">
        <f>'Data Sheet'!H82</f>
        <v>1484.53</v>
      </c>
      <c r="I4" s="1">
        <f>'Data Sheet'!I82</f>
        <v>1875.52</v>
      </c>
      <c r="J4" s="1">
        <f>'Data Sheet'!J82</f>
        <v>1299.52</v>
      </c>
      <c r="K4" s="1">
        <f>'Data Sheet'!K82</f>
        <v>2526.21</v>
      </c>
    </row>
    <row r="5" spans="1:11" x14ac:dyDescent="0.35">
      <c r="A5" s="6" t="s">
        <v>33</v>
      </c>
      <c r="B5" s="9">
        <f>'Data Sheet'!B83</f>
        <v>-245.64</v>
      </c>
      <c r="C5" s="9">
        <f>'Data Sheet'!C83</f>
        <v>-450.3</v>
      </c>
      <c r="D5" s="9">
        <f>'Data Sheet'!D83</f>
        <v>-705.2</v>
      </c>
      <c r="E5" s="9">
        <f>'Data Sheet'!E83</f>
        <v>-149.85</v>
      </c>
      <c r="F5" s="9">
        <f>'Data Sheet'!F83</f>
        <v>-956.52</v>
      </c>
      <c r="G5" s="9">
        <f>'Data Sheet'!G83</f>
        <v>-852.22</v>
      </c>
      <c r="H5" s="9">
        <f>'Data Sheet'!H83</f>
        <v>-1525.93</v>
      </c>
      <c r="I5" s="9">
        <f>'Data Sheet'!I83</f>
        <v>433.17</v>
      </c>
      <c r="J5" s="9">
        <f>'Data Sheet'!J83</f>
        <v>914.19</v>
      </c>
      <c r="K5" s="9">
        <f>'Data Sheet'!K83</f>
        <v>-1507</v>
      </c>
    </row>
    <row r="6" spans="1:11" x14ac:dyDescent="0.35">
      <c r="A6" s="6" t="s">
        <v>34</v>
      </c>
      <c r="B6" s="9">
        <f>'Data Sheet'!B84</f>
        <v>-357.34</v>
      </c>
      <c r="C6" s="9">
        <f>'Data Sheet'!C84</f>
        <v>-181.37</v>
      </c>
      <c r="D6" s="9">
        <f>'Data Sheet'!D84</f>
        <v>-246.18</v>
      </c>
      <c r="E6" s="9">
        <f>'Data Sheet'!E84</f>
        <v>-295.08</v>
      </c>
      <c r="F6" s="9">
        <f>'Data Sheet'!F84</f>
        <v>-231.75</v>
      </c>
      <c r="G6" s="9">
        <f>'Data Sheet'!G84</f>
        <v>-352.68</v>
      </c>
      <c r="H6" s="9">
        <f>'Data Sheet'!H84</f>
        <v>57.94</v>
      </c>
      <c r="I6" s="9">
        <f>'Data Sheet'!I84</f>
        <v>-2242.5</v>
      </c>
      <c r="J6" s="9">
        <f>'Data Sheet'!J84</f>
        <v>-2245.84</v>
      </c>
      <c r="K6" s="9">
        <f>'Data Sheet'!K84</f>
        <v>-1028.3699999999999</v>
      </c>
    </row>
    <row r="7" spans="1:11" s="8" customFormat="1" x14ac:dyDescent="0.35">
      <c r="A7" s="8" t="s">
        <v>35</v>
      </c>
      <c r="B7" s="1">
        <f>'Data Sheet'!B85</f>
        <v>68.5</v>
      </c>
      <c r="C7" s="1">
        <f>'Data Sheet'!C85</f>
        <v>-47.21</v>
      </c>
      <c r="D7" s="1">
        <f>'Data Sheet'!D85</f>
        <v>7.85</v>
      </c>
      <c r="E7" s="1">
        <f>'Data Sheet'!E85</f>
        <v>-3.65</v>
      </c>
      <c r="F7" s="1">
        <f>'Data Sheet'!F85</f>
        <v>60.5</v>
      </c>
      <c r="G7" s="1">
        <f>'Data Sheet'!G85</f>
        <v>-49.12</v>
      </c>
      <c r="H7" s="1">
        <f>'Data Sheet'!H85</f>
        <v>16.54</v>
      </c>
      <c r="I7" s="1">
        <f>'Data Sheet'!I85</f>
        <v>66.19</v>
      </c>
      <c r="J7" s="1">
        <f>'Data Sheet'!J85</f>
        <v>-32.130000000000003</v>
      </c>
      <c r="K7" s="1">
        <f>'Data Sheet'!K85</f>
        <v>-9.16</v>
      </c>
    </row>
    <row r="8" spans="1:11" x14ac:dyDescent="0.35">
      <c r="A8" s="29"/>
      <c r="B8" s="9"/>
      <c r="C8" s="9"/>
      <c r="D8" s="9"/>
      <c r="E8" s="9"/>
      <c r="F8" s="9"/>
      <c r="G8" s="9"/>
      <c r="H8" s="9"/>
      <c r="I8" s="9"/>
      <c r="J8" s="9"/>
      <c r="K8" s="9"/>
    </row>
    <row r="9" spans="1:11" x14ac:dyDescent="0.35">
      <c r="A9" s="2" t="s">
        <v>103</v>
      </c>
    </row>
    <row r="10" spans="1:11" x14ac:dyDescent="0.35">
      <c r="A10" s="47" t="s">
        <v>99</v>
      </c>
      <c r="B10" s="43"/>
      <c r="C10" s="41">
        <f>(C4/B4)-1</f>
        <v>-0.12959432894501699</v>
      </c>
      <c r="D10" s="41">
        <f t="shared" ref="D10:K10" si="0">(D4/C4)-1</f>
        <v>0.64122437805837862</v>
      </c>
      <c r="E10" s="41">
        <f t="shared" si="0"/>
        <v>-0.53996434640284396</v>
      </c>
      <c r="F10" s="41">
        <f t="shared" si="0"/>
        <v>1.8298812545322698</v>
      </c>
      <c r="G10" s="41">
        <f t="shared" si="0"/>
        <v>-7.4465273829448231E-2</v>
      </c>
      <c r="H10" s="41">
        <f t="shared" si="0"/>
        <v>0.28443994531831307</v>
      </c>
      <c r="I10" s="41">
        <f t="shared" si="0"/>
        <v>0.26337628744451114</v>
      </c>
      <c r="J10" s="41">
        <f t="shared" si="0"/>
        <v>-0.3071148268213616</v>
      </c>
      <c r="K10" s="41">
        <f t="shared" si="0"/>
        <v>0.94395622999261275</v>
      </c>
    </row>
    <row r="11" spans="1:11" x14ac:dyDescent="0.35">
      <c r="A11" s="47" t="s">
        <v>100</v>
      </c>
      <c r="B11" s="43"/>
      <c r="C11" s="41">
        <f>(C5/B5)-1</f>
        <v>0.83317049340498306</v>
      </c>
      <c r="D11" s="41">
        <f t="shared" ref="D11:K11" si="1">(D5/C5)-1</f>
        <v>0.56606706640017768</v>
      </c>
      <c r="E11" s="41">
        <f t="shared" si="1"/>
        <v>-0.78750709018718101</v>
      </c>
      <c r="F11" s="41">
        <f t="shared" si="1"/>
        <v>5.3831831831831831</v>
      </c>
      <c r="G11" s="41">
        <f t="shared" si="1"/>
        <v>-0.10904110734746786</v>
      </c>
      <c r="H11" s="41">
        <f t="shared" si="1"/>
        <v>0.79053530778437486</v>
      </c>
      <c r="I11" s="41">
        <f t="shared" si="1"/>
        <v>-1.2838727857765428</v>
      </c>
      <c r="J11" s="41">
        <f t="shared" si="1"/>
        <v>1.1104647136228269</v>
      </c>
      <c r="K11" s="41">
        <f t="shared" si="1"/>
        <v>-2.648453822509544</v>
      </c>
    </row>
    <row r="12" spans="1:11" x14ac:dyDescent="0.35">
      <c r="A12" s="47" t="s">
        <v>101</v>
      </c>
      <c r="B12" s="41">
        <f>B4/'Profit &amp; Loss'!B4</f>
        <v>9.7137012835776415E-2</v>
      </c>
      <c r="C12" s="41">
        <f>C4/'Profit &amp; Loss'!C4</f>
        <v>7.4373729070220232E-2</v>
      </c>
      <c r="D12" s="41">
        <f>D4/'Profit &amp; Loss'!D4</f>
        <v>0.1142317168875927</v>
      </c>
      <c r="E12" s="41">
        <f>E4/'Profit &amp; Loss'!E4</f>
        <v>4.873819456179472E-2</v>
      </c>
      <c r="F12" s="41">
        <f>F4/'Profit &amp; Loss'!F4</f>
        <v>0.12596038527373943</v>
      </c>
      <c r="G12" s="41">
        <f>G4/'Profit &amp; Loss'!G4</f>
        <v>0.10455128918366627</v>
      </c>
      <c r="H12" s="41">
        <f>H4/'Profit &amp; Loss'!H4</f>
        <v>0.12798168894482975</v>
      </c>
      <c r="I12" s="41">
        <f>I4/'Profit &amp; Loss'!I4</f>
        <v>0.14277557943200972</v>
      </c>
      <c r="J12" s="41">
        <f>J4/'Profit &amp; Loss'!J4</f>
        <v>9.1928133749662216E-2</v>
      </c>
      <c r="K12" s="41">
        <f>K4/'Profit &amp; Loss'!K4</f>
        <v>0.15497697930437931</v>
      </c>
    </row>
    <row r="13" spans="1:11" x14ac:dyDescent="0.35">
      <c r="A13" s="45" t="s">
        <v>102</v>
      </c>
      <c r="B13" s="40">
        <f>B4/'Profit &amp; Loss'!B11</f>
        <v>80.998793727382406</v>
      </c>
      <c r="C13" s="40">
        <f>C4/'Profit &amp; Loss'!C11</f>
        <v>151.41450777202073</v>
      </c>
      <c r="D13" s="40">
        <f>D4/'Profit &amp; Loss'!D11</f>
        <v>196.96714579055441</v>
      </c>
      <c r="E13" s="40">
        <f>E4/'Profit &amp; Loss'!E11</f>
        <v>80.96880733944954</v>
      </c>
      <c r="F13" s="40">
        <f>F4/'Profit &amp; Loss'!F11</f>
        <v>164.52832674571806</v>
      </c>
      <c r="G13" s="40">
        <f>G4/'Profit &amp; Loss'!G11</f>
        <v>127.14851485148515</v>
      </c>
      <c r="H13" s="40">
        <f>H4/'Profit &amp; Loss'!H11</f>
        <v>19.304681404421324</v>
      </c>
      <c r="I13" s="40">
        <f>I4/'Profit &amp; Loss'!I11</f>
        <v>16.911812443642919</v>
      </c>
      <c r="J13" s="40">
        <f>J4/'Profit &amp; Loss'!J11</f>
        <v>9.0063067433640587</v>
      </c>
      <c r="K13" s="40">
        <f>K4/'Profit &amp; Loss'!K11</f>
        <v>14.939148432879954</v>
      </c>
    </row>
    <row r="24" s="29" customFormat="1" x14ac:dyDescent="0.35"/>
  </sheetData>
  <hyperlinks>
    <hyperlink ref="J1" r:id="rId1" xr:uid="{00000000-0004-0000-0300-000000000000}"/>
  </hyperlinks>
  <printOptions gridLines="1"/>
  <pageMargins left="0.7" right="0.7" top="0.75" bottom="0.75" header="0.3" footer="0.3"/>
  <pageSetup paperSize="9"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8E9D2-0903-411F-B53D-CF506C7EBB5B}">
  <dimension ref="B2:R41"/>
  <sheetViews>
    <sheetView showGridLines="0" tabSelected="1" topLeftCell="B1" zoomScale="62" workbookViewId="0">
      <selection activeCell="I30" sqref="I30"/>
    </sheetView>
  </sheetViews>
  <sheetFormatPr defaultRowHeight="14.5" x14ac:dyDescent="0.35"/>
  <cols>
    <col min="2" max="2" width="23.36328125" style="48" bestFit="1" customWidth="1"/>
    <col min="3" max="3" width="15.7265625" customWidth="1"/>
    <col min="4" max="4" width="8.453125" bestFit="1" customWidth="1"/>
    <col min="5" max="5" width="17.36328125" bestFit="1" customWidth="1"/>
    <col min="6" max="6" width="14.6328125" bestFit="1" customWidth="1"/>
    <col min="7" max="7" width="9.1796875" customWidth="1"/>
    <col min="8" max="8" width="12" customWidth="1"/>
    <col min="9" max="9" width="20.6328125" bestFit="1" customWidth="1"/>
    <col min="10" max="10" width="17.1796875" style="58" bestFit="1" customWidth="1"/>
    <col min="11" max="11" width="15" bestFit="1" customWidth="1"/>
    <col min="12" max="12" width="22.7265625" bestFit="1" customWidth="1"/>
    <col min="13" max="13" width="21.6328125" bestFit="1" customWidth="1"/>
    <col min="14" max="14" width="23.36328125" bestFit="1" customWidth="1"/>
    <col min="15" max="15" width="11" customWidth="1"/>
    <col min="16" max="16" width="9.1796875" customWidth="1"/>
    <col min="17" max="17" width="12.26953125" bestFit="1" customWidth="1"/>
    <col min="18" max="18" width="12.90625" bestFit="1" customWidth="1"/>
  </cols>
  <sheetData>
    <row r="2" spans="2:18" ht="15" thickBot="1" x14ac:dyDescent="0.4">
      <c r="B2" s="101" t="s">
        <v>105</v>
      </c>
      <c r="C2" s="50"/>
      <c r="D2" s="50"/>
      <c r="E2" s="50"/>
      <c r="F2" s="50"/>
      <c r="G2" s="50"/>
      <c r="H2" s="50"/>
      <c r="I2" s="50"/>
      <c r="J2" s="59"/>
      <c r="K2" s="50"/>
      <c r="L2" s="50"/>
    </row>
    <row r="3" spans="2:18" s="108" customFormat="1" ht="15" thickBot="1" x14ac:dyDescent="0.4">
      <c r="B3" s="102" t="s">
        <v>108</v>
      </c>
      <c r="C3" s="103" t="s">
        <v>109</v>
      </c>
      <c r="D3" s="104" t="s">
        <v>127</v>
      </c>
      <c r="E3" s="104" t="s">
        <v>94</v>
      </c>
      <c r="F3" s="105" t="s">
        <v>17</v>
      </c>
      <c r="G3" s="105" t="s">
        <v>18</v>
      </c>
      <c r="H3" s="105" t="s">
        <v>95</v>
      </c>
      <c r="I3" s="106" t="s">
        <v>96</v>
      </c>
      <c r="J3" s="105" t="s">
        <v>47</v>
      </c>
      <c r="K3" s="105" t="s">
        <v>59</v>
      </c>
      <c r="L3" s="105" t="s">
        <v>128</v>
      </c>
      <c r="M3" s="105" t="s">
        <v>129</v>
      </c>
      <c r="N3" s="105" t="s">
        <v>104</v>
      </c>
      <c r="O3" s="105" t="s">
        <v>99</v>
      </c>
      <c r="P3" s="105" t="s">
        <v>100</v>
      </c>
      <c r="Q3" s="105" t="s">
        <v>101</v>
      </c>
      <c r="R3" s="107" t="s">
        <v>130</v>
      </c>
    </row>
    <row r="4" spans="2:18" x14ac:dyDescent="0.35">
      <c r="B4" s="71">
        <v>2014</v>
      </c>
      <c r="C4" s="72" t="s">
        <v>106</v>
      </c>
      <c r="D4" s="73"/>
      <c r="E4" s="73"/>
      <c r="F4" s="74">
        <v>0.36408245858100413</v>
      </c>
      <c r="G4" s="74">
        <v>9.0731420817595387E-2</v>
      </c>
      <c r="H4" s="74">
        <v>5.7191752583284995E-2</v>
      </c>
      <c r="I4" s="75">
        <v>75.657418576598303</v>
      </c>
      <c r="J4" s="76">
        <v>16.448259452256885</v>
      </c>
      <c r="K4" s="77">
        <v>0.49535778276177472</v>
      </c>
      <c r="L4" s="78">
        <v>21.886814288462844</v>
      </c>
      <c r="M4" s="75">
        <v>5.660876848587602</v>
      </c>
      <c r="N4" s="78">
        <v>75.657418576598303</v>
      </c>
      <c r="O4" s="72"/>
      <c r="P4" s="72"/>
      <c r="Q4" s="77">
        <v>9.7137012835776415E-2</v>
      </c>
      <c r="R4" s="79">
        <v>80.998793727382406</v>
      </c>
    </row>
    <row r="5" spans="2:18" x14ac:dyDescent="0.35">
      <c r="B5" s="71">
        <v>2015</v>
      </c>
      <c r="C5" s="72" t="s">
        <v>106</v>
      </c>
      <c r="D5" s="73">
        <v>0.13680741706219424</v>
      </c>
      <c r="E5" s="73">
        <v>0.38762755102040813</v>
      </c>
      <c r="F5" s="74">
        <v>0.27869423791821563</v>
      </c>
      <c r="G5" s="74">
        <v>0.11074999809121931</v>
      </c>
      <c r="H5" s="74">
        <v>8.7630846913247185E-2</v>
      </c>
      <c r="I5" s="75">
        <v>225.47150259067351</v>
      </c>
      <c r="J5" s="76">
        <v>19.449608949608947</v>
      </c>
      <c r="K5" s="77">
        <v>0.5530756318718828</v>
      </c>
      <c r="L5" s="78">
        <v>18.509369567928413</v>
      </c>
      <c r="M5" s="75">
        <v>6.2215559870813735</v>
      </c>
      <c r="N5" s="78">
        <v>225.47150259067351</v>
      </c>
      <c r="O5" s="77">
        <v>-0.12959432894501699</v>
      </c>
      <c r="P5" s="77">
        <v>0.83317049340498306</v>
      </c>
      <c r="Q5" s="77">
        <v>7.4373729070220232E-2</v>
      </c>
      <c r="R5" s="79">
        <v>151.41450777202073</v>
      </c>
    </row>
    <row r="6" spans="2:18" x14ac:dyDescent="0.35">
      <c r="B6" s="71">
        <v>2016</v>
      </c>
      <c r="C6" s="72" t="s">
        <v>106</v>
      </c>
      <c r="D6" s="73">
        <v>6.8564673305829826E-2</v>
      </c>
      <c r="E6" s="73">
        <v>0.40588519165364678</v>
      </c>
      <c r="F6" s="74">
        <v>0.29105726551699046</v>
      </c>
      <c r="G6" s="74">
        <v>0.14571114522288917</v>
      </c>
      <c r="H6" s="74">
        <v>9.8196667234314181E-2</v>
      </c>
      <c r="I6" s="75">
        <v>251.2464065708422</v>
      </c>
      <c r="J6" s="76">
        <v>19.056462044706684</v>
      </c>
      <c r="K6" s="77">
        <v>0.39421900099441604</v>
      </c>
      <c r="L6" s="78">
        <v>18.891229607858783</v>
      </c>
      <c r="M6" s="75">
        <v>7.314269110170855</v>
      </c>
      <c r="N6" s="78">
        <v>251.2464065708422</v>
      </c>
      <c r="O6" s="77">
        <v>0.64122437805837862</v>
      </c>
      <c r="P6" s="77">
        <v>0.56606706640017768</v>
      </c>
      <c r="Q6" s="77">
        <v>0.1142317168875927</v>
      </c>
      <c r="R6" s="79">
        <v>196.96714579055441</v>
      </c>
    </row>
    <row r="7" spans="2:18" x14ac:dyDescent="0.35">
      <c r="B7" s="71">
        <v>2017</v>
      </c>
      <c r="C7" s="72" t="s">
        <v>106</v>
      </c>
      <c r="D7" s="73">
        <v>7.8223414149666048E-2</v>
      </c>
      <c r="E7" s="73">
        <v>4.4631692506353238E-2</v>
      </c>
      <c r="F7" s="74">
        <v>0.29848383777855664</v>
      </c>
      <c r="G7" s="74">
        <v>0.14117155893082578</v>
      </c>
      <c r="H7" s="74">
        <v>9.7687343509949648E-2</v>
      </c>
      <c r="I7" s="75">
        <v>234.52844036697252</v>
      </c>
      <c r="J7" s="76">
        <v>13.688245521203417</v>
      </c>
      <c r="K7" s="77">
        <v>0.32801640693957174</v>
      </c>
      <c r="L7" s="78">
        <v>26.299937376368028</v>
      </c>
      <c r="M7" s="75">
        <v>7.1235872406834924</v>
      </c>
      <c r="N7" s="78">
        <v>234.52844036697252</v>
      </c>
      <c r="O7" s="77">
        <v>-0.53996434640284396</v>
      </c>
      <c r="P7" s="77">
        <v>-0.78750709018718101</v>
      </c>
      <c r="Q7" s="77">
        <v>4.873819456179472E-2</v>
      </c>
      <c r="R7" s="79">
        <v>80.96880733944954</v>
      </c>
    </row>
    <row r="8" spans="2:18" x14ac:dyDescent="0.35">
      <c r="B8" s="71">
        <v>2018</v>
      </c>
      <c r="C8" s="72" t="s">
        <v>106</v>
      </c>
      <c r="D8" s="73">
        <v>9.4973652791169538E-2</v>
      </c>
      <c r="E8" s="73">
        <v>0.17469370511195526</v>
      </c>
      <c r="F8" s="74">
        <v>0.2988558397976559</v>
      </c>
      <c r="G8" s="74">
        <v>0.15144961816584437</v>
      </c>
      <c r="H8" s="74">
        <v>0.10129423168673764</v>
      </c>
      <c r="I8" s="75">
        <v>197.8221343873517</v>
      </c>
      <c r="J8" s="76">
        <v>15.18710458187166</v>
      </c>
      <c r="K8" s="77">
        <v>0.29482154757605916</v>
      </c>
      <c r="L8" s="78">
        <v>23.704320863749103</v>
      </c>
      <c r="M8" s="75">
        <v>11.060733367695551</v>
      </c>
      <c r="N8" s="78">
        <v>197.8221343873517</v>
      </c>
      <c r="O8" s="77">
        <v>1.8298812545322698</v>
      </c>
      <c r="P8" s="77">
        <v>5.3831831831831831</v>
      </c>
      <c r="Q8" s="77">
        <v>0.12596038527373943</v>
      </c>
      <c r="R8" s="79">
        <v>164.52832674571806</v>
      </c>
    </row>
    <row r="9" spans="2:18" x14ac:dyDescent="0.35">
      <c r="B9" s="71">
        <v>2019</v>
      </c>
      <c r="C9" s="72" t="s">
        <v>106</v>
      </c>
      <c r="D9" s="73">
        <v>0.11505761050797925</v>
      </c>
      <c r="E9" s="73">
        <v>0.15383590747733988</v>
      </c>
      <c r="F9" s="74">
        <v>0.31096866588446409</v>
      </c>
      <c r="G9" s="74">
        <v>0.15671657317676607</v>
      </c>
      <c r="H9" s="74">
        <v>0.1048534239375757</v>
      </c>
      <c r="I9" s="75">
        <v>190.58855885588568</v>
      </c>
      <c r="J9" s="76">
        <v>14.147623435460339</v>
      </c>
      <c r="K9" s="77">
        <v>0.27252571562922467</v>
      </c>
      <c r="L9" s="78">
        <v>25.445969893266827</v>
      </c>
      <c r="M9" s="75">
        <v>12.838592196781994</v>
      </c>
      <c r="N9" s="78">
        <v>190.58855885588568</v>
      </c>
      <c r="O9" s="77">
        <v>-7.4465273829448231E-2</v>
      </c>
      <c r="P9" s="77">
        <v>-0.10904110734746786</v>
      </c>
      <c r="Q9" s="77">
        <v>0.10455128918366627</v>
      </c>
      <c r="R9" s="79">
        <v>127.14851485148515</v>
      </c>
    </row>
    <row r="10" spans="2:18" x14ac:dyDescent="0.35">
      <c r="B10" s="71">
        <v>2020</v>
      </c>
      <c r="C10" s="72" t="s">
        <v>106</v>
      </c>
      <c r="D10" s="73">
        <v>4.9289576260530543E-2</v>
      </c>
      <c r="E10" s="73">
        <v>6.3915264509798009E-2</v>
      </c>
      <c r="F10" s="74">
        <v>0.60012262677969241</v>
      </c>
      <c r="G10" s="74">
        <v>0.15890099184882175</v>
      </c>
      <c r="H10" s="74">
        <v>0.12092107021393073</v>
      </c>
      <c r="I10" s="75">
        <v>23.968530559167753</v>
      </c>
      <c r="J10" s="76">
        <v>15.654758691427336</v>
      </c>
      <c r="K10" s="77">
        <v>0.31857464403576791</v>
      </c>
      <c r="L10" s="78">
        <v>22.996202438887721</v>
      </c>
      <c r="M10" s="75">
        <v>9.942592600575022</v>
      </c>
      <c r="N10" s="78">
        <v>23.968530559167753</v>
      </c>
      <c r="O10" s="77">
        <v>0.28443994531831307</v>
      </c>
      <c r="P10" s="77">
        <v>0.79053530778437486</v>
      </c>
      <c r="Q10" s="77">
        <v>0.12798168894482975</v>
      </c>
      <c r="R10" s="79">
        <v>19.304681404421324</v>
      </c>
    </row>
    <row r="11" spans="2:18" x14ac:dyDescent="0.35">
      <c r="B11" s="71">
        <v>2021</v>
      </c>
      <c r="C11" s="72" t="s">
        <v>106</v>
      </c>
      <c r="D11" s="73">
        <v>0.13246979408683957</v>
      </c>
      <c r="E11" s="73">
        <v>0.36139172517062934</v>
      </c>
      <c r="F11" s="74">
        <v>2.0356134985782499</v>
      </c>
      <c r="G11" s="74">
        <v>0.19102186791553691</v>
      </c>
      <c r="H11" s="74">
        <v>0.14189099689863233</v>
      </c>
      <c r="I11" s="75">
        <v>22.626600541027958</v>
      </c>
      <c r="J11" s="76">
        <v>12.035053000943664</v>
      </c>
      <c r="K11" s="77">
        <v>0.52538856598433892</v>
      </c>
      <c r="L11" s="78">
        <v>29.91262273392336</v>
      </c>
      <c r="M11" s="75">
        <v>7.0505643210258109</v>
      </c>
      <c r="N11" s="78">
        <v>22.626600541027958</v>
      </c>
      <c r="O11" s="77">
        <v>0.26337628744451114</v>
      </c>
      <c r="P11" s="77">
        <v>-1.2838727857765428</v>
      </c>
      <c r="Q11" s="77">
        <v>0.14277557943200972</v>
      </c>
      <c r="R11" s="79">
        <v>16.911812443642919</v>
      </c>
    </row>
    <row r="12" spans="2:18" x14ac:dyDescent="0.35">
      <c r="B12" s="71">
        <v>2022</v>
      </c>
      <c r="C12" s="72" t="s">
        <v>106</v>
      </c>
      <c r="D12" s="73">
        <v>7.613499856122119E-2</v>
      </c>
      <c r="E12" s="73">
        <v>-0.12273591334600598</v>
      </c>
      <c r="F12" s="74">
        <v>0.89261683346231024</v>
      </c>
      <c r="G12" s="74">
        <v>0.15572082007546559</v>
      </c>
      <c r="H12" s="74">
        <v>0.10786587117101694</v>
      </c>
      <c r="I12" s="75">
        <v>15.25615080740177</v>
      </c>
      <c r="J12" s="76">
        <v>10.33737723859041</v>
      </c>
      <c r="K12" s="77">
        <v>0.59607521207145919</v>
      </c>
      <c r="L12" s="78">
        <v>34.825081032748407</v>
      </c>
      <c r="M12" s="75">
        <v>8.4530703311908528</v>
      </c>
      <c r="N12" s="78">
        <v>15.25615080740177</v>
      </c>
      <c r="O12" s="77">
        <v>-0.3071148268213616</v>
      </c>
      <c r="P12" s="77">
        <v>1.1104647136228269</v>
      </c>
      <c r="Q12" s="77">
        <v>9.1928133749662216E-2</v>
      </c>
      <c r="R12" s="79">
        <v>9.0063067433640587</v>
      </c>
    </row>
    <row r="13" spans="2:18" ht="15" thickBot="1" x14ac:dyDescent="0.4">
      <c r="B13" s="80">
        <v>2023</v>
      </c>
      <c r="C13" s="81" t="s">
        <v>106</v>
      </c>
      <c r="D13" s="82">
        <v>0.15310202274151719</v>
      </c>
      <c r="E13" s="82">
        <v>0.28601151132734515</v>
      </c>
      <c r="F13" s="83">
        <v>0.74705074146017914</v>
      </c>
      <c r="G13" s="83">
        <v>0.17366960010551791</v>
      </c>
      <c r="H13" s="83">
        <v>0.14243507120925369</v>
      </c>
      <c r="I13" s="84">
        <v>16.741040804257835</v>
      </c>
      <c r="J13" s="85">
        <v>13.660518244137908</v>
      </c>
      <c r="K13" s="86">
        <v>0.65693056840592257</v>
      </c>
      <c r="L13" s="87">
        <v>26.353319366524442</v>
      </c>
      <c r="M13" s="84">
        <v>7.2646873878488769</v>
      </c>
      <c r="N13" s="87">
        <v>16.741040804257835</v>
      </c>
      <c r="O13" s="86">
        <v>0.94395622999261275</v>
      </c>
      <c r="P13" s="86">
        <v>-2.648453822509544</v>
      </c>
      <c r="Q13" s="86">
        <v>0.15497697930437931</v>
      </c>
      <c r="R13" s="88">
        <v>14.939148432879954</v>
      </c>
    </row>
    <row r="14" spans="2:18" x14ac:dyDescent="0.35">
      <c r="B14" s="71">
        <v>2014</v>
      </c>
      <c r="C14" s="72" t="s">
        <v>107</v>
      </c>
      <c r="D14" s="93"/>
      <c r="E14" s="93"/>
      <c r="F14" s="94">
        <v>0.4650377024187235</v>
      </c>
      <c r="G14" s="94">
        <v>0.15954055461195107</v>
      </c>
      <c r="H14" s="94">
        <v>0.10356938623968316</v>
      </c>
      <c r="I14" s="95">
        <v>21.703628447024698</v>
      </c>
      <c r="J14" s="96">
        <v>5.885813322616297</v>
      </c>
      <c r="K14" s="97">
        <v>0.35673180805950183</v>
      </c>
      <c r="L14" s="95">
        <v>61.164019357647035</v>
      </c>
      <c r="M14" s="95">
        <v>17.144576359430879</v>
      </c>
      <c r="N14" s="97">
        <v>0.43715408354272423</v>
      </c>
      <c r="O14" s="98"/>
      <c r="P14" s="98"/>
      <c r="Q14" s="97">
        <v>0.14092973037563053</v>
      </c>
      <c r="R14" s="99">
        <v>19.171843251088532</v>
      </c>
    </row>
    <row r="15" spans="2:18" x14ac:dyDescent="0.35">
      <c r="B15" s="71">
        <v>2015</v>
      </c>
      <c r="C15" s="72" t="s">
        <v>107</v>
      </c>
      <c r="D15" s="77">
        <v>0.22329148280600508</v>
      </c>
      <c r="E15" s="77">
        <v>0.16365071085610094</v>
      </c>
      <c r="F15" s="74">
        <v>0.28119278053884383</v>
      </c>
      <c r="G15" s="74">
        <v>0.15176225976717159</v>
      </c>
      <c r="H15" s="74">
        <v>0.10002651326186383</v>
      </c>
      <c r="I15" s="75">
        <v>37.910675381263587</v>
      </c>
      <c r="J15" s="76">
        <v>5.7634687496858374</v>
      </c>
      <c r="K15" s="89">
        <v>0.31425706112517676</v>
      </c>
      <c r="L15" s="75">
        <v>62.46238430973073</v>
      </c>
      <c r="M15" s="75">
        <v>11.098939818384157</v>
      </c>
      <c r="N15" s="89">
        <v>0.56323913377361379</v>
      </c>
      <c r="O15" s="89">
        <v>6.6165003709479642E-3</v>
      </c>
      <c r="P15" s="89">
        <v>-7.8237187422629306E-2</v>
      </c>
      <c r="Q15" s="89">
        <v>0.11596761195748112</v>
      </c>
      <c r="R15" s="79">
        <v>28.969063180827888</v>
      </c>
    </row>
    <row r="16" spans="2:18" x14ac:dyDescent="0.35">
      <c r="B16" s="71">
        <v>2016</v>
      </c>
      <c r="C16" s="72" t="s">
        <v>107</v>
      </c>
      <c r="D16" s="77">
        <v>4.9597242620766258E-2</v>
      </c>
      <c r="E16" s="77">
        <v>0.20841330957990922</v>
      </c>
      <c r="F16" s="74">
        <v>0.77070332265137464</v>
      </c>
      <c r="G16" s="74">
        <v>0.17472562536145647</v>
      </c>
      <c r="H16" s="74">
        <v>0.11823868433123053</v>
      </c>
      <c r="I16" s="75">
        <v>50.988360814742926</v>
      </c>
      <c r="J16" s="76">
        <v>6.5012749038419981</v>
      </c>
      <c r="K16" s="89">
        <v>0.35267700025280441</v>
      </c>
      <c r="L16" s="75">
        <v>55.373754428881959</v>
      </c>
      <c r="M16" s="75">
        <v>15.081863686824034</v>
      </c>
      <c r="N16" s="89">
        <v>0.56228839929369656</v>
      </c>
      <c r="O16" s="89">
        <v>0.22979965104386002</v>
      </c>
      <c r="P16" s="89">
        <v>8.7993553585817841E-2</v>
      </c>
      <c r="Q16" s="89">
        <v>0.13587776618162239</v>
      </c>
      <c r="R16" s="79">
        <v>39.651794374393788</v>
      </c>
    </row>
    <row r="17" spans="2:18" x14ac:dyDescent="0.35">
      <c r="B17" s="71">
        <v>2017</v>
      </c>
      <c r="C17" s="72" t="s">
        <v>107</v>
      </c>
      <c r="D17" s="77">
        <v>-1.6540586174575989E-2</v>
      </c>
      <c r="E17" s="77">
        <v>0.1026175122220323</v>
      </c>
      <c r="F17" s="74">
        <v>0.56559686447363478</v>
      </c>
      <c r="G17" s="74">
        <v>0.19589576514205465</v>
      </c>
      <c r="H17" s="74">
        <v>0.13494733675916179</v>
      </c>
      <c r="I17" s="75">
        <v>69.919782870928813</v>
      </c>
      <c r="J17" s="76">
        <v>4.7212391498595858</v>
      </c>
      <c r="K17" s="89">
        <v>0.34337914072443326</v>
      </c>
      <c r="L17" s="75">
        <v>76.251168088086942</v>
      </c>
      <c r="M17" s="75">
        <v>15.025271258358273</v>
      </c>
      <c r="N17" s="89">
        <v>0.60626626665305072</v>
      </c>
      <c r="O17" s="89">
        <v>-0.20656295100413391</v>
      </c>
      <c r="P17" s="89">
        <v>-0.3813755986767392</v>
      </c>
      <c r="Q17" s="89">
        <v>0.10962369398035415</v>
      </c>
      <c r="R17" s="79">
        <v>39.127261761158024</v>
      </c>
    </row>
    <row r="18" spans="2:18" x14ac:dyDescent="0.35">
      <c r="B18" s="71">
        <v>2018</v>
      </c>
      <c r="C18" s="72" t="s">
        <v>107</v>
      </c>
      <c r="D18" s="77">
        <v>6.8304214918069039E-2</v>
      </c>
      <c r="E18" s="77">
        <v>-1.9210365143581321E-2</v>
      </c>
      <c r="F18" s="74">
        <v>0.67352579852579852</v>
      </c>
      <c r="G18" s="74">
        <v>0.1798481493198355</v>
      </c>
      <c r="H18" s="74">
        <v>0.12875672255615311</v>
      </c>
      <c r="I18" s="75">
        <v>71.0625</v>
      </c>
      <c r="J18" s="76">
        <v>4.1839841164791531</v>
      </c>
      <c r="K18" s="89">
        <v>0.32009437672040897</v>
      </c>
      <c r="L18" s="75">
        <v>86.042391648212586</v>
      </c>
      <c r="M18" s="75">
        <v>19.360961720974377</v>
      </c>
      <c r="N18" s="89">
        <v>0.59282907662082518</v>
      </c>
      <c r="O18" s="89">
        <v>-0.20459975644721229</v>
      </c>
      <c r="P18" s="89">
        <v>-1.4709074946124989</v>
      </c>
      <c r="Q18" s="89">
        <v>8.1619740588421391E-2</v>
      </c>
      <c r="R18" s="79">
        <v>32.25</v>
      </c>
    </row>
    <row r="19" spans="2:18" x14ac:dyDescent="0.35">
      <c r="B19" s="71">
        <v>2019</v>
      </c>
      <c r="C19" s="72" t="s">
        <v>107</v>
      </c>
      <c r="D19" s="77">
        <v>0.1600759253400823</v>
      </c>
      <c r="E19" s="77">
        <v>0.16534740545294646</v>
      </c>
      <c r="F19" s="74">
        <v>0.55004488330341117</v>
      </c>
      <c r="G19" s="74">
        <v>0.18066539405508591</v>
      </c>
      <c r="H19" s="74">
        <v>0.15189528224706844</v>
      </c>
      <c r="I19" s="75">
        <v>33.125</v>
      </c>
      <c r="J19" s="76">
        <v>5.1977321048901493</v>
      </c>
      <c r="K19" s="89">
        <v>0.37445378151260506</v>
      </c>
      <c r="L19" s="75">
        <v>69.260976274884101</v>
      </c>
      <c r="M19" s="75">
        <v>25.37769293700573</v>
      </c>
      <c r="N19" s="89">
        <v>0.58129084967320266</v>
      </c>
      <c r="O19" s="89">
        <v>1.058139534883721</v>
      </c>
      <c r="P19" s="89">
        <v>-7.2203389830508478</v>
      </c>
      <c r="Q19" s="89">
        <v>0.14480501772566132</v>
      </c>
      <c r="R19" s="79">
        <v>26.55</v>
      </c>
    </row>
    <row r="20" spans="2:18" x14ac:dyDescent="0.35">
      <c r="B20" s="71">
        <v>2020</v>
      </c>
      <c r="C20" s="72" t="s">
        <v>107</v>
      </c>
      <c r="D20" s="77">
        <v>-2.5906735751295429E-3</v>
      </c>
      <c r="E20" s="77">
        <v>0.10867924528301898</v>
      </c>
      <c r="F20" s="74">
        <v>0.85284035259549462</v>
      </c>
      <c r="G20" s="74">
        <v>0.20082023239917976</v>
      </c>
      <c r="H20" s="74">
        <v>0.1395762132604238</v>
      </c>
      <c r="I20" s="75">
        <v>29.38</v>
      </c>
      <c r="J20" s="76">
        <v>5.3007246376811592</v>
      </c>
      <c r="K20" s="89">
        <v>0.33774396295071124</v>
      </c>
      <c r="L20" s="75">
        <v>67.915242652084757</v>
      </c>
      <c r="M20" s="75">
        <v>26.526315789473681</v>
      </c>
      <c r="N20" s="89">
        <v>0.58299758259468171</v>
      </c>
      <c r="O20" s="89">
        <v>0.14312617702448205</v>
      </c>
      <c r="P20" s="89">
        <v>-0.94005449591280654</v>
      </c>
      <c r="Q20" s="89">
        <v>0.16596035543403964</v>
      </c>
      <c r="R20" s="79">
        <v>24.28</v>
      </c>
    </row>
    <row r="21" spans="2:18" x14ac:dyDescent="0.35">
      <c r="B21" s="71">
        <v>2021</v>
      </c>
      <c r="C21" s="72" t="s">
        <v>107</v>
      </c>
      <c r="D21" s="77">
        <v>0.10020505809979485</v>
      </c>
      <c r="E21" s="77">
        <v>8.1688223281143557E-2</v>
      </c>
      <c r="F21" s="74">
        <v>0.82551194539249151</v>
      </c>
      <c r="G21" s="74">
        <v>0.19744035785288269</v>
      </c>
      <c r="H21" s="74">
        <v>0.14562624254473161</v>
      </c>
      <c r="I21" s="75">
        <v>46.735294117647058</v>
      </c>
      <c r="J21" s="76">
        <v>7.1474245115452932</v>
      </c>
      <c r="K21" s="89">
        <v>0.36172839506172838</v>
      </c>
      <c r="L21" s="75">
        <v>50.367793240556658</v>
      </c>
      <c r="M21" s="75">
        <v>17.355864811133198</v>
      </c>
      <c r="N21" s="89">
        <v>0.57335053446369333</v>
      </c>
      <c r="O21" s="89">
        <v>0.65321252059308077</v>
      </c>
      <c r="P21" s="89">
        <v>41.409090909090907</v>
      </c>
      <c r="Q21" s="89">
        <v>0.24937872763419483</v>
      </c>
      <c r="R21" s="79">
        <v>59.029411764705884</v>
      </c>
    </row>
    <row r="22" spans="2:18" x14ac:dyDescent="0.35">
      <c r="B22" s="71">
        <v>2022</v>
      </c>
      <c r="C22" s="72" t="s">
        <v>107</v>
      </c>
      <c r="D22" s="77">
        <v>0.18190854870775341</v>
      </c>
      <c r="E22" s="77">
        <v>5.7898049087476311E-2</v>
      </c>
      <c r="F22" s="74">
        <v>0.97408163265306125</v>
      </c>
      <c r="G22" s="74">
        <v>0.17672413793103448</v>
      </c>
      <c r="H22" s="74">
        <v>0.12878469301934398</v>
      </c>
      <c r="I22" s="75">
        <v>43.102564102564102</v>
      </c>
      <c r="J22" s="76">
        <v>6.736543909348442</v>
      </c>
      <c r="K22" s="89">
        <v>0.36589008363201914</v>
      </c>
      <c r="L22" s="75">
        <v>53.439865433137093</v>
      </c>
      <c r="M22" s="75">
        <v>24.676198486122793</v>
      </c>
      <c r="N22" s="89">
        <v>0.56702483706182838</v>
      </c>
      <c r="O22" s="89">
        <v>-0.49377179870453414</v>
      </c>
      <c r="P22" s="89">
        <v>-1.472668810289389</v>
      </c>
      <c r="Q22" s="89">
        <v>0.10681244743481917</v>
      </c>
      <c r="R22" s="79">
        <v>26.051282051282051</v>
      </c>
    </row>
    <row r="23" spans="2:18" ht="15" thickBot="1" x14ac:dyDescent="0.4">
      <c r="B23" s="80">
        <v>2023</v>
      </c>
      <c r="C23" s="81" t="s">
        <v>107</v>
      </c>
      <c r="D23" s="86">
        <v>2.6492851135407891E-2</v>
      </c>
      <c r="E23" s="86">
        <v>7.6740035693039887E-2</v>
      </c>
      <c r="F23" s="83">
        <v>0.44585253456221197</v>
      </c>
      <c r="G23" s="83">
        <v>0.18537484637443671</v>
      </c>
      <c r="H23" s="83">
        <v>0.13334698893895944</v>
      </c>
      <c r="I23" s="84">
        <v>32.321428571428569</v>
      </c>
      <c r="J23" s="85">
        <v>7.9706122448979588</v>
      </c>
      <c r="K23" s="90">
        <v>0.34272176888654909</v>
      </c>
      <c r="L23" s="84">
        <v>45.165915608357231</v>
      </c>
      <c r="M23" s="84">
        <v>37.423187218353135</v>
      </c>
      <c r="N23" s="90">
        <v>0.53970588235294115</v>
      </c>
      <c r="O23" s="90">
        <v>0.39665354330708658</v>
      </c>
      <c r="P23" s="90">
        <v>-3.1043083900226756</v>
      </c>
      <c r="Q23" s="90">
        <v>0.14532978287587053</v>
      </c>
      <c r="R23" s="88">
        <v>25.339285714285715</v>
      </c>
    </row>
    <row r="24" spans="2:18" x14ac:dyDescent="0.35">
      <c r="B24" s="52"/>
      <c r="C24" s="51"/>
    </row>
    <row r="25" spans="2:18" x14ac:dyDescent="0.35">
      <c r="B25" s="53"/>
      <c r="C25" s="54"/>
      <c r="D25" s="55"/>
      <c r="E25" s="55"/>
      <c r="F25" s="55"/>
      <c r="G25" s="55"/>
      <c r="H25" s="55"/>
      <c r="I25" s="55"/>
      <c r="J25" s="60"/>
      <c r="K25" s="55"/>
      <c r="L25" s="55"/>
    </row>
    <row r="26" spans="2:18" x14ac:dyDescent="0.35">
      <c r="B26" s="53"/>
      <c r="C26" s="55"/>
      <c r="D26" s="56"/>
      <c r="E26" s="56"/>
      <c r="F26" s="56"/>
      <c r="G26" s="56"/>
      <c r="H26" s="56"/>
      <c r="I26" s="56"/>
      <c r="J26" s="61"/>
      <c r="K26" s="56"/>
      <c r="L26" s="56"/>
    </row>
    <row r="27" spans="2:18" x14ac:dyDescent="0.35">
      <c r="B27" s="53"/>
      <c r="C27" s="56"/>
      <c r="D27" s="243"/>
      <c r="E27" s="243"/>
      <c r="F27" s="243"/>
      <c r="G27" s="243"/>
      <c r="H27" s="243"/>
      <c r="I27" s="56"/>
      <c r="J27" s="61"/>
      <c r="K27" s="56"/>
      <c r="L27" s="56"/>
    </row>
    <row r="28" spans="2:18" x14ac:dyDescent="0.35">
      <c r="B28" s="53"/>
      <c r="C28" s="56"/>
      <c r="D28" s="55"/>
      <c r="E28" s="55"/>
      <c r="F28" s="55"/>
      <c r="G28" s="55"/>
      <c r="H28" s="55"/>
      <c r="I28" s="55"/>
      <c r="J28" s="60"/>
      <c r="K28" s="55"/>
      <c r="L28" s="55"/>
    </row>
    <row r="29" spans="2:18" x14ac:dyDescent="0.35">
      <c r="B29" s="53"/>
      <c r="C29" s="55"/>
      <c r="D29" s="55"/>
      <c r="E29" s="50"/>
      <c r="F29" s="54"/>
      <c r="G29" s="54"/>
      <c r="H29" s="54"/>
      <c r="I29" s="54"/>
      <c r="J29" s="91"/>
      <c r="K29" s="54"/>
      <c r="L29" s="54"/>
      <c r="M29" s="92"/>
      <c r="N29" s="92"/>
      <c r="O29" s="92"/>
    </row>
    <row r="30" spans="2:18" x14ac:dyDescent="0.35">
      <c r="B30" s="53"/>
      <c r="C30" s="50"/>
      <c r="D30" s="55"/>
      <c r="E30" s="50"/>
      <c r="F30" s="50"/>
      <c r="G30" s="54"/>
      <c r="H30" s="54"/>
      <c r="I30" s="54"/>
      <c r="J30" s="91"/>
      <c r="K30" s="54"/>
      <c r="L30" s="54"/>
      <c r="M30" s="92"/>
      <c r="N30" s="92"/>
      <c r="O30" s="92"/>
      <c r="P30" s="92"/>
    </row>
    <row r="31" spans="2:18" x14ac:dyDescent="0.35">
      <c r="B31" s="53"/>
      <c r="C31" s="50"/>
      <c r="D31" s="55"/>
      <c r="E31" s="54"/>
      <c r="F31" s="55"/>
      <c r="G31" s="50"/>
      <c r="H31" s="55"/>
      <c r="I31" s="55"/>
      <c r="J31" s="60"/>
      <c r="K31" s="55"/>
      <c r="L31" s="55"/>
    </row>
    <row r="32" spans="2:18" x14ac:dyDescent="0.35">
      <c r="B32" s="53"/>
      <c r="C32" s="55"/>
      <c r="D32" s="56"/>
      <c r="E32" s="54"/>
      <c r="F32" s="56"/>
      <c r="G32" s="54"/>
      <c r="H32" s="56"/>
      <c r="I32" s="56"/>
      <c r="J32" s="61"/>
      <c r="K32" s="56"/>
      <c r="L32" s="56"/>
    </row>
    <row r="33" spans="2:12" x14ac:dyDescent="0.35">
      <c r="B33" s="53"/>
      <c r="C33" s="56"/>
      <c r="D33" s="57"/>
      <c r="E33" s="54"/>
      <c r="F33" s="57"/>
      <c r="G33" s="54"/>
      <c r="H33" s="57"/>
      <c r="I33" s="57"/>
      <c r="J33" s="62"/>
      <c r="K33" s="57"/>
      <c r="L33" s="57"/>
    </row>
    <row r="34" spans="2:12" x14ac:dyDescent="0.35">
      <c r="B34" s="49"/>
      <c r="C34" s="57"/>
      <c r="D34" s="57"/>
      <c r="E34" s="54"/>
      <c r="F34" s="57"/>
      <c r="G34" s="54"/>
      <c r="H34" s="57"/>
      <c r="I34" s="57"/>
      <c r="J34" s="62"/>
      <c r="K34" s="57"/>
      <c r="L34" s="57"/>
    </row>
    <row r="35" spans="2:12" x14ac:dyDescent="0.35">
      <c r="B35" s="49"/>
      <c r="C35" s="57"/>
      <c r="E35" s="91"/>
      <c r="G35" s="91"/>
    </row>
    <row r="36" spans="2:12" x14ac:dyDescent="0.35">
      <c r="E36" s="54"/>
      <c r="G36" s="54"/>
    </row>
    <row r="37" spans="2:12" x14ac:dyDescent="0.35">
      <c r="E37" s="54"/>
      <c r="G37" s="54"/>
    </row>
    <row r="38" spans="2:12" x14ac:dyDescent="0.35">
      <c r="E38" s="92"/>
      <c r="G38" s="92"/>
    </row>
    <row r="39" spans="2:12" x14ac:dyDescent="0.35">
      <c r="E39" s="92"/>
      <c r="G39" s="92"/>
    </row>
    <row r="40" spans="2:12" x14ac:dyDescent="0.35">
      <c r="E40" s="92"/>
      <c r="G40" s="92"/>
    </row>
    <row r="41" spans="2:12" x14ac:dyDescent="0.35">
      <c r="G41" s="9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CAF88-898E-441D-8D7D-CD79637E90A5}">
  <dimension ref="B2:AR55"/>
  <sheetViews>
    <sheetView showGridLines="0" zoomScale="44" zoomScaleNormal="44" workbookViewId="0">
      <selection activeCell="B2" sqref="B2:AP3"/>
    </sheetView>
  </sheetViews>
  <sheetFormatPr defaultRowHeight="14.5" x14ac:dyDescent="0.35"/>
  <cols>
    <col min="1" max="8" width="8.7265625" style="226"/>
    <col min="9" max="9" width="8.26953125" style="226" customWidth="1"/>
    <col min="10" max="16384" width="8.7265625" style="226"/>
  </cols>
  <sheetData>
    <row r="2" spans="2:44" ht="34" customHeight="1" x14ac:dyDescent="0.35">
      <c r="B2" s="239" t="s">
        <v>290</v>
      </c>
      <c r="C2" s="240"/>
      <c r="D2" s="240"/>
      <c r="E2" s="240"/>
      <c r="F2" s="240"/>
      <c r="G2" s="240"/>
      <c r="H2" s="240"/>
      <c r="I2" s="240"/>
      <c r="J2" s="240"/>
      <c r="K2" s="240"/>
      <c r="L2" s="240"/>
      <c r="M2" s="240"/>
      <c r="N2" s="240"/>
      <c r="O2" s="240"/>
      <c r="P2" s="240"/>
      <c r="Q2" s="240"/>
      <c r="R2" s="240"/>
      <c r="S2" s="240"/>
      <c r="T2" s="240"/>
      <c r="U2" s="240"/>
      <c r="V2" s="240"/>
      <c r="W2" s="240"/>
      <c r="X2" s="240"/>
      <c r="Y2" s="240"/>
      <c r="Z2" s="240"/>
      <c r="AA2" s="240"/>
      <c r="AB2" s="240"/>
      <c r="AC2" s="240"/>
      <c r="AD2" s="240"/>
      <c r="AE2" s="240"/>
      <c r="AF2" s="240"/>
      <c r="AG2" s="240"/>
      <c r="AH2" s="240"/>
      <c r="AI2" s="240"/>
      <c r="AJ2" s="240"/>
      <c r="AK2" s="240"/>
      <c r="AL2" s="240"/>
      <c r="AM2" s="240"/>
      <c r="AN2" s="240"/>
      <c r="AO2" s="240"/>
      <c r="AP2" s="240"/>
    </row>
    <row r="3" spans="2:44" x14ac:dyDescent="0.35">
      <c r="B3" s="240"/>
      <c r="C3" s="240"/>
      <c r="D3" s="240"/>
      <c r="E3" s="240"/>
      <c r="F3" s="240"/>
      <c r="G3" s="240"/>
      <c r="H3" s="240"/>
      <c r="I3" s="240"/>
      <c r="J3" s="240"/>
      <c r="K3" s="240"/>
      <c r="L3" s="240"/>
      <c r="M3" s="240"/>
      <c r="N3" s="240"/>
      <c r="O3" s="240"/>
      <c r="P3" s="240"/>
      <c r="Q3" s="240"/>
      <c r="R3" s="240"/>
      <c r="S3" s="240"/>
      <c r="T3" s="240"/>
      <c r="U3" s="240"/>
      <c r="V3" s="240"/>
      <c r="W3" s="240"/>
      <c r="X3" s="240"/>
      <c r="Y3" s="240"/>
      <c r="Z3" s="240"/>
      <c r="AA3" s="240"/>
      <c r="AB3" s="240"/>
      <c r="AC3" s="240"/>
      <c r="AD3" s="240"/>
      <c r="AE3" s="240"/>
      <c r="AF3" s="240"/>
      <c r="AG3" s="240"/>
      <c r="AH3" s="240"/>
      <c r="AI3" s="240"/>
      <c r="AJ3" s="240"/>
      <c r="AK3" s="240"/>
      <c r="AL3" s="240"/>
      <c r="AM3" s="240"/>
      <c r="AN3" s="240"/>
      <c r="AO3" s="240"/>
      <c r="AP3" s="240"/>
    </row>
    <row r="6" spans="2:44" x14ac:dyDescent="0.35">
      <c r="B6" s="227"/>
      <c r="C6" s="227"/>
      <c r="D6" s="227"/>
      <c r="E6" s="227"/>
      <c r="F6" s="227"/>
      <c r="G6" s="227"/>
      <c r="H6" s="227"/>
      <c r="I6" s="227"/>
      <c r="J6" s="227"/>
      <c r="K6" s="227"/>
      <c r="L6" s="227"/>
      <c r="M6" s="227"/>
      <c r="N6" s="227"/>
      <c r="O6" s="227"/>
      <c r="P6" s="227"/>
      <c r="Q6" s="227"/>
      <c r="R6" s="227"/>
      <c r="S6" s="227"/>
      <c r="T6" s="227"/>
      <c r="U6" s="227"/>
      <c r="V6" s="227"/>
      <c r="W6" s="227"/>
      <c r="X6" s="227"/>
      <c r="Y6" s="227"/>
      <c r="Z6" s="227"/>
      <c r="AA6" s="227"/>
      <c r="AB6" s="227"/>
      <c r="AC6" s="227"/>
      <c r="AD6" s="227"/>
      <c r="AE6" s="227"/>
      <c r="AF6" s="227"/>
      <c r="AG6" s="227"/>
      <c r="AH6" s="227"/>
      <c r="AI6" s="227"/>
      <c r="AJ6" s="227"/>
      <c r="AK6" s="227"/>
      <c r="AL6" s="227"/>
      <c r="AM6" s="227"/>
      <c r="AN6" s="227"/>
      <c r="AO6" s="227"/>
      <c r="AP6" s="227"/>
      <c r="AQ6" s="227"/>
      <c r="AR6" s="227"/>
    </row>
    <row r="7" spans="2:44" x14ac:dyDescent="0.35">
      <c r="B7" s="227"/>
      <c r="C7" s="227"/>
      <c r="D7" s="227"/>
      <c r="E7" s="227"/>
      <c r="F7" s="227"/>
      <c r="G7" s="227"/>
      <c r="H7" s="227"/>
      <c r="I7" s="227"/>
      <c r="J7" s="227"/>
      <c r="K7" s="227"/>
      <c r="L7" s="227"/>
      <c r="M7" s="227"/>
      <c r="N7" s="227"/>
      <c r="O7" s="227"/>
      <c r="P7" s="227"/>
      <c r="Q7" s="227"/>
      <c r="R7" s="227"/>
      <c r="S7" s="227"/>
      <c r="T7" s="227"/>
      <c r="U7" s="227"/>
      <c r="V7" s="227"/>
      <c r="W7" s="227"/>
      <c r="X7" s="227"/>
      <c r="Y7" s="227"/>
      <c r="Z7" s="227"/>
      <c r="AA7" s="227"/>
      <c r="AB7" s="227"/>
      <c r="AC7" s="227"/>
      <c r="AD7" s="227"/>
      <c r="AE7" s="227"/>
      <c r="AF7" s="227"/>
      <c r="AG7" s="227"/>
      <c r="AH7" s="227"/>
      <c r="AI7" s="227"/>
      <c r="AJ7" s="227"/>
      <c r="AK7" s="227"/>
      <c r="AL7" s="227"/>
      <c r="AM7" s="227"/>
      <c r="AN7" s="227"/>
      <c r="AO7" s="227"/>
      <c r="AP7" s="227"/>
      <c r="AQ7" s="227"/>
      <c r="AR7" s="227"/>
    </row>
    <row r="8" spans="2:44" x14ac:dyDescent="0.35">
      <c r="B8" s="227"/>
      <c r="C8" s="227"/>
      <c r="D8" s="227"/>
      <c r="E8" s="227"/>
      <c r="F8" s="227"/>
      <c r="G8" s="227"/>
      <c r="H8" s="227"/>
      <c r="I8" s="227"/>
      <c r="J8" s="227"/>
      <c r="K8" s="227"/>
      <c r="L8" s="227"/>
      <c r="M8" s="227"/>
      <c r="N8" s="227"/>
      <c r="O8" s="227"/>
      <c r="P8" s="227"/>
      <c r="Q8" s="227"/>
      <c r="R8" s="227"/>
      <c r="S8" s="227"/>
      <c r="T8" s="227"/>
      <c r="U8" s="227"/>
      <c r="V8" s="227"/>
      <c r="W8" s="227"/>
      <c r="X8" s="227"/>
      <c r="Y8" s="227"/>
      <c r="Z8" s="227"/>
      <c r="AA8" s="227"/>
      <c r="AB8" s="227"/>
      <c r="AC8" s="227"/>
      <c r="AD8" s="227"/>
      <c r="AE8" s="227"/>
      <c r="AF8" s="227"/>
      <c r="AG8" s="227"/>
      <c r="AH8" s="227"/>
      <c r="AI8" s="227"/>
      <c r="AJ8" s="227"/>
      <c r="AK8" s="227"/>
      <c r="AL8" s="227"/>
      <c r="AM8" s="227"/>
      <c r="AN8" s="227"/>
      <c r="AO8" s="227"/>
      <c r="AP8" s="227"/>
      <c r="AQ8" s="227"/>
      <c r="AR8" s="227"/>
    </row>
    <row r="9" spans="2:44" x14ac:dyDescent="0.35">
      <c r="B9" s="227"/>
      <c r="C9" s="227"/>
      <c r="D9" s="227"/>
      <c r="E9" s="227"/>
      <c r="F9" s="227"/>
      <c r="G9" s="227"/>
      <c r="H9" s="227"/>
      <c r="I9" s="227"/>
      <c r="J9" s="227"/>
      <c r="K9" s="227"/>
      <c r="L9" s="227"/>
      <c r="M9" s="227"/>
      <c r="N9" s="227"/>
      <c r="O9" s="227"/>
      <c r="P9" s="227"/>
      <c r="Q9" s="227"/>
      <c r="R9" s="227"/>
      <c r="S9" s="227"/>
      <c r="T9" s="227"/>
      <c r="U9" s="227"/>
      <c r="V9" s="227"/>
      <c r="W9" s="227"/>
      <c r="X9" s="227"/>
      <c r="Y9" s="227"/>
      <c r="Z9" s="227"/>
      <c r="AA9" s="227"/>
      <c r="AB9" s="227"/>
      <c r="AC9" s="227"/>
      <c r="AD9" s="227"/>
      <c r="AE9" s="227"/>
      <c r="AF9" s="227"/>
      <c r="AG9" s="227"/>
      <c r="AH9" s="227"/>
      <c r="AI9" s="227"/>
      <c r="AJ9" s="227"/>
      <c r="AK9" s="227"/>
      <c r="AL9" s="227"/>
      <c r="AM9" s="227"/>
      <c r="AN9" s="227"/>
      <c r="AO9" s="227"/>
      <c r="AP9" s="227"/>
      <c r="AQ9" s="227"/>
      <c r="AR9" s="227"/>
    </row>
    <row r="10" spans="2:44" x14ac:dyDescent="0.35">
      <c r="B10" s="227"/>
      <c r="C10" s="227"/>
      <c r="D10" s="227"/>
      <c r="E10" s="227"/>
      <c r="F10" s="227"/>
      <c r="G10" s="227"/>
      <c r="H10" s="227"/>
      <c r="I10" s="227"/>
      <c r="J10" s="227"/>
      <c r="K10" s="227"/>
      <c r="L10" s="227"/>
      <c r="M10" s="227"/>
      <c r="N10" s="227"/>
      <c r="O10" s="227"/>
      <c r="P10" s="227"/>
      <c r="Q10" s="227"/>
      <c r="R10" s="227"/>
      <c r="S10" s="227"/>
      <c r="T10" s="227"/>
      <c r="U10" s="227"/>
      <c r="V10" s="227"/>
      <c r="W10" s="227"/>
      <c r="X10" s="227"/>
      <c r="Y10" s="227"/>
      <c r="Z10" s="227"/>
      <c r="AA10" s="227"/>
      <c r="AB10" s="227"/>
      <c r="AC10" s="227"/>
      <c r="AD10" s="227"/>
      <c r="AE10" s="227"/>
      <c r="AF10" s="227"/>
      <c r="AG10" s="227"/>
      <c r="AH10" s="227"/>
      <c r="AI10" s="227"/>
      <c r="AJ10" s="227"/>
      <c r="AK10" s="227"/>
      <c r="AL10" s="227"/>
      <c r="AM10" s="227"/>
      <c r="AN10" s="227"/>
      <c r="AO10" s="227"/>
      <c r="AP10" s="227"/>
      <c r="AQ10" s="227"/>
      <c r="AR10" s="227"/>
    </row>
    <row r="11" spans="2:44" x14ac:dyDescent="0.35">
      <c r="B11" s="227"/>
      <c r="C11" s="227"/>
      <c r="D11" s="227"/>
      <c r="E11" s="227"/>
      <c r="F11" s="227"/>
      <c r="G11" s="227"/>
      <c r="H11" s="227"/>
      <c r="I11" s="227"/>
      <c r="J11" s="227"/>
      <c r="K11" s="227"/>
      <c r="L11" s="227"/>
      <c r="M11" s="227"/>
      <c r="N11" s="227"/>
      <c r="O11" s="227"/>
      <c r="P11" s="227"/>
      <c r="Q11" s="227"/>
      <c r="R11" s="227"/>
      <c r="S11" s="227"/>
      <c r="T11" s="227"/>
      <c r="U11" s="227"/>
      <c r="V11" s="227"/>
      <c r="W11" s="227"/>
      <c r="X11" s="227"/>
      <c r="Y11" s="227"/>
      <c r="Z11" s="227"/>
      <c r="AA11" s="227"/>
      <c r="AB11" s="227"/>
      <c r="AC11" s="227"/>
      <c r="AD11" s="227"/>
      <c r="AE11" s="227"/>
      <c r="AF11" s="227"/>
      <c r="AG11" s="227"/>
      <c r="AH11" s="227"/>
      <c r="AI11" s="227"/>
      <c r="AJ11" s="227"/>
      <c r="AK11" s="227"/>
      <c r="AL11" s="227"/>
      <c r="AM11" s="227"/>
      <c r="AN11" s="227"/>
      <c r="AO11" s="227"/>
      <c r="AP11" s="227"/>
      <c r="AQ11" s="227"/>
      <c r="AR11" s="227"/>
    </row>
    <row r="12" spans="2:44" x14ac:dyDescent="0.35">
      <c r="B12" s="227"/>
      <c r="C12" s="227"/>
      <c r="D12" s="227"/>
      <c r="E12" s="227"/>
      <c r="F12" s="227"/>
      <c r="G12" s="227"/>
      <c r="H12" s="227"/>
      <c r="I12" s="227"/>
      <c r="J12" s="227"/>
      <c r="K12" s="227"/>
      <c r="L12" s="227"/>
      <c r="M12" s="227"/>
      <c r="N12" s="227"/>
      <c r="O12" s="227"/>
      <c r="P12" s="227"/>
      <c r="Q12" s="227"/>
      <c r="R12" s="227"/>
      <c r="S12" s="227"/>
      <c r="T12" s="227"/>
      <c r="U12" s="227"/>
      <c r="V12" s="227"/>
      <c r="W12" s="227"/>
      <c r="X12" s="227"/>
      <c r="Y12" s="227"/>
      <c r="Z12" s="227"/>
      <c r="AA12" s="227"/>
      <c r="AB12" s="227"/>
      <c r="AC12" s="227"/>
      <c r="AD12" s="227"/>
      <c r="AE12" s="227"/>
      <c r="AF12" s="227"/>
      <c r="AG12" s="227"/>
      <c r="AH12" s="227"/>
      <c r="AI12" s="227"/>
      <c r="AJ12" s="227"/>
      <c r="AK12" s="227"/>
      <c r="AL12" s="227"/>
      <c r="AM12" s="227"/>
      <c r="AN12" s="227"/>
      <c r="AO12" s="227"/>
      <c r="AP12" s="227"/>
      <c r="AQ12" s="227"/>
      <c r="AR12" s="227"/>
    </row>
    <row r="13" spans="2:44" x14ac:dyDescent="0.35">
      <c r="B13" s="227"/>
      <c r="C13" s="227"/>
      <c r="D13" s="227"/>
      <c r="E13" s="227"/>
      <c r="F13" s="227"/>
      <c r="G13" s="227"/>
      <c r="H13" s="227"/>
      <c r="I13" s="227"/>
      <c r="J13" s="227"/>
      <c r="K13" s="227"/>
      <c r="L13" s="227"/>
      <c r="M13" s="227"/>
      <c r="N13" s="227"/>
      <c r="O13" s="227"/>
      <c r="P13" s="227"/>
      <c r="Q13" s="227"/>
      <c r="R13" s="227"/>
      <c r="S13" s="227"/>
      <c r="T13" s="227"/>
      <c r="U13" s="227"/>
      <c r="V13" s="227"/>
      <c r="W13" s="227"/>
      <c r="X13" s="227"/>
      <c r="Y13" s="227"/>
      <c r="Z13" s="227"/>
      <c r="AA13" s="227"/>
      <c r="AB13" s="227"/>
      <c r="AC13" s="227"/>
      <c r="AD13" s="227"/>
      <c r="AE13" s="227"/>
      <c r="AF13" s="227"/>
      <c r="AG13" s="227"/>
      <c r="AH13" s="227"/>
      <c r="AI13" s="227"/>
      <c r="AJ13" s="227"/>
      <c r="AK13" s="227"/>
      <c r="AL13" s="227"/>
      <c r="AM13" s="227"/>
      <c r="AN13" s="227"/>
      <c r="AO13" s="227"/>
      <c r="AP13" s="227"/>
      <c r="AQ13" s="227"/>
      <c r="AR13" s="227"/>
    </row>
    <row r="14" spans="2:44" x14ac:dyDescent="0.35">
      <c r="B14" s="227"/>
      <c r="C14" s="227"/>
      <c r="D14" s="227"/>
      <c r="E14" s="227"/>
      <c r="F14" s="227"/>
      <c r="G14" s="227"/>
      <c r="H14" s="227"/>
      <c r="I14" s="227"/>
      <c r="J14" s="227"/>
      <c r="K14" s="227"/>
      <c r="L14" s="227"/>
      <c r="M14" s="227"/>
      <c r="N14" s="227"/>
      <c r="O14" s="227"/>
      <c r="P14" s="227"/>
      <c r="Q14" s="227"/>
      <c r="R14" s="227"/>
      <c r="S14" s="227"/>
      <c r="T14" s="227"/>
      <c r="U14" s="227"/>
      <c r="V14" s="227"/>
      <c r="W14" s="227"/>
      <c r="X14" s="227"/>
      <c r="Y14" s="227"/>
      <c r="Z14" s="227"/>
      <c r="AA14" s="227"/>
      <c r="AB14" s="227"/>
      <c r="AC14" s="227"/>
      <c r="AD14" s="227"/>
      <c r="AE14" s="227"/>
      <c r="AF14" s="227"/>
      <c r="AG14" s="227"/>
      <c r="AH14" s="227"/>
      <c r="AI14" s="227"/>
      <c r="AJ14" s="227"/>
      <c r="AK14" s="227"/>
      <c r="AL14" s="227"/>
      <c r="AM14" s="227"/>
      <c r="AN14" s="227"/>
      <c r="AO14" s="227"/>
      <c r="AP14" s="227"/>
      <c r="AQ14" s="227"/>
      <c r="AR14" s="227"/>
    </row>
    <row r="15" spans="2:44" x14ac:dyDescent="0.35">
      <c r="B15" s="227"/>
      <c r="C15" s="227"/>
      <c r="D15" s="227"/>
      <c r="E15" s="227"/>
      <c r="F15" s="227"/>
      <c r="G15" s="227"/>
      <c r="H15" s="227"/>
      <c r="I15" s="227"/>
      <c r="J15" s="227"/>
      <c r="K15" s="227"/>
      <c r="L15" s="227"/>
      <c r="M15" s="227"/>
      <c r="N15" s="227"/>
      <c r="O15" s="227"/>
      <c r="P15" s="227"/>
      <c r="Q15" s="227"/>
      <c r="R15" s="227"/>
      <c r="S15" s="227"/>
      <c r="T15" s="227"/>
      <c r="U15" s="227"/>
      <c r="V15" s="227"/>
      <c r="W15" s="227"/>
      <c r="X15" s="227"/>
      <c r="Y15" s="227"/>
      <c r="Z15" s="227"/>
      <c r="AA15" s="227"/>
      <c r="AB15" s="227"/>
      <c r="AC15" s="227"/>
      <c r="AD15" s="227"/>
      <c r="AE15" s="227"/>
      <c r="AF15" s="227"/>
      <c r="AG15" s="227"/>
      <c r="AH15" s="227"/>
      <c r="AI15" s="227"/>
      <c r="AJ15" s="227"/>
      <c r="AK15" s="227"/>
      <c r="AL15" s="227"/>
      <c r="AM15" s="227"/>
      <c r="AN15" s="227"/>
      <c r="AO15" s="227"/>
      <c r="AP15" s="227"/>
      <c r="AQ15" s="227"/>
      <c r="AR15" s="227"/>
    </row>
    <row r="16" spans="2:44" x14ac:dyDescent="0.35">
      <c r="B16" s="227"/>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row>
    <row r="17" spans="2:44" x14ac:dyDescent="0.35">
      <c r="B17" s="227"/>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row>
    <row r="18" spans="2:44" x14ac:dyDescent="0.35">
      <c r="B18" s="227"/>
      <c r="C18" s="227"/>
      <c r="D18" s="227"/>
      <c r="E18" s="227"/>
      <c r="F18" s="227"/>
      <c r="G18" s="227"/>
      <c r="H18" s="227"/>
      <c r="I18" s="227"/>
      <c r="J18" s="227"/>
      <c r="K18" s="227"/>
      <c r="L18" s="227"/>
      <c r="M18" s="227"/>
      <c r="N18" s="227"/>
      <c r="O18" s="227"/>
      <c r="P18" s="227"/>
      <c r="Q18" s="227"/>
      <c r="R18" s="227"/>
      <c r="S18" s="227"/>
      <c r="T18" s="227"/>
      <c r="U18" s="227"/>
      <c r="V18" s="227"/>
      <c r="W18" s="227"/>
      <c r="X18" s="227"/>
      <c r="Y18" s="227"/>
      <c r="Z18" s="227"/>
      <c r="AA18" s="227"/>
      <c r="AB18" s="227"/>
      <c r="AC18" s="227"/>
      <c r="AD18" s="227"/>
      <c r="AE18" s="227"/>
      <c r="AF18" s="227"/>
      <c r="AG18" s="227"/>
      <c r="AH18" s="227"/>
      <c r="AI18" s="227"/>
      <c r="AJ18" s="227"/>
      <c r="AK18" s="227"/>
      <c r="AL18" s="227"/>
      <c r="AM18" s="227"/>
      <c r="AN18" s="227"/>
      <c r="AO18" s="227"/>
      <c r="AP18" s="227"/>
      <c r="AQ18" s="227"/>
      <c r="AR18" s="227"/>
    </row>
    <row r="19" spans="2:44" x14ac:dyDescent="0.35">
      <c r="B19" s="227"/>
      <c r="C19" s="227"/>
      <c r="D19" s="227"/>
      <c r="E19" s="227"/>
      <c r="F19" s="227"/>
      <c r="G19" s="227"/>
      <c r="H19" s="227"/>
      <c r="I19" s="227"/>
      <c r="J19" s="227"/>
      <c r="K19" s="227"/>
      <c r="L19" s="227"/>
      <c r="M19" s="227"/>
      <c r="N19" s="227"/>
      <c r="O19" s="227"/>
      <c r="P19" s="227"/>
      <c r="Q19" s="227"/>
      <c r="R19" s="227"/>
      <c r="S19" s="227"/>
      <c r="T19" s="227"/>
      <c r="U19" s="227"/>
      <c r="V19" s="227"/>
      <c r="W19" s="227"/>
      <c r="X19" s="227"/>
      <c r="Y19" s="227"/>
      <c r="Z19" s="227"/>
      <c r="AA19" s="227"/>
      <c r="AB19" s="227"/>
      <c r="AC19" s="227"/>
      <c r="AD19" s="227"/>
      <c r="AE19" s="227"/>
      <c r="AF19" s="227"/>
      <c r="AG19" s="227"/>
      <c r="AH19" s="227"/>
      <c r="AI19" s="227"/>
      <c r="AJ19" s="227"/>
      <c r="AK19" s="227"/>
      <c r="AL19" s="227"/>
      <c r="AM19" s="227"/>
      <c r="AN19" s="227"/>
      <c r="AO19" s="227"/>
      <c r="AP19" s="227"/>
      <c r="AQ19" s="227"/>
      <c r="AR19" s="227"/>
    </row>
    <row r="20" spans="2:44" x14ac:dyDescent="0.35">
      <c r="B20" s="227"/>
      <c r="C20" s="227"/>
      <c r="D20" s="227"/>
      <c r="E20" s="227"/>
      <c r="F20" s="227"/>
      <c r="G20" s="227"/>
      <c r="H20" s="227"/>
      <c r="I20" s="227"/>
      <c r="J20" s="227"/>
      <c r="K20" s="227"/>
      <c r="L20" s="227"/>
      <c r="M20" s="227"/>
      <c r="N20" s="227"/>
      <c r="O20" s="227"/>
      <c r="P20" s="227"/>
      <c r="Q20" s="227"/>
      <c r="R20" s="227"/>
      <c r="S20" s="227"/>
      <c r="T20" s="227"/>
      <c r="U20" s="227"/>
      <c r="V20" s="227"/>
      <c r="W20" s="227"/>
      <c r="X20" s="227"/>
      <c r="Y20" s="227"/>
      <c r="Z20" s="227"/>
      <c r="AA20" s="227"/>
      <c r="AB20" s="227"/>
      <c r="AC20" s="227"/>
      <c r="AD20" s="227"/>
      <c r="AE20" s="227"/>
      <c r="AF20" s="227"/>
      <c r="AG20" s="227"/>
      <c r="AH20" s="227"/>
      <c r="AI20" s="227"/>
      <c r="AJ20" s="227"/>
      <c r="AK20" s="227"/>
      <c r="AL20" s="227"/>
      <c r="AM20" s="227"/>
      <c r="AN20" s="227"/>
      <c r="AO20" s="227"/>
      <c r="AP20" s="227"/>
      <c r="AQ20" s="227"/>
      <c r="AR20" s="227"/>
    </row>
    <row r="21" spans="2:44" x14ac:dyDescent="0.35">
      <c r="B21" s="227"/>
      <c r="C21" s="227"/>
      <c r="D21" s="227"/>
      <c r="E21" s="227"/>
      <c r="F21" s="227"/>
      <c r="G21" s="227"/>
      <c r="H21" s="227"/>
      <c r="I21" s="227"/>
      <c r="J21" s="227"/>
      <c r="K21" s="227"/>
      <c r="L21" s="227"/>
      <c r="M21" s="227"/>
      <c r="N21" s="227"/>
      <c r="O21" s="227"/>
      <c r="P21" s="227"/>
      <c r="Q21" s="227"/>
      <c r="R21" s="227"/>
      <c r="S21" s="227"/>
      <c r="T21" s="227"/>
      <c r="U21" s="227"/>
      <c r="V21" s="227"/>
      <c r="W21" s="227"/>
      <c r="X21" s="227"/>
      <c r="Y21" s="227"/>
      <c r="Z21" s="227"/>
      <c r="AA21" s="227"/>
      <c r="AB21" s="227"/>
      <c r="AC21" s="227"/>
      <c r="AD21" s="227"/>
      <c r="AE21" s="227"/>
      <c r="AF21" s="227"/>
      <c r="AG21" s="227"/>
      <c r="AH21" s="227"/>
      <c r="AI21" s="227"/>
      <c r="AJ21" s="227"/>
      <c r="AK21" s="227"/>
      <c r="AL21" s="227"/>
      <c r="AM21" s="227"/>
      <c r="AN21" s="227"/>
      <c r="AO21" s="227"/>
      <c r="AP21" s="227"/>
      <c r="AQ21" s="227"/>
      <c r="AR21" s="227"/>
    </row>
    <row r="22" spans="2:44" x14ac:dyDescent="0.35">
      <c r="B22" s="227"/>
      <c r="C22" s="227"/>
      <c r="D22" s="227"/>
      <c r="E22" s="227"/>
      <c r="F22" s="227"/>
      <c r="G22" s="227"/>
      <c r="H22" s="227"/>
      <c r="I22" s="227"/>
      <c r="J22" s="227"/>
      <c r="K22" s="227"/>
      <c r="L22" s="227"/>
      <c r="M22" s="227"/>
      <c r="N22" s="227"/>
      <c r="O22" s="227"/>
      <c r="P22" s="227"/>
      <c r="Q22" s="227"/>
      <c r="R22" s="227"/>
      <c r="S22" s="227"/>
      <c r="T22" s="227"/>
      <c r="U22" s="227"/>
      <c r="V22" s="227"/>
      <c r="W22" s="227"/>
      <c r="X22" s="227"/>
      <c r="Y22" s="227"/>
      <c r="Z22" s="227"/>
      <c r="AA22" s="227"/>
      <c r="AB22" s="227"/>
      <c r="AC22" s="227"/>
      <c r="AD22" s="227"/>
      <c r="AE22" s="227"/>
      <c r="AF22" s="227"/>
      <c r="AG22" s="227"/>
      <c r="AH22" s="227"/>
      <c r="AI22" s="227"/>
      <c r="AJ22" s="227"/>
      <c r="AK22" s="227"/>
      <c r="AL22" s="227"/>
      <c r="AM22" s="227"/>
      <c r="AN22" s="227"/>
      <c r="AO22" s="227"/>
      <c r="AP22" s="227"/>
      <c r="AQ22" s="227"/>
      <c r="AR22" s="227"/>
    </row>
    <row r="23" spans="2:44" x14ac:dyDescent="0.35">
      <c r="B23" s="227"/>
      <c r="C23" s="227"/>
      <c r="D23" s="227"/>
      <c r="E23" s="227"/>
      <c r="F23" s="227"/>
      <c r="G23" s="227"/>
      <c r="H23" s="227"/>
      <c r="I23" s="227"/>
      <c r="J23" s="227"/>
      <c r="K23" s="227"/>
      <c r="L23" s="227"/>
      <c r="M23" s="227"/>
      <c r="N23" s="227"/>
      <c r="O23" s="227"/>
      <c r="P23" s="227"/>
      <c r="Q23" s="227"/>
      <c r="R23" s="227"/>
      <c r="S23" s="227"/>
      <c r="T23" s="227"/>
      <c r="U23" s="227"/>
      <c r="V23" s="227"/>
      <c r="W23" s="227"/>
      <c r="X23" s="227"/>
      <c r="Y23" s="227"/>
      <c r="Z23" s="227"/>
      <c r="AA23" s="227"/>
      <c r="AB23" s="227"/>
      <c r="AC23" s="227"/>
      <c r="AD23" s="227"/>
      <c r="AE23" s="227"/>
      <c r="AF23" s="227"/>
      <c r="AG23" s="227"/>
      <c r="AH23" s="227"/>
      <c r="AI23" s="227"/>
      <c r="AJ23" s="227"/>
      <c r="AK23" s="227"/>
      <c r="AL23" s="227"/>
      <c r="AM23" s="227"/>
      <c r="AN23" s="227"/>
      <c r="AO23" s="227"/>
      <c r="AP23" s="227"/>
      <c r="AQ23" s="227"/>
      <c r="AR23" s="227"/>
    </row>
    <row r="24" spans="2:44" x14ac:dyDescent="0.35">
      <c r="B24" s="227"/>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row>
    <row r="25" spans="2:44" x14ac:dyDescent="0.35">
      <c r="B25" s="227"/>
      <c r="C25" s="227"/>
      <c r="D25" s="227"/>
      <c r="E25" s="227"/>
      <c r="F25" s="227"/>
      <c r="G25" s="227"/>
      <c r="H25" s="227"/>
      <c r="I25" s="227"/>
      <c r="J25" s="227"/>
      <c r="K25" s="227"/>
      <c r="L25" s="227"/>
      <c r="M25" s="227"/>
      <c r="N25" s="227"/>
      <c r="O25" s="227"/>
      <c r="P25" s="227"/>
      <c r="Q25" s="227"/>
      <c r="R25" s="227"/>
      <c r="S25" s="227"/>
      <c r="T25" s="227"/>
      <c r="U25" s="227"/>
      <c r="V25" s="227"/>
      <c r="W25" s="227"/>
      <c r="X25" s="227"/>
      <c r="Y25" s="227"/>
      <c r="Z25" s="227"/>
      <c r="AA25" s="227"/>
      <c r="AB25" s="227"/>
      <c r="AC25" s="227"/>
      <c r="AD25" s="227"/>
      <c r="AE25" s="227"/>
      <c r="AF25" s="227"/>
      <c r="AG25" s="227"/>
      <c r="AH25" s="227"/>
      <c r="AI25" s="227"/>
      <c r="AJ25" s="227"/>
      <c r="AK25" s="227"/>
      <c r="AL25" s="227"/>
      <c r="AM25" s="227"/>
      <c r="AN25" s="227"/>
      <c r="AO25" s="227"/>
      <c r="AP25" s="227"/>
      <c r="AQ25" s="227"/>
      <c r="AR25" s="227"/>
    </row>
    <row r="26" spans="2:44" x14ac:dyDescent="0.35">
      <c r="B26" s="227"/>
      <c r="C26" s="227"/>
      <c r="D26" s="227"/>
      <c r="E26" s="227"/>
      <c r="F26" s="227"/>
      <c r="G26" s="227"/>
      <c r="H26" s="227"/>
      <c r="I26" s="227"/>
      <c r="J26" s="227"/>
      <c r="K26" s="227"/>
      <c r="L26" s="227"/>
      <c r="M26" s="227"/>
      <c r="N26" s="227"/>
      <c r="O26" s="227"/>
      <c r="P26" s="227"/>
      <c r="Q26" s="227"/>
      <c r="R26" s="227"/>
      <c r="S26" s="227"/>
      <c r="T26" s="227"/>
      <c r="U26" s="227"/>
      <c r="V26" s="227"/>
      <c r="W26" s="227"/>
      <c r="X26" s="227"/>
      <c r="Y26" s="227"/>
      <c r="Z26" s="227"/>
      <c r="AA26" s="227"/>
      <c r="AB26" s="227"/>
      <c r="AC26" s="227"/>
      <c r="AD26" s="227"/>
      <c r="AE26" s="227"/>
      <c r="AF26" s="227"/>
      <c r="AG26" s="227"/>
      <c r="AH26" s="227"/>
      <c r="AI26" s="227"/>
      <c r="AJ26" s="227"/>
      <c r="AK26" s="227"/>
      <c r="AL26" s="227"/>
      <c r="AM26" s="227"/>
      <c r="AN26" s="227"/>
      <c r="AO26" s="227"/>
      <c r="AP26" s="227"/>
      <c r="AQ26" s="227"/>
      <c r="AR26" s="227"/>
    </row>
    <row r="27" spans="2:44" x14ac:dyDescent="0.35">
      <c r="B27" s="227"/>
      <c r="C27" s="227"/>
      <c r="D27" s="227"/>
      <c r="E27" s="227"/>
      <c r="F27" s="227"/>
      <c r="G27" s="227"/>
      <c r="H27" s="227"/>
      <c r="I27" s="227"/>
      <c r="J27" s="227"/>
      <c r="K27" s="227"/>
      <c r="L27" s="227"/>
      <c r="M27" s="227"/>
      <c r="N27" s="227"/>
      <c r="O27" s="227"/>
      <c r="P27" s="227"/>
      <c r="Q27" s="227"/>
      <c r="R27" s="227"/>
      <c r="S27" s="227"/>
      <c r="T27" s="227"/>
      <c r="U27" s="227"/>
      <c r="V27" s="227"/>
      <c r="W27" s="227"/>
      <c r="X27" s="227"/>
      <c r="Y27" s="227"/>
      <c r="Z27" s="227"/>
      <c r="AA27" s="227"/>
      <c r="AB27" s="227"/>
      <c r="AC27" s="227"/>
      <c r="AD27" s="227"/>
      <c r="AE27" s="227"/>
      <c r="AF27" s="227"/>
      <c r="AG27" s="227"/>
      <c r="AH27" s="227"/>
      <c r="AI27" s="227"/>
      <c r="AJ27" s="227"/>
      <c r="AK27" s="227"/>
      <c r="AL27" s="227"/>
      <c r="AM27" s="227"/>
      <c r="AN27" s="227"/>
      <c r="AO27" s="227"/>
      <c r="AP27" s="227"/>
      <c r="AQ27" s="227"/>
      <c r="AR27" s="227"/>
    </row>
    <row r="28" spans="2:44" x14ac:dyDescent="0.35">
      <c r="B28" s="227"/>
      <c r="C28" s="227"/>
      <c r="D28" s="227"/>
      <c r="E28" s="227"/>
      <c r="F28" s="227"/>
      <c r="G28" s="227"/>
      <c r="H28" s="227"/>
      <c r="I28" s="227"/>
      <c r="J28" s="227"/>
      <c r="K28" s="227"/>
      <c r="L28" s="227"/>
      <c r="M28" s="227"/>
      <c r="N28" s="227"/>
      <c r="O28" s="227"/>
      <c r="P28" s="227"/>
      <c r="Q28" s="227"/>
      <c r="R28" s="227"/>
      <c r="S28" s="227"/>
      <c r="T28" s="227"/>
      <c r="U28" s="227"/>
      <c r="V28" s="227"/>
      <c r="W28" s="227"/>
      <c r="X28" s="227"/>
      <c r="Y28" s="227"/>
      <c r="Z28" s="227"/>
      <c r="AA28" s="227"/>
      <c r="AB28" s="227"/>
      <c r="AC28" s="227"/>
      <c r="AD28" s="227"/>
      <c r="AE28" s="227"/>
      <c r="AF28" s="227"/>
      <c r="AG28" s="227"/>
      <c r="AH28" s="227"/>
      <c r="AI28" s="227"/>
      <c r="AJ28" s="227"/>
      <c r="AK28" s="227"/>
      <c r="AL28" s="227"/>
      <c r="AM28" s="227"/>
      <c r="AN28" s="227"/>
      <c r="AO28" s="227"/>
      <c r="AP28" s="227"/>
      <c r="AQ28" s="227"/>
      <c r="AR28" s="227"/>
    </row>
    <row r="29" spans="2:44" x14ac:dyDescent="0.35">
      <c r="B29" s="227"/>
      <c r="C29" s="227"/>
      <c r="D29" s="227"/>
      <c r="E29" s="227"/>
      <c r="F29" s="227"/>
      <c r="G29" s="227"/>
      <c r="H29" s="227"/>
      <c r="I29" s="227"/>
      <c r="J29" s="227"/>
      <c r="K29" s="227"/>
      <c r="L29" s="227"/>
      <c r="M29" s="227"/>
      <c r="N29" s="227"/>
      <c r="O29" s="227"/>
      <c r="P29" s="227"/>
      <c r="Q29" s="227"/>
      <c r="R29" s="227"/>
      <c r="S29" s="227"/>
      <c r="T29" s="227"/>
      <c r="U29" s="227"/>
      <c r="V29" s="227"/>
      <c r="W29" s="227"/>
      <c r="X29" s="227"/>
      <c r="Y29" s="227"/>
      <c r="Z29" s="227"/>
      <c r="AA29" s="227"/>
      <c r="AB29" s="227"/>
      <c r="AC29" s="227"/>
      <c r="AD29" s="227"/>
      <c r="AE29" s="227"/>
      <c r="AF29" s="227"/>
      <c r="AG29" s="227"/>
      <c r="AH29" s="227"/>
      <c r="AI29" s="227"/>
      <c r="AJ29" s="227"/>
      <c r="AK29" s="227"/>
      <c r="AL29" s="227"/>
      <c r="AM29" s="227"/>
      <c r="AN29" s="227"/>
      <c r="AO29" s="227"/>
      <c r="AP29" s="227"/>
      <c r="AQ29" s="227"/>
      <c r="AR29" s="227"/>
    </row>
    <row r="30" spans="2:44" x14ac:dyDescent="0.35">
      <c r="B30" s="227"/>
      <c r="C30" s="227"/>
      <c r="D30" s="227"/>
      <c r="E30" s="227"/>
      <c r="F30" s="227"/>
      <c r="G30" s="227"/>
      <c r="H30" s="227"/>
      <c r="I30" s="227"/>
      <c r="J30" s="227"/>
      <c r="K30" s="227"/>
      <c r="L30" s="227"/>
      <c r="M30" s="227"/>
      <c r="N30" s="227"/>
      <c r="O30" s="227"/>
      <c r="P30" s="227"/>
      <c r="Q30" s="227"/>
      <c r="R30" s="227"/>
      <c r="S30" s="227"/>
      <c r="T30" s="227"/>
      <c r="U30" s="227"/>
      <c r="V30" s="227"/>
      <c r="W30" s="227"/>
      <c r="X30" s="227"/>
      <c r="Y30" s="227"/>
      <c r="Z30" s="227"/>
      <c r="AA30" s="227"/>
      <c r="AB30" s="227"/>
      <c r="AC30" s="227"/>
      <c r="AD30" s="227"/>
      <c r="AE30" s="227"/>
      <c r="AF30" s="227"/>
      <c r="AG30" s="227"/>
      <c r="AH30" s="227"/>
      <c r="AI30" s="227"/>
      <c r="AJ30" s="227"/>
      <c r="AK30" s="227"/>
      <c r="AL30" s="227"/>
      <c r="AM30" s="227"/>
      <c r="AN30" s="227"/>
      <c r="AO30" s="227"/>
      <c r="AP30" s="227"/>
      <c r="AQ30" s="227"/>
      <c r="AR30" s="227"/>
    </row>
    <row r="31" spans="2:44" x14ac:dyDescent="0.35">
      <c r="B31" s="227"/>
      <c r="C31" s="227"/>
      <c r="D31" s="227"/>
      <c r="E31" s="227"/>
      <c r="F31" s="227"/>
      <c r="G31" s="227"/>
      <c r="H31" s="227"/>
      <c r="I31" s="227"/>
      <c r="J31" s="227"/>
      <c r="K31" s="227"/>
      <c r="L31" s="227"/>
      <c r="M31" s="227"/>
      <c r="N31" s="227"/>
      <c r="O31" s="227"/>
      <c r="P31" s="227"/>
      <c r="Q31" s="227"/>
      <c r="R31" s="227"/>
      <c r="S31" s="227"/>
      <c r="T31" s="227"/>
      <c r="U31" s="227"/>
      <c r="V31" s="227"/>
      <c r="W31" s="227"/>
      <c r="X31" s="227"/>
      <c r="Y31" s="227"/>
      <c r="Z31" s="227"/>
      <c r="AA31" s="227"/>
      <c r="AB31" s="227"/>
      <c r="AC31" s="227"/>
      <c r="AD31" s="227"/>
      <c r="AE31" s="227"/>
      <c r="AF31" s="227"/>
      <c r="AG31" s="227"/>
      <c r="AH31" s="227"/>
      <c r="AI31" s="227"/>
      <c r="AJ31" s="227"/>
      <c r="AK31" s="227"/>
      <c r="AL31" s="227"/>
      <c r="AM31" s="227"/>
      <c r="AN31" s="227"/>
      <c r="AO31" s="227"/>
      <c r="AP31" s="227"/>
      <c r="AQ31" s="227"/>
      <c r="AR31" s="227"/>
    </row>
    <row r="32" spans="2:44" x14ac:dyDescent="0.35">
      <c r="B32" s="227"/>
      <c r="C32" s="227"/>
      <c r="D32" s="227"/>
      <c r="E32" s="227"/>
      <c r="F32" s="227"/>
      <c r="G32" s="227"/>
      <c r="H32" s="227"/>
      <c r="I32" s="227"/>
      <c r="J32" s="227"/>
      <c r="K32" s="227"/>
      <c r="L32" s="227"/>
      <c r="M32" s="227"/>
      <c r="N32" s="227"/>
      <c r="O32" s="227"/>
      <c r="P32" s="227"/>
      <c r="Q32" s="227"/>
      <c r="R32" s="227"/>
      <c r="S32" s="227"/>
      <c r="T32" s="227"/>
      <c r="U32" s="227"/>
      <c r="V32" s="227"/>
      <c r="W32" s="227"/>
      <c r="X32" s="227"/>
      <c r="Y32" s="227"/>
      <c r="Z32" s="227"/>
      <c r="AA32" s="227"/>
      <c r="AB32" s="227"/>
      <c r="AC32" s="227"/>
      <c r="AD32" s="227"/>
      <c r="AE32" s="227"/>
      <c r="AF32" s="227"/>
      <c r="AG32" s="227"/>
      <c r="AH32" s="227"/>
      <c r="AI32" s="227"/>
      <c r="AJ32" s="227"/>
      <c r="AK32" s="227"/>
      <c r="AL32" s="227"/>
      <c r="AM32" s="227"/>
      <c r="AN32" s="227"/>
      <c r="AO32" s="227"/>
      <c r="AP32" s="227"/>
      <c r="AQ32" s="227"/>
      <c r="AR32" s="227"/>
    </row>
    <row r="33" spans="2:44" x14ac:dyDescent="0.35">
      <c r="B33" s="227"/>
      <c r="C33" s="227"/>
      <c r="D33" s="227"/>
      <c r="E33" s="227"/>
      <c r="F33" s="227"/>
      <c r="G33" s="227"/>
      <c r="H33" s="227"/>
      <c r="I33" s="227"/>
      <c r="J33" s="227"/>
      <c r="K33" s="227"/>
      <c r="L33" s="227"/>
      <c r="M33" s="227"/>
      <c r="N33" s="227"/>
      <c r="O33" s="227"/>
      <c r="P33" s="227"/>
      <c r="Q33" s="227"/>
      <c r="R33" s="227"/>
      <c r="S33" s="227"/>
      <c r="T33" s="227"/>
      <c r="U33" s="227"/>
      <c r="V33" s="227"/>
      <c r="W33" s="227"/>
      <c r="X33" s="227"/>
      <c r="Y33" s="227"/>
      <c r="Z33" s="227"/>
      <c r="AA33" s="227"/>
      <c r="AB33" s="227"/>
      <c r="AC33" s="227"/>
      <c r="AD33" s="227"/>
      <c r="AE33" s="227"/>
      <c r="AF33" s="227"/>
      <c r="AG33" s="227"/>
      <c r="AH33" s="227"/>
      <c r="AI33" s="227"/>
      <c r="AJ33" s="227"/>
      <c r="AK33" s="227"/>
      <c r="AL33" s="227"/>
      <c r="AM33" s="227"/>
      <c r="AN33" s="227"/>
      <c r="AO33" s="227"/>
      <c r="AP33" s="227"/>
      <c r="AQ33" s="227"/>
      <c r="AR33" s="227"/>
    </row>
    <row r="34" spans="2:44" x14ac:dyDescent="0.35">
      <c r="B34" s="227"/>
      <c r="C34" s="227"/>
      <c r="D34" s="227"/>
      <c r="E34" s="227"/>
      <c r="F34" s="227"/>
      <c r="G34" s="227"/>
      <c r="H34" s="227"/>
      <c r="I34" s="227"/>
      <c r="J34" s="227"/>
      <c r="K34" s="227"/>
      <c r="L34" s="227"/>
      <c r="M34" s="227"/>
      <c r="N34" s="227"/>
      <c r="O34" s="227"/>
      <c r="P34" s="227"/>
      <c r="Q34" s="227"/>
      <c r="R34" s="227"/>
      <c r="S34" s="227"/>
      <c r="T34" s="227"/>
      <c r="U34" s="227"/>
      <c r="V34" s="227"/>
      <c r="W34" s="227"/>
      <c r="X34" s="227"/>
      <c r="Y34" s="227"/>
      <c r="Z34" s="227"/>
      <c r="AA34" s="227"/>
      <c r="AB34" s="227"/>
      <c r="AC34" s="227"/>
      <c r="AD34" s="227"/>
      <c r="AE34" s="227"/>
      <c r="AF34" s="227"/>
      <c r="AG34" s="227"/>
      <c r="AH34" s="227"/>
      <c r="AI34" s="227"/>
      <c r="AJ34" s="227"/>
      <c r="AK34" s="227"/>
      <c r="AL34" s="227"/>
      <c r="AM34" s="227"/>
      <c r="AN34" s="227"/>
      <c r="AO34" s="227"/>
      <c r="AP34" s="227"/>
      <c r="AQ34" s="227"/>
      <c r="AR34" s="227"/>
    </row>
    <row r="35" spans="2:44" x14ac:dyDescent="0.35">
      <c r="B35" s="227"/>
      <c r="C35" s="227"/>
      <c r="D35" s="227"/>
      <c r="E35" s="227"/>
      <c r="F35" s="227"/>
      <c r="G35" s="227"/>
      <c r="H35" s="227"/>
      <c r="I35" s="227"/>
      <c r="J35" s="227"/>
      <c r="K35" s="227"/>
      <c r="L35" s="227"/>
      <c r="M35" s="227"/>
      <c r="N35" s="227"/>
      <c r="O35" s="227"/>
      <c r="P35" s="227"/>
      <c r="Q35" s="227"/>
      <c r="R35" s="227"/>
      <c r="S35" s="227"/>
      <c r="T35" s="227"/>
      <c r="U35" s="227"/>
      <c r="V35" s="227"/>
      <c r="W35" s="227"/>
      <c r="X35" s="227"/>
      <c r="Y35" s="227"/>
      <c r="Z35" s="227"/>
      <c r="AA35" s="227"/>
      <c r="AB35" s="227"/>
      <c r="AC35" s="227"/>
      <c r="AD35" s="227"/>
      <c r="AE35" s="227"/>
      <c r="AF35" s="227"/>
      <c r="AG35" s="227"/>
      <c r="AH35" s="227"/>
      <c r="AI35" s="227"/>
      <c r="AJ35" s="227"/>
      <c r="AK35" s="227"/>
      <c r="AL35" s="227"/>
      <c r="AM35" s="227"/>
      <c r="AN35" s="227"/>
      <c r="AO35" s="227"/>
      <c r="AP35" s="227"/>
      <c r="AQ35" s="227"/>
      <c r="AR35" s="227"/>
    </row>
    <row r="36" spans="2:44" x14ac:dyDescent="0.35">
      <c r="B36" s="227"/>
      <c r="C36" s="227"/>
      <c r="D36" s="227"/>
      <c r="E36" s="227"/>
      <c r="F36" s="227"/>
      <c r="G36" s="227"/>
      <c r="H36" s="227"/>
      <c r="I36" s="227"/>
      <c r="J36" s="227"/>
      <c r="K36" s="227"/>
      <c r="L36" s="227"/>
      <c r="M36" s="227"/>
      <c r="N36" s="227"/>
      <c r="O36" s="227"/>
      <c r="P36" s="227"/>
      <c r="Q36" s="227"/>
      <c r="R36" s="227"/>
      <c r="S36" s="227"/>
      <c r="T36" s="227"/>
      <c r="U36" s="227"/>
      <c r="V36" s="227"/>
      <c r="W36" s="227"/>
      <c r="X36" s="227"/>
      <c r="Y36" s="227"/>
      <c r="Z36" s="227"/>
      <c r="AA36" s="227"/>
      <c r="AB36" s="227"/>
      <c r="AC36" s="227"/>
      <c r="AD36" s="227"/>
      <c r="AE36" s="227"/>
      <c r="AF36" s="227"/>
      <c r="AG36" s="227"/>
      <c r="AH36" s="227"/>
      <c r="AI36" s="227"/>
      <c r="AJ36" s="227"/>
      <c r="AK36" s="227"/>
      <c r="AL36" s="227"/>
      <c r="AM36" s="227"/>
      <c r="AN36" s="227"/>
      <c r="AO36" s="227"/>
      <c r="AP36" s="227"/>
      <c r="AQ36" s="227"/>
      <c r="AR36" s="227"/>
    </row>
    <row r="37" spans="2:44" x14ac:dyDescent="0.35">
      <c r="B37" s="227"/>
      <c r="C37" s="227"/>
      <c r="D37" s="227"/>
      <c r="E37" s="227"/>
      <c r="F37" s="227"/>
      <c r="G37" s="227"/>
      <c r="H37" s="227"/>
      <c r="I37" s="227"/>
      <c r="J37" s="227"/>
      <c r="K37" s="227"/>
      <c r="L37" s="227"/>
      <c r="M37" s="227"/>
      <c r="N37" s="227"/>
      <c r="O37" s="227"/>
      <c r="P37" s="227"/>
      <c r="Q37" s="227"/>
      <c r="R37" s="227"/>
      <c r="S37" s="227"/>
      <c r="T37" s="227"/>
      <c r="U37" s="227"/>
      <c r="V37" s="227"/>
      <c r="W37" s="227"/>
      <c r="X37" s="227"/>
      <c r="Y37" s="227"/>
      <c r="Z37" s="227"/>
      <c r="AA37" s="227"/>
      <c r="AB37" s="227"/>
      <c r="AC37" s="227"/>
      <c r="AD37" s="227"/>
      <c r="AE37" s="227"/>
      <c r="AF37" s="227"/>
      <c r="AG37" s="227"/>
      <c r="AH37" s="227"/>
      <c r="AI37" s="227"/>
      <c r="AJ37" s="227"/>
      <c r="AK37" s="227"/>
      <c r="AL37" s="227"/>
      <c r="AM37" s="227"/>
      <c r="AN37" s="227"/>
      <c r="AO37" s="227"/>
      <c r="AP37" s="227"/>
      <c r="AQ37" s="227"/>
      <c r="AR37" s="227"/>
    </row>
    <row r="38" spans="2:44" x14ac:dyDescent="0.35">
      <c r="B38" s="227"/>
      <c r="C38" s="227"/>
      <c r="D38" s="227"/>
      <c r="E38" s="227"/>
      <c r="F38" s="227"/>
      <c r="G38" s="227"/>
      <c r="H38" s="227"/>
      <c r="I38" s="227"/>
      <c r="J38" s="227"/>
      <c r="K38" s="227"/>
      <c r="L38" s="227"/>
      <c r="M38" s="227"/>
      <c r="N38" s="227"/>
      <c r="O38" s="227"/>
      <c r="P38" s="227"/>
      <c r="Q38" s="227"/>
      <c r="R38" s="227"/>
      <c r="S38" s="227"/>
      <c r="T38" s="227"/>
      <c r="U38" s="227"/>
      <c r="V38" s="227"/>
      <c r="W38" s="227"/>
      <c r="X38" s="227"/>
      <c r="Y38" s="227"/>
      <c r="Z38" s="227"/>
      <c r="AA38" s="227"/>
      <c r="AB38" s="227"/>
      <c r="AC38" s="227"/>
      <c r="AD38" s="227"/>
      <c r="AE38" s="227"/>
      <c r="AF38" s="227"/>
      <c r="AG38" s="227"/>
      <c r="AH38" s="227"/>
      <c r="AI38" s="227"/>
      <c r="AJ38" s="227"/>
      <c r="AK38" s="227"/>
      <c r="AL38" s="227"/>
      <c r="AM38" s="227"/>
      <c r="AN38" s="227"/>
      <c r="AO38" s="227"/>
      <c r="AP38" s="227"/>
      <c r="AQ38" s="227"/>
      <c r="AR38" s="227"/>
    </row>
    <row r="39" spans="2:44" x14ac:dyDescent="0.35">
      <c r="B39" s="227"/>
      <c r="C39" s="227"/>
      <c r="D39" s="227"/>
      <c r="E39" s="227"/>
      <c r="F39" s="227"/>
      <c r="G39" s="227"/>
      <c r="H39" s="227"/>
      <c r="I39" s="227"/>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c r="AH39" s="227"/>
      <c r="AI39" s="227"/>
      <c r="AJ39" s="227"/>
      <c r="AK39" s="227"/>
      <c r="AL39" s="227"/>
      <c r="AM39" s="227"/>
      <c r="AN39" s="227"/>
      <c r="AO39" s="227"/>
      <c r="AP39" s="227"/>
      <c r="AQ39" s="227"/>
      <c r="AR39" s="227"/>
    </row>
    <row r="40" spans="2:44" x14ac:dyDescent="0.35">
      <c r="B40" s="227"/>
      <c r="C40" s="227"/>
      <c r="D40" s="227"/>
      <c r="E40" s="227"/>
      <c r="F40" s="227"/>
      <c r="G40" s="227"/>
      <c r="H40" s="227"/>
      <c r="I40" s="227"/>
      <c r="J40" s="227"/>
      <c r="K40" s="227"/>
      <c r="L40" s="227"/>
      <c r="M40" s="227"/>
      <c r="N40" s="227"/>
      <c r="O40" s="227"/>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row>
    <row r="41" spans="2:44" x14ac:dyDescent="0.35">
      <c r="B41" s="227"/>
      <c r="C41" s="227"/>
      <c r="D41" s="227"/>
      <c r="E41" s="227"/>
      <c r="F41" s="227"/>
      <c r="G41" s="227"/>
      <c r="H41" s="227"/>
      <c r="I41" s="227"/>
      <c r="J41" s="227"/>
      <c r="K41" s="227"/>
      <c r="L41" s="227"/>
      <c r="M41" s="227"/>
      <c r="N41" s="227"/>
      <c r="O41" s="227"/>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row>
    <row r="42" spans="2:44" x14ac:dyDescent="0.35">
      <c r="B42" s="227"/>
      <c r="C42" s="227"/>
      <c r="D42" s="227"/>
      <c r="E42" s="227"/>
      <c r="F42" s="227"/>
      <c r="G42" s="227"/>
      <c r="H42" s="227"/>
      <c r="I42" s="227"/>
      <c r="J42" s="227"/>
      <c r="K42" s="227"/>
      <c r="L42" s="227"/>
      <c r="M42" s="227"/>
      <c r="N42" s="227"/>
      <c r="O42" s="227"/>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row>
    <row r="43" spans="2:44" x14ac:dyDescent="0.35">
      <c r="B43" s="227"/>
      <c r="C43" s="227"/>
      <c r="D43" s="227"/>
      <c r="E43" s="227"/>
      <c r="F43" s="227"/>
      <c r="G43" s="227"/>
      <c r="H43" s="227"/>
      <c r="I43" s="227"/>
      <c r="J43" s="227"/>
      <c r="K43" s="227"/>
      <c r="L43" s="227"/>
      <c r="M43" s="227"/>
      <c r="N43" s="227"/>
      <c r="O43" s="227"/>
      <c r="P43" s="227"/>
      <c r="Q43" s="227"/>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row>
    <row r="44" spans="2:44" x14ac:dyDescent="0.35">
      <c r="B44" s="227"/>
      <c r="C44" s="227"/>
      <c r="D44" s="227"/>
      <c r="E44" s="227"/>
      <c r="F44" s="227"/>
      <c r="G44" s="227"/>
      <c r="H44" s="227"/>
      <c r="I44" s="227"/>
      <c r="J44" s="227"/>
      <c r="K44" s="227"/>
      <c r="L44" s="227"/>
      <c r="M44" s="227"/>
      <c r="N44" s="227"/>
      <c r="O44" s="227"/>
      <c r="P44" s="227"/>
      <c r="Q44" s="227"/>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row>
    <row r="45" spans="2:44" x14ac:dyDescent="0.35">
      <c r="B45" s="227"/>
      <c r="C45" s="227"/>
      <c r="D45" s="227"/>
      <c r="E45" s="227"/>
      <c r="F45" s="227"/>
      <c r="G45" s="227"/>
      <c r="H45" s="227"/>
      <c r="I45" s="227"/>
      <c r="J45" s="227"/>
      <c r="K45" s="227"/>
      <c r="L45" s="227"/>
      <c r="M45" s="227"/>
      <c r="N45" s="227"/>
      <c r="O45" s="227"/>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row>
    <row r="46" spans="2:44" x14ac:dyDescent="0.35">
      <c r="B46" s="227"/>
      <c r="C46" s="227"/>
      <c r="D46" s="227"/>
      <c r="E46" s="227"/>
      <c r="F46" s="227"/>
      <c r="G46" s="227"/>
      <c r="H46" s="227"/>
      <c r="I46" s="227"/>
      <c r="J46" s="227"/>
      <c r="K46" s="227"/>
      <c r="L46" s="227"/>
      <c r="M46" s="227"/>
      <c r="N46" s="227"/>
      <c r="O46" s="227"/>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row>
    <row r="47" spans="2:44" x14ac:dyDescent="0.35">
      <c r="B47" s="227"/>
      <c r="C47" s="227"/>
      <c r="D47" s="227"/>
      <c r="E47" s="227"/>
      <c r="F47" s="227"/>
      <c r="G47" s="227"/>
      <c r="H47" s="227"/>
      <c r="I47" s="227"/>
      <c r="J47" s="227"/>
      <c r="K47" s="227"/>
      <c r="L47" s="227"/>
      <c r="M47" s="227"/>
      <c r="N47" s="227"/>
      <c r="O47" s="227"/>
      <c r="P47" s="227"/>
      <c r="Q47" s="227"/>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row>
    <row r="48" spans="2:44" x14ac:dyDescent="0.35">
      <c r="B48" s="227"/>
      <c r="C48" s="227"/>
      <c r="D48" s="227"/>
      <c r="E48" s="227"/>
      <c r="F48" s="227"/>
      <c r="G48" s="227"/>
      <c r="H48" s="227"/>
      <c r="I48" s="227"/>
      <c r="J48" s="227"/>
      <c r="K48" s="227"/>
      <c r="L48" s="227"/>
      <c r="M48" s="227"/>
      <c r="N48" s="227"/>
      <c r="O48" s="227"/>
      <c r="P48" s="227"/>
      <c r="Q48" s="227"/>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row>
    <row r="49" spans="2:44" x14ac:dyDescent="0.35">
      <c r="B49" s="227"/>
      <c r="C49" s="227"/>
      <c r="D49" s="227"/>
      <c r="E49" s="227"/>
      <c r="F49" s="227"/>
      <c r="G49" s="227"/>
      <c r="H49" s="227"/>
      <c r="I49" s="227"/>
      <c r="J49" s="227"/>
      <c r="K49" s="227"/>
      <c r="L49" s="227"/>
      <c r="M49" s="227"/>
      <c r="N49" s="227"/>
      <c r="O49" s="227"/>
      <c r="P49" s="227"/>
      <c r="Q49" s="227"/>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row>
    <row r="50" spans="2:44" x14ac:dyDescent="0.35">
      <c r="B50" s="227"/>
      <c r="C50" s="227"/>
      <c r="D50" s="227"/>
      <c r="E50" s="227"/>
      <c r="F50" s="227"/>
      <c r="G50" s="227"/>
      <c r="H50" s="227"/>
      <c r="I50" s="227"/>
      <c r="J50" s="227"/>
      <c r="K50" s="227"/>
      <c r="L50" s="227"/>
      <c r="M50" s="227"/>
      <c r="N50" s="227"/>
      <c r="O50" s="227"/>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row>
    <row r="51" spans="2:44" x14ac:dyDescent="0.35">
      <c r="B51" s="227"/>
      <c r="C51" s="227"/>
      <c r="D51" s="227"/>
      <c r="E51" s="227"/>
      <c r="F51" s="227"/>
      <c r="G51" s="227"/>
      <c r="H51" s="227"/>
      <c r="I51" s="227"/>
      <c r="J51" s="227"/>
      <c r="K51" s="227"/>
      <c r="L51" s="227"/>
      <c r="M51" s="227"/>
      <c r="N51" s="227"/>
      <c r="O51" s="227"/>
      <c r="P51" s="227"/>
      <c r="Q51" s="227"/>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row>
    <row r="52" spans="2:44" x14ac:dyDescent="0.35">
      <c r="B52" s="227"/>
      <c r="C52" s="227"/>
      <c r="D52" s="227"/>
      <c r="E52" s="227"/>
      <c r="F52" s="227"/>
      <c r="G52" s="227"/>
      <c r="H52" s="227"/>
      <c r="I52" s="227"/>
      <c r="J52" s="227"/>
      <c r="K52" s="227"/>
      <c r="L52" s="227"/>
      <c r="M52" s="227"/>
      <c r="N52" s="227"/>
      <c r="O52" s="227"/>
      <c r="P52" s="227"/>
      <c r="Q52" s="227"/>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row>
    <row r="53" spans="2:44" x14ac:dyDescent="0.35">
      <c r="B53" s="227"/>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row>
    <row r="54" spans="2:44" x14ac:dyDescent="0.35">
      <c r="B54" s="227"/>
      <c r="C54" s="227"/>
      <c r="D54" s="227"/>
      <c r="E54" s="227"/>
      <c r="F54" s="227"/>
      <c r="G54" s="227"/>
      <c r="H54" s="227"/>
      <c r="I54" s="227"/>
      <c r="J54" s="227"/>
      <c r="K54" s="227"/>
      <c r="L54" s="227"/>
      <c r="M54" s="227"/>
      <c r="N54" s="227"/>
      <c r="O54" s="227"/>
      <c r="P54" s="227"/>
      <c r="Q54" s="227"/>
      <c r="R54" s="227"/>
      <c r="S54" s="227"/>
      <c r="T54" s="227"/>
      <c r="U54" s="227"/>
      <c r="V54" s="227"/>
      <c r="W54" s="227"/>
      <c r="X54" s="227"/>
      <c r="Y54" s="227"/>
      <c r="Z54" s="227"/>
      <c r="AA54" s="227"/>
      <c r="AB54" s="227"/>
      <c r="AC54" s="227"/>
      <c r="AD54" s="227"/>
      <c r="AE54" s="227"/>
      <c r="AF54" s="227"/>
      <c r="AG54" s="227"/>
      <c r="AH54" s="227"/>
      <c r="AI54" s="227"/>
      <c r="AJ54" s="227"/>
      <c r="AK54" s="227"/>
      <c r="AL54" s="227"/>
      <c r="AM54" s="227"/>
      <c r="AN54" s="227"/>
      <c r="AO54" s="227"/>
      <c r="AP54" s="227"/>
      <c r="AQ54" s="227"/>
      <c r="AR54" s="227"/>
    </row>
    <row r="55" spans="2:44" x14ac:dyDescent="0.35">
      <c r="B55" s="227"/>
      <c r="C55" s="227"/>
      <c r="D55" s="227"/>
      <c r="E55" s="227"/>
      <c r="F55" s="227"/>
      <c r="G55" s="227"/>
      <c r="H55" s="227"/>
      <c r="I55" s="227"/>
      <c r="J55" s="227"/>
      <c r="K55" s="227"/>
      <c r="L55" s="227"/>
      <c r="M55" s="227"/>
      <c r="N55" s="227"/>
      <c r="O55" s="227"/>
      <c r="P55" s="227"/>
      <c r="Q55" s="227"/>
      <c r="R55" s="227"/>
      <c r="S55" s="227"/>
      <c r="T55" s="228"/>
      <c r="U55" s="227"/>
      <c r="V55" s="227"/>
      <c r="W55" s="227"/>
      <c r="X55" s="227"/>
      <c r="Y55" s="227"/>
      <c r="Z55" s="227"/>
      <c r="AA55" s="227"/>
      <c r="AB55" s="227"/>
      <c r="AC55" s="227"/>
      <c r="AD55" s="227"/>
      <c r="AE55" s="227"/>
      <c r="AF55" s="227"/>
      <c r="AG55" s="227"/>
      <c r="AH55" s="227"/>
      <c r="AI55" s="227"/>
      <c r="AJ55" s="227"/>
      <c r="AK55" s="227"/>
      <c r="AL55" s="227"/>
      <c r="AM55" s="227"/>
      <c r="AN55" s="227"/>
      <c r="AO55" s="227"/>
      <c r="AP55" s="227"/>
      <c r="AQ55" s="227"/>
      <c r="AR55" s="227"/>
    </row>
  </sheetData>
  <mergeCells count="1">
    <mergeCell ref="B2:A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DDD5F-8FD3-4426-B7E8-0A675258A129}">
  <dimension ref="A3:B7"/>
  <sheetViews>
    <sheetView showGridLines="0" workbookViewId="0">
      <selection activeCell="H1" sqref="H1"/>
    </sheetView>
  </sheetViews>
  <sheetFormatPr defaultRowHeight="14.5" x14ac:dyDescent="0.35"/>
  <cols>
    <col min="1" max="1" width="17.453125" bestFit="1" customWidth="1"/>
    <col min="2" max="2" width="14.81640625" bestFit="1" customWidth="1"/>
    <col min="3" max="3" width="11.6328125" bestFit="1" customWidth="1"/>
    <col min="4" max="4" width="11.81640625" bestFit="1" customWidth="1"/>
    <col min="5" max="5" width="12.453125" bestFit="1" customWidth="1"/>
    <col min="6" max="7" width="11.81640625" bestFit="1" customWidth="1"/>
    <col min="8" max="8" width="12.453125" bestFit="1" customWidth="1"/>
    <col min="9" max="12" width="11.81640625" bestFit="1" customWidth="1"/>
  </cols>
  <sheetData>
    <row r="3" spans="1:2" x14ac:dyDescent="0.35">
      <c r="A3" s="63" t="s">
        <v>110</v>
      </c>
      <c r="B3" t="s">
        <v>112</v>
      </c>
    </row>
    <row r="4" spans="1:2" x14ac:dyDescent="0.35">
      <c r="A4" s="64">
        <v>2017</v>
      </c>
      <c r="B4" s="65">
        <v>6.168282797509006E-2</v>
      </c>
    </row>
    <row r="5" spans="1:2" x14ac:dyDescent="0.35">
      <c r="A5" s="66" t="s">
        <v>106</v>
      </c>
      <c r="B5" s="65">
        <v>7.8223414149666048E-2</v>
      </c>
    </row>
    <row r="6" spans="1:2" x14ac:dyDescent="0.35">
      <c r="A6" s="66" t="s">
        <v>107</v>
      </c>
      <c r="B6" s="65">
        <v>-1.6540586174575989E-2</v>
      </c>
    </row>
    <row r="7" spans="1:2" x14ac:dyDescent="0.35">
      <c r="A7" s="64" t="s">
        <v>111</v>
      </c>
      <c r="B7" s="65">
        <v>6.168282797509006E-2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IS Analysis</vt:lpstr>
      <vt:lpstr>BS And Ratio Analysis</vt:lpstr>
      <vt:lpstr>CFS</vt:lpstr>
      <vt:lpstr>Profit &amp; Loss</vt:lpstr>
      <vt:lpstr>Balance Sheet</vt:lpstr>
      <vt:lpstr>Cash Flow</vt:lpstr>
      <vt:lpstr>Data</vt:lpstr>
      <vt:lpstr>Dashboard</vt:lpstr>
      <vt:lpstr>Sales GR</vt:lpstr>
      <vt:lpstr>OP GR</vt:lpstr>
      <vt:lpstr>Dividend Payout</vt:lpstr>
      <vt:lpstr>OPM</vt:lpstr>
      <vt:lpstr>NPM</vt:lpstr>
      <vt:lpstr>Interest Coverage Ratio</vt:lpstr>
      <vt:lpstr>Inventory Turnover</vt:lpstr>
      <vt:lpstr>Return on Equity</vt:lpstr>
      <vt:lpstr>Invetory Conversion period</vt:lpstr>
      <vt:lpstr>Debtor Conversion Period</vt:lpstr>
      <vt:lpstr>Reserves as total Capital %</vt:lpstr>
      <vt:lpstr>YOY_CFO</vt:lpstr>
      <vt:lpstr>YOY_CFI</vt:lpstr>
      <vt:lpstr>CFO_MARGIN</vt:lpstr>
      <vt:lpstr>CFO INTEREST</vt:lpstr>
      <vt:lpstr>Quarters</vt:lpstr>
      <vt:lpstr>Customization</vt:lpstr>
      <vt:lpstr>Data Sheet</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Gaurav Singh Rawat</cp:lastModifiedBy>
  <cp:lastPrinted>2012-12-06T18:14:13Z</cp:lastPrinted>
  <dcterms:created xsi:type="dcterms:W3CDTF">2012-08-17T09:55:37Z</dcterms:created>
  <dcterms:modified xsi:type="dcterms:W3CDTF">2024-08-30T07:44:53Z</dcterms:modified>
</cp:coreProperties>
</file>