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ersonal_Projects\ERP Project\Excel Files\"/>
    </mc:Choice>
  </mc:AlternateContent>
  <xr:revisionPtr revIDLastSave="0" documentId="13_ncr:1_{F80D90A6-BEE7-4AF5-888A-7170A5A5FC4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 Set" sheetId="1" r:id="rId1"/>
    <sheet name="NSEBSE Code" sheetId="2" r:id="rId2"/>
    <sheet name="Copy of Data Set" sheetId="3" r:id="rId3"/>
    <sheet name="Final Sheet" sheetId="4" r:id="rId4"/>
  </sheets>
  <calcPr calcId="191029"/>
</workbook>
</file>

<file path=xl/calcChain.xml><?xml version="1.0" encoding="utf-8"?>
<calcChain xmlns="http://schemas.openxmlformats.org/spreadsheetml/2006/main">
  <c r="P48" i="4" l="1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P47" i="4"/>
  <c r="O47" i="4"/>
  <c r="N47" i="4"/>
  <c r="M47" i="4"/>
  <c r="L47" i="4"/>
  <c r="J47" i="4"/>
  <c r="I47" i="4"/>
  <c r="H47" i="4"/>
  <c r="G47" i="4"/>
  <c r="F47" i="4"/>
  <c r="E47" i="4"/>
  <c r="D47" i="4"/>
  <c r="C47" i="4"/>
  <c r="B47" i="4"/>
  <c r="A47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2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41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40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5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4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3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J191" i="3"/>
  <c r="I191" i="3"/>
  <c r="H191" i="3"/>
  <c r="G191" i="3"/>
  <c r="F191" i="3"/>
  <c r="E191" i="3"/>
  <c r="D191" i="3"/>
  <c r="C191" i="3"/>
  <c r="B191" i="3"/>
  <c r="A191" i="3"/>
  <c r="J190" i="3"/>
  <c r="I190" i="3"/>
  <c r="H190" i="3"/>
  <c r="G190" i="3"/>
  <c r="F190" i="3"/>
  <c r="E190" i="3"/>
  <c r="D190" i="3"/>
  <c r="C190" i="3"/>
  <c r="B190" i="3"/>
  <c r="A190" i="3"/>
  <c r="J189" i="3"/>
  <c r="I189" i="3"/>
  <c r="H189" i="3"/>
  <c r="G189" i="3"/>
  <c r="F189" i="3"/>
  <c r="E189" i="3"/>
  <c r="D189" i="3"/>
  <c r="C189" i="3"/>
  <c r="B189" i="3"/>
  <c r="A189" i="3"/>
  <c r="J188" i="3"/>
  <c r="I188" i="3"/>
  <c r="H188" i="3"/>
  <c r="G188" i="3"/>
  <c r="F188" i="3"/>
  <c r="E188" i="3"/>
  <c r="D188" i="3"/>
  <c r="C188" i="3"/>
  <c r="B188" i="3"/>
  <c r="A188" i="3"/>
  <c r="J187" i="3"/>
  <c r="I187" i="3"/>
  <c r="H187" i="3"/>
  <c r="G187" i="3"/>
  <c r="F187" i="3"/>
  <c r="E187" i="3"/>
  <c r="D187" i="3"/>
  <c r="C187" i="3"/>
  <c r="B187" i="3"/>
  <c r="A187" i="3"/>
  <c r="J186" i="3"/>
  <c r="I186" i="3"/>
  <c r="H186" i="3"/>
  <c r="G186" i="3"/>
  <c r="F186" i="3"/>
  <c r="E186" i="3"/>
  <c r="D186" i="3"/>
  <c r="C186" i="3"/>
  <c r="B186" i="3"/>
  <c r="A186" i="3"/>
  <c r="J185" i="3"/>
  <c r="I185" i="3"/>
  <c r="H185" i="3"/>
  <c r="G185" i="3"/>
  <c r="F185" i="3"/>
  <c r="E185" i="3"/>
  <c r="D185" i="3"/>
  <c r="C185" i="3"/>
  <c r="B185" i="3"/>
  <c r="A185" i="3"/>
  <c r="J184" i="3"/>
  <c r="I184" i="3"/>
  <c r="H184" i="3"/>
  <c r="G184" i="3"/>
  <c r="F184" i="3"/>
  <c r="E184" i="3"/>
  <c r="D184" i="3"/>
  <c r="C184" i="3"/>
  <c r="B184" i="3"/>
  <c r="A184" i="3"/>
  <c r="J183" i="3"/>
  <c r="I183" i="3"/>
  <c r="H183" i="3"/>
  <c r="G183" i="3"/>
  <c r="F183" i="3"/>
  <c r="E183" i="3"/>
  <c r="D183" i="3"/>
  <c r="C183" i="3"/>
  <c r="B183" i="3"/>
  <c r="A183" i="3"/>
  <c r="J182" i="3"/>
  <c r="I182" i="3"/>
  <c r="H182" i="3"/>
  <c r="G182" i="3"/>
  <c r="F182" i="3"/>
  <c r="E182" i="3"/>
  <c r="D182" i="3"/>
  <c r="C182" i="3"/>
  <c r="B182" i="3"/>
  <c r="A182" i="3"/>
  <c r="J181" i="3"/>
  <c r="I181" i="3"/>
  <c r="H181" i="3"/>
  <c r="G181" i="3"/>
  <c r="F181" i="3"/>
  <c r="E181" i="3"/>
  <c r="D181" i="3"/>
  <c r="C181" i="3"/>
  <c r="B181" i="3"/>
  <c r="A181" i="3"/>
  <c r="J180" i="3"/>
  <c r="I180" i="3"/>
  <c r="H180" i="3"/>
  <c r="G180" i="3"/>
  <c r="F180" i="3"/>
  <c r="E180" i="3"/>
  <c r="D180" i="3"/>
  <c r="C180" i="3"/>
  <c r="B180" i="3"/>
  <c r="A180" i="3"/>
  <c r="J179" i="3"/>
  <c r="I179" i="3"/>
  <c r="H179" i="3"/>
  <c r="G179" i="3"/>
  <c r="F179" i="3"/>
  <c r="E179" i="3"/>
  <c r="D179" i="3"/>
  <c r="C179" i="3"/>
  <c r="B179" i="3"/>
  <c r="A179" i="3"/>
  <c r="J178" i="3"/>
  <c r="I178" i="3"/>
  <c r="H178" i="3"/>
  <c r="G178" i="3"/>
  <c r="F178" i="3"/>
  <c r="E178" i="3"/>
  <c r="D178" i="3"/>
  <c r="C178" i="3"/>
  <c r="B178" i="3"/>
  <c r="A178" i="3"/>
  <c r="J177" i="3"/>
  <c r="I177" i="3"/>
  <c r="H177" i="3"/>
  <c r="G177" i="3"/>
  <c r="F177" i="3"/>
  <c r="E177" i="3"/>
  <c r="D177" i="3"/>
  <c r="C177" i="3"/>
  <c r="B177" i="3"/>
  <c r="A177" i="3"/>
  <c r="J176" i="3"/>
  <c r="I176" i="3"/>
  <c r="H176" i="3"/>
  <c r="G176" i="3"/>
  <c r="F176" i="3"/>
  <c r="E176" i="3"/>
  <c r="D176" i="3"/>
  <c r="C176" i="3"/>
  <c r="B176" i="3"/>
  <c r="A176" i="3"/>
  <c r="J175" i="3"/>
  <c r="I175" i="3"/>
  <c r="H175" i="3"/>
  <c r="G175" i="3"/>
  <c r="F175" i="3"/>
  <c r="E175" i="3"/>
  <c r="D175" i="3"/>
  <c r="C175" i="3"/>
  <c r="B175" i="3"/>
  <c r="A175" i="3"/>
  <c r="J174" i="3"/>
  <c r="I174" i="3"/>
  <c r="H174" i="3"/>
  <c r="G174" i="3"/>
  <c r="F174" i="3"/>
  <c r="E174" i="3"/>
  <c r="D174" i="3"/>
  <c r="C174" i="3"/>
  <c r="B174" i="3"/>
  <c r="A174" i="3"/>
  <c r="J173" i="3"/>
  <c r="I173" i="3"/>
  <c r="H173" i="3"/>
  <c r="G173" i="3"/>
  <c r="F173" i="3"/>
  <c r="E173" i="3"/>
  <c r="D173" i="3"/>
  <c r="C173" i="3"/>
  <c r="B173" i="3"/>
  <c r="A173" i="3"/>
  <c r="J172" i="3"/>
  <c r="I172" i="3"/>
  <c r="H172" i="3"/>
  <c r="G172" i="3"/>
  <c r="F172" i="3"/>
  <c r="E172" i="3"/>
  <c r="D172" i="3"/>
  <c r="C172" i="3"/>
  <c r="B172" i="3"/>
  <c r="A172" i="3"/>
  <c r="J171" i="3"/>
  <c r="I171" i="3"/>
  <c r="H171" i="3"/>
  <c r="G171" i="3"/>
  <c r="F171" i="3"/>
  <c r="E171" i="3"/>
  <c r="D171" i="3"/>
  <c r="C171" i="3"/>
  <c r="B171" i="3"/>
  <c r="A171" i="3"/>
  <c r="J170" i="3"/>
  <c r="I170" i="3"/>
  <c r="H170" i="3"/>
  <c r="G170" i="3"/>
  <c r="F170" i="3"/>
  <c r="E170" i="3"/>
  <c r="D170" i="3"/>
  <c r="C170" i="3"/>
  <c r="B170" i="3"/>
  <c r="A170" i="3"/>
  <c r="J169" i="3"/>
  <c r="I169" i="3"/>
  <c r="H169" i="3"/>
  <c r="G169" i="3"/>
  <c r="F169" i="3"/>
  <c r="E169" i="3"/>
  <c r="D169" i="3"/>
  <c r="C169" i="3"/>
  <c r="B169" i="3"/>
  <c r="A169" i="3"/>
  <c r="J168" i="3"/>
  <c r="I168" i="3"/>
  <c r="H168" i="3"/>
  <c r="G168" i="3"/>
  <c r="F168" i="3"/>
  <c r="E168" i="3"/>
  <c r="D168" i="3"/>
  <c r="C168" i="3"/>
  <c r="B168" i="3"/>
  <c r="A168" i="3"/>
  <c r="J167" i="3"/>
  <c r="I167" i="3"/>
  <c r="H167" i="3"/>
  <c r="G167" i="3"/>
  <c r="F167" i="3"/>
  <c r="E167" i="3"/>
  <c r="D167" i="3"/>
  <c r="C167" i="3"/>
  <c r="B167" i="3"/>
  <c r="A167" i="3"/>
  <c r="J166" i="3"/>
  <c r="I166" i="3"/>
  <c r="H166" i="3"/>
  <c r="G166" i="3"/>
  <c r="F166" i="3"/>
  <c r="E166" i="3"/>
  <c r="D166" i="3"/>
  <c r="C166" i="3"/>
  <c r="B166" i="3"/>
  <c r="A166" i="3"/>
  <c r="J165" i="3"/>
  <c r="I165" i="3"/>
  <c r="H165" i="3"/>
  <c r="G165" i="3"/>
  <c r="F165" i="3"/>
  <c r="E165" i="3"/>
  <c r="D165" i="3"/>
  <c r="C165" i="3"/>
  <c r="B165" i="3"/>
  <c r="A165" i="3"/>
  <c r="J164" i="3"/>
  <c r="I164" i="3"/>
  <c r="H164" i="3"/>
  <c r="G164" i="3"/>
  <c r="F164" i="3"/>
  <c r="E164" i="3"/>
  <c r="D164" i="3"/>
  <c r="C164" i="3"/>
  <c r="B164" i="3"/>
  <c r="A164" i="3"/>
  <c r="J163" i="3"/>
  <c r="I163" i="3"/>
  <c r="H163" i="3"/>
  <c r="G163" i="3"/>
  <c r="F163" i="3"/>
  <c r="E163" i="3"/>
  <c r="D163" i="3"/>
  <c r="C163" i="3"/>
  <c r="B163" i="3"/>
  <c r="A163" i="3"/>
  <c r="J162" i="3"/>
  <c r="I162" i="3"/>
  <c r="H162" i="3"/>
  <c r="G162" i="3"/>
  <c r="F162" i="3"/>
  <c r="E162" i="3"/>
  <c r="D162" i="3"/>
  <c r="C162" i="3"/>
  <c r="B162" i="3"/>
  <c r="A162" i="3"/>
  <c r="J161" i="3"/>
  <c r="I161" i="3"/>
  <c r="H161" i="3"/>
  <c r="G161" i="3"/>
  <c r="F161" i="3"/>
  <c r="E161" i="3"/>
  <c r="D161" i="3"/>
  <c r="C161" i="3"/>
  <c r="B161" i="3"/>
  <c r="A161" i="3"/>
  <c r="J160" i="3"/>
  <c r="I160" i="3"/>
  <c r="H160" i="3"/>
  <c r="G160" i="3"/>
  <c r="F160" i="3"/>
  <c r="E160" i="3"/>
  <c r="D160" i="3"/>
  <c r="C160" i="3"/>
  <c r="B160" i="3"/>
  <c r="A160" i="3"/>
  <c r="J159" i="3"/>
  <c r="I159" i="3"/>
  <c r="H159" i="3"/>
  <c r="G159" i="3"/>
  <c r="F159" i="3"/>
  <c r="E159" i="3"/>
  <c r="D159" i="3"/>
  <c r="C159" i="3"/>
  <c r="B159" i="3"/>
  <c r="A159" i="3"/>
  <c r="J158" i="3"/>
  <c r="I158" i="3"/>
  <c r="H158" i="3"/>
  <c r="G158" i="3"/>
  <c r="F158" i="3"/>
  <c r="E158" i="3"/>
  <c r="D158" i="3"/>
  <c r="C158" i="3"/>
  <c r="B158" i="3"/>
  <c r="A158" i="3"/>
  <c r="J157" i="3"/>
  <c r="I157" i="3"/>
  <c r="H157" i="3"/>
  <c r="G157" i="3"/>
  <c r="F157" i="3"/>
  <c r="E157" i="3"/>
  <c r="D157" i="3"/>
  <c r="C157" i="3"/>
  <c r="B157" i="3"/>
  <c r="A157" i="3"/>
  <c r="J156" i="3"/>
  <c r="I156" i="3"/>
  <c r="H156" i="3"/>
  <c r="G156" i="3"/>
  <c r="F156" i="3"/>
  <c r="E156" i="3"/>
  <c r="D156" i="3"/>
  <c r="C156" i="3"/>
  <c r="B156" i="3"/>
  <c r="A156" i="3"/>
  <c r="J155" i="3"/>
  <c r="I155" i="3"/>
  <c r="H155" i="3"/>
  <c r="G155" i="3"/>
  <c r="F155" i="3"/>
  <c r="E155" i="3"/>
  <c r="D155" i="3"/>
  <c r="C155" i="3"/>
  <c r="B155" i="3"/>
  <c r="A155" i="3"/>
  <c r="J154" i="3"/>
  <c r="I154" i="3"/>
  <c r="H154" i="3"/>
  <c r="G154" i="3"/>
  <c r="F154" i="3"/>
  <c r="E154" i="3"/>
  <c r="D154" i="3"/>
  <c r="C154" i="3"/>
  <c r="B154" i="3"/>
  <c r="A154" i="3"/>
  <c r="J153" i="3"/>
  <c r="I153" i="3"/>
  <c r="H153" i="3"/>
  <c r="G153" i="3"/>
  <c r="F153" i="3"/>
  <c r="E153" i="3"/>
  <c r="D153" i="3"/>
  <c r="C153" i="3"/>
  <c r="B153" i="3"/>
  <c r="A153" i="3"/>
  <c r="J152" i="3"/>
  <c r="I152" i="3"/>
  <c r="H152" i="3"/>
  <c r="G152" i="3"/>
  <c r="F152" i="3"/>
  <c r="E152" i="3"/>
  <c r="D152" i="3"/>
  <c r="C152" i="3"/>
  <c r="B152" i="3"/>
  <c r="A152" i="3"/>
  <c r="J151" i="3"/>
  <c r="I151" i="3"/>
  <c r="H151" i="3"/>
  <c r="G151" i="3"/>
  <c r="F151" i="3"/>
  <c r="E151" i="3"/>
  <c r="D151" i="3"/>
  <c r="C151" i="3"/>
  <c r="B151" i="3"/>
  <c r="A151" i="3"/>
  <c r="J150" i="3"/>
  <c r="I150" i="3"/>
  <c r="H150" i="3"/>
  <c r="G150" i="3"/>
  <c r="F150" i="3"/>
  <c r="E150" i="3"/>
  <c r="D150" i="3"/>
  <c r="C150" i="3"/>
  <c r="B150" i="3"/>
  <c r="A150" i="3"/>
  <c r="J149" i="3"/>
  <c r="I149" i="3"/>
  <c r="H149" i="3"/>
  <c r="G149" i="3"/>
  <c r="F149" i="3"/>
  <c r="E149" i="3"/>
  <c r="D149" i="3"/>
  <c r="C149" i="3"/>
  <c r="B149" i="3"/>
  <c r="A149" i="3"/>
  <c r="J148" i="3"/>
  <c r="I148" i="3"/>
  <c r="H148" i="3"/>
  <c r="G148" i="3"/>
  <c r="F148" i="3"/>
  <c r="E148" i="3"/>
  <c r="D148" i="3"/>
  <c r="C148" i="3"/>
  <c r="B148" i="3"/>
  <c r="A148" i="3"/>
  <c r="J147" i="3"/>
  <c r="I147" i="3"/>
  <c r="H147" i="3"/>
  <c r="G147" i="3"/>
  <c r="F147" i="3"/>
  <c r="E147" i="3"/>
  <c r="D147" i="3"/>
  <c r="C147" i="3"/>
  <c r="B147" i="3"/>
  <c r="A147" i="3"/>
  <c r="J146" i="3"/>
  <c r="I146" i="3"/>
  <c r="H146" i="3"/>
  <c r="G146" i="3"/>
  <c r="F146" i="3"/>
  <c r="E146" i="3"/>
  <c r="D146" i="3"/>
  <c r="C146" i="3"/>
  <c r="B146" i="3"/>
  <c r="A146" i="3"/>
  <c r="J145" i="3"/>
  <c r="I145" i="3"/>
  <c r="H145" i="3"/>
  <c r="G145" i="3"/>
  <c r="F145" i="3"/>
  <c r="E145" i="3"/>
  <c r="D145" i="3"/>
  <c r="C145" i="3"/>
  <c r="B145" i="3"/>
  <c r="A145" i="3"/>
  <c r="J144" i="3"/>
  <c r="I144" i="3"/>
  <c r="H144" i="3"/>
  <c r="G144" i="3"/>
  <c r="F144" i="3"/>
  <c r="E144" i="3"/>
  <c r="D144" i="3"/>
  <c r="C144" i="3"/>
  <c r="B144" i="3"/>
  <c r="A144" i="3"/>
  <c r="J143" i="3"/>
  <c r="I143" i="3"/>
  <c r="H143" i="3"/>
  <c r="G143" i="3"/>
  <c r="F143" i="3"/>
  <c r="E143" i="3"/>
  <c r="D143" i="3"/>
  <c r="C143" i="3"/>
  <c r="B143" i="3"/>
  <c r="A143" i="3"/>
  <c r="J142" i="3"/>
  <c r="I142" i="3"/>
  <c r="H142" i="3"/>
  <c r="G142" i="3"/>
  <c r="F142" i="3"/>
  <c r="E142" i="3"/>
  <c r="D142" i="3"/>
  <c r="C142" i="3"/>
  <c r="B142" i="3"/>
  <c r="A142" i="3"/>
  <c r="J141" i="3"/>
  <c r="I141" i="3"/>
  <c r="H141" i="3"/>
  <c r="G141" i="3"/>
  <c r="F141" i="3"/>
  <c r="E141" i="3"/>
  <c r="D141" i="3"/>
  <c r="C141" i="3"/>
  <c r="B141" i="3"/>
  <c r="A141" i="3"/>
  <c r="J140" i="3"/>
  <c r="I140" i="3"/>
  <c r="H140" i="3"/>
  <c r="G140" i="3"/>
  <c r="F140" i="3"/>
  <c r="E140" i="3"/>
  <c r="D140" i="3"/>
  <c r="C140" i="3"/>
  <c r="B140" i="3"/>
  <c r="A140" i="3"/>
  <c r="J139" i="3"/>
  <c r="I139" i="3"/>
  <c r="H139" i="3"/>
  <c r="G139" i="3"/>
  <c r="F139" i="3"/>
  <c r="E139" i="3"/>
  <c r="D139" i="3"/>
  <c r="C139" i="3"/>
  <c r="B139" i="3"/>
  <c r="A139" i="3"/>
  <c r="J138" i="3"/>
  <c r="I138" i="3"/>
  <c r="H138" i="3"/>
  <c r="G138" i="3"/>
  <c r="F138" i="3"/>
  <c r="E138" i="3"/>
  <c r="D138" i="3"/>
  <c r="C138" i="3"/>
  <c r="B138" i="3"/>
  <c r="A138" i="3"/>
  <c r="J137" i="3"/>
  <c r="I137" i="3"/>
  <c r="H137" i="3"/>
  <c r="G137" i="3"/>
  <c r="F137" i="3"/>
  <c r="E137" i="3"/>
  <c r="D137" i="3"/>
  <c r="C137" i="3"/>
  <c r="B137" i="3"/>
  <c r="A137" i="3"/>
  <c r="J136" i="3"/>
  <c r="I136" i="3"/>
  <c r="H136" i="3"/>
  <c r="G136" i="3"/>
  <c r="F136" i="3"/>
  <c r="E136" i="3"/>
  <c r="D136" i="3"/>
  <c r="C136" i="3"/>
  <c r="B136" i="3"/>
  <c r="A136" i="3"/>
  <c r="J135" i="3"/>
  <c r="I135" i="3"/>
  <c r="H135" i="3"/>
  <c r="G135" i="3"/>
  <c r="F135" i="3"/>
  <c r="E135" i="3"/>
  <c r="D135" i="3"/>
  <c r="C135" i="3"/>
  <c r="B135" i="3"/>
  <c r="A135" i="3"/>
  <c r="J134" i="3"/>
  <c r="I134" i="3"/>
  <c r="H134" i="3"/>
  <c r="G134" i="3"/>
  <c r="F134" i="3"/>
  <c r="E134" i="3"/>
  <c r="D134" i="3"/>
  <c r="C134" i="3"/>
  <c r="B134" i="3"/>
  <c r="A134" i="3"/>
  <c r="J133" i="3"/>
  <c r="I133" i="3"/>
  <c r="H133" i="3"/>
  <c r="G133" i="3"/>
  <c r="F133" i="3"/>
  <c r="E133" i="3"/>
  <c r="D133" i="3"/>
  <c r="C133" i="3"/>
  <c r="B133" i="3"/>
  <c r="A133" i="3"/>
  <c r="J132" i="3"/>
  <c r="I132" i="3"/>
  <c r="H132" i="3"/>
  <c r="G132" i="3"/>
  <c r="F132" i="3"/>
  <c r="E132" i="3"/>
  <c r="D132" i="3"/>
  <c r="C132" i="3"/>
  <c r="B132" i="3"/>
  <c r="A132" i="3"/>
  <c r="J131" i="3"/>
  <c r="I131" i="3"/>
  <c r="H131" i="3"/>
  <c r="G131" i="3"/>
  <c r="F131" i="3"/>
  <c r="E131" i="3"/>
  <c r="D131" i="3"/>
  <c r="C131" i="3"/>
  <c r="B131" i="3"/>
  <c r="A131" i="3"/>
  <c r="J130" i="3"/>
  <c r="I130" i="3"/>
  <c r="H130" i="3"/>
  <c r="G130" i="3"/>
  <c r="F130" i="3"/>
  <c r="E130" i="3"/>
  <c r="D130" i="3"/>
  <c r="C130" i="3"/>
  <c r="B130" i="3"/>
  <c r="A130" i="3"/>
  <c r="J129" i="3"/>
  <c r="I129" i="3"/>
  <c r="H129" i="3"/>
  <c r="G129" i="3"/>
  <c r="F129" i="3"/>
  <c r="E129" i="3"/>
  <c r="D129" i="3"/>
  <c r="C129" i="3"/>
  <c r="B129" i="3"/>
  <c r="A129" i="3"/>
  <c r="J128" i="3"/>
  <c r="I128" i="3"/>
  <c r="H128" i="3"/>
  <c r="G128" i="3"/>
  <c r="F128" i="3"/>
  <c r="E128" i="3"/>
  <c r="D128" i="3"/>
  <c r="C128" i="3"/>
  <c r="B128" i="3"/>
  <c r="A128" i="3"/>
  <c r="J127" i="3"/>
  <c r="I127" i="3"/>
  <c r="H127" i="3"/>
  <c r="G127" i="3"/>
  <c r="F127" i="3"/>
  <c r="E127" i="3"/>
  <c r="D127" i="3"/>
  <c r="C127" i="3"/>
  <c r="B127" i="3"/>
  <c r="A127" i="3"/>
  <c r="J126" i="3"/>
  <c r="I126" i="3"/>
  <c r="H126" i="3"/>
  <c r="G126" i="3"/>
  <c r="F126" i="3"/>
  <c r="E126" i="3"/>
  <c r="D126" i="3"/>
  <c r="C126" i="3"/>
  <c r="B126" i="3"/>
  <c r="A126" i="3"/>
  <c r="J125" i="3"/>
  <c r="I125" i="3"/>
  <c r="H125" i="3"/>
  <c r="G125" i="3"/>
  <c r="F125" i="3"/>
  <c r="E125" i="3"/>
  <c r="D125" i="3"/>
  <c r="C125" i="3"/>
  <c r="B125" i="3"/>
  <c r="A125" i="3"/>
  <c r="J124" i="3"/>
  <c r="I124" i="3"/>
  <c r="H124" i="3"/>
  <c r="G124" i="3"/>
  <c r="F124" i="3"/>
  <c r="E124" i="3"/>
  <c r="D124" i="3"/>
  <c r="C124" i="3"/>
  <c r="B124" i="3"/>
  <c r="A124" i="3"/>
  <c r="J123" i="3"/>
  <c r="I123" i="3"/>
  <c r="H123" i="3"/>
  <c r="G123" i="3"/>
  <c r="F123" i="3"/>
  <c r="E123" i="3"/>
  <c r="D123" i="3"/>
  <c r="C123" i="3"/>
  <c r="B123" i="3"/>
  <c r="A123" i="3"/>
  <c r="J122" i="3"/>
  <c r="I122" i="3"/>
  <c r="H122" i="3"/>
  <c r="G122" i="3"/>
  <c r="F122" i="3"/>
  <c r="E122" i="3"/>
  <c r="D122" i="3"/>
  <c r="C122" i="3"/>
  <c r="B122" i="3"/>
  <c r="A122" i="3"/>
  <c r="J121" i="3"/>
  <c r="I121" i="3"/>
  <c r="H121" i="3"/>
  <c r="G121" i="3"/>
  <c r="F121" i="3"/>
  <c r="E121" i="3"/>
  <c r="D121" i="3"/>
  <c r="C121" i="3"/>
  <c r="B121" i="3"/>
  <c r="A121" i="3"/>
  <c r="J120" i="3"/>
  <c r="I120" i="3"/>
  <c r="H120" i="3"/>
  <c r="G120" i="3"/>
  <c r="F120" i="3"/>
  <c r="E120" i="3"/>
  <c r="D120" i="3"/>
  <c r="C120" i="3"/>
  <c r="B120" i="3"/>
  <c r="A120" i="3"/>
  <c r="J119" i="3"/>
  <c r="I119" i="3"/>
  <c r="H119" i="3"/>
  <c r="G119" i="3"/>
  <c r="F119" i="3"/>
  <c r="E119" i="3"/>
  <c r="D119" i="3"/>
  <c r="C119" i="3"/>
  <c r="B119" i="3"/>
  <c r="A119" i="3"/>
  <c r="J118" i="3"/>
  <c r="I118" i="3"/>
  <c r="H118" i="3"/>
  <c r="G118" i="3"/>
  <c r="F118" i="3"/>
  <c r="E118" i="3"/>
  <c r="D118" i="3"/>
  <c r="C118" i="3"/>
  <c r="B118" i="3"/>
  <c r="A118" i="3"/>
  <c r="J117" i="3"/>
  <c r="I117" i="3"/>
  <c r="H117" i="3"/>
  <c r="G117" i="3"/>
  <c r="F117" i="3"/>
  <c r="E117" i="3"/>
  <c r="D117" i="3"/>
  <c r="C117" i="3"/>
  <c r="B117" i="3"/>
  <c r="A117" i="3"/>
  <c r="J116" i="3"/>
  <c r="I116" i="3"/>
  <c r="H116" i="3"/>
  <c r="G116" i="3"/>
  <c r="F116" i="3"/>
  <c r="E116" i="3"/>
  <c r="D116" i="3"/>
  <c r="C116" i="3"/>
  <c r="B116" i="3"/>
  <c r="A116" i="3"/>
  <c r="J115" i="3"/>
  <c r="I115" i="3"/>
  <c r="H115" i="3"/>
  <c r="G115" i="3"/>
  <c r="F115" i="3"/>
  <c r="E115" i="3"/>
  <c r="D115" i="3"/>
  <c r="C115" i="3"/>
  <c r="B115" i="3"/>
  <c r="A115" i="3"/>
  <c r="J114" i="3"/>
  <c r="I114" i="3"/>
  <c r="H114" i="3"/>
  <c r="G114" i="3"/>
  <c r="F114" i="3"/>
  <c r="E114" i="3"/>
  <c r="D114" i="3"/>
  <c r="C114" i="3"/>
  <c r="B114" i="3"/>
  <c r="A114" i="3"/>
  <c r="J113" i="3"/>
  <c r="I113" i="3"/>
  <c r="H113" i="3"/>
  <c r="G113" i="3"/>
  <c r="F113" i="3"/>
  <c r="E113" i="3"/>
  <c r="D113" i="3"/>
  <c r="C113" i="3"/>
  <c r="B113" i="3"/>
  <c r="A113" i="3"/>
  <c r="J112" i="3"/>
  <c r="I112" i="3"/>
  <c r="H112" i="3"/>
  <c r="G112" i="3"/>
  <c r="F112" i="3"/>
  <c r="E112" i="3"/>
  <c r="D112" i="3"/>
  <c r="C112" i="3"/>
  <c r="B112" i="3"/>
  <c r="A112" i="3"/>
  <c r="J111" i="3"/>
  <c r="I111" i="3"/>
  <c r="H111" i="3"/>
  <c r="G111" i="3"/>
  <c r="F111" i="3"/>
  <c r="E111" i="3"/>
  <c r="D111" i="3"/>
  <c r="C111" i="3"/>
  <c r="B111" i="3"/>
  <c r="A111" i="3"/>
  <c r="J110" i="3"/>
  <c r="I110" i="3"/>
  <c r="H110" i="3"/>
  <c r="G110" i="3"/>
  <c r="F110" i="3"/>
  <c r="E110" i="3"/>
  <c r="D110" i="3"/>
  <c r="C110" i="3"/>
  <c r="B110" i="3"/>
  <c r="A110" i="3"/>
  <c r="J109" i="3"/>
  <c r="I109" i="3"/>
  <c r="H109" i="3"/>
  <c r="G109" i="3"/>
  <c r="F109" i="3"/>
  <c r="E109" i="3"/>
  <c r="D109" i="3"/>
  <c r="C109" i="3"/>
  <c r="B109" i="3"/>
  <c r="A109" i="3"/>
  <c r="J108" i="3"/>
  <c r="I108" i="3"/>
  <c r="H108" i="3"/>
  <c r="G108" i="3"/>
  <c r="F108" i="3"/>
  <c r="E108" i="3"/>
  <c r="D108" i="3"/>
  <c r="C108" i="3"/>
  <c r="B108" i="3"/>
  <c r="A108" i="3"/>
  <c r="J107" i="3"/>
  <c r="I107" i="3"/>
  <c r="H107" i="3"/>
  <c r="G107" i="3"/>
  <c r="F107" i="3"/>
  <c r="E107" i="3"/>
  <c r="D107" i="3"/>
  <c r="C107" i="3"/>
  <c r="B107" i="3"/>
  <c r="A107" i="3"/>
  <c r="J106" i="3"/>
  <c r="I106" i="3"/>
  <c r="H106" i="3"/>
  <c r="G106" i="3"/>
  <c r="F106" i="3"/>
  <c r="E106" i="3"/>
  <c r="D106" i="3"/>
  <c r="C106" i="3"/>
  <c r="B106" i="3"/>
  <c r="A106" i="3"/>
  <c r="J105" i="3"/>
  <c r="I105" i="3"/>
  <c r="H105" i="3"/>
  <c r="G105" i="3"/>
  <c r="F105" i="3"/>
  <c r="E105" i="3"/>
  <c r="D105" i="3"/>
  <c r="C105" i="3"/>
  <c r="B105" i="3"/>
  <c r="A105" i="3"/>
  <c r="J104" i="3"/>
  <c r="I104" i="3"/>
  <c r="H104" i="3"/>
  <c r="G104" i="3"/>
  <c r="F104" i="3"/>
  <c r="E104" i="3"/>
  <c r="D104" i="3"/>
  <c r="C104" i="3"/>
  <c r="B104" i="3"/>
  <c r="A104" i="3"/>
  <c r="J103" i="3"/>
  <c r="I103" i="3"/>
  <c r="H103" i="3"/>
  <c r="G103" i="3"/>
  <c r="F103" i="3"/>
  <c r="E103" i="3"/>
  <c r="D103" i="3"/>
  <c r="C103" i="3"/>
  <c r="B103" i="3"/>
  <c r="A103" i="3"/>
  <c r="J102" i="3"/>
  <c r="I102" i="3"/>
  <c r="H102" i="3"/>
  <c r="G102" i="3"/>
  <c r="F102" i="3"/>
  <c r="E102" i="3"/>
  <c r="D102" i="3"/>
  <c r="C102" i="3"/>
  <c r="B102" i="3"/>
  <c r="A102" i="3"/>
  <c r="J101" i="3"/>
  <c r="I101" i="3"/>
  <c r="H101" i="3"/>
  <c r="G101" i="3"/>
  <c r="F101" i="3"/>
  <c r="E101" i="3"/>
  <c r="D101" i="3"/>
  <c r="C101" i="3"/>
  <c r="B101" i="3"/>
  <c r="A101" i="3"/>
  <c r="J100" i="3"/>
  <c r="I100" i="3"/>
  <c r="H100" i="3"/>
  <c r="G100" i="3"/>
  <c r="F100" i="3"/>
  <c r="E100" i="3"/>
  <c r="D100" i="3"/>
  <c r="C100" i="3"/>
  <c r="B100" i="3"/>
  <c r="A100" i="3"/>
  <c r="J99" i="3"/>
  <c r="I99" i="3"/>
  <c r="H99" i="3"/>
  <c r="G99" i="3"/>
  <c r="F99" i="3"/>
  <c r="E99" i="3"/>
  <c r="D99" i="3"/>
  <c r="C99" i="3"/>
  <c r="B99" i="3"/>
  <c r="A99" i="3"/>
  <c r="J98" i="3"/>
  <c r="I98" i="3"/>
  <c r="H98" i="3"/>
  <c r="G98" i="3"/>
  <c r="F98" i="3"/>
  <c r="E98" i="3"/>
  <c r="D98" i="3"/>
  <c r="C98" i="3"/>
  <c r="B98" i="3"/>
  <c r="A98" i="3"/>
  <c r="J97" i="3"/>
  <c r="I97" i="3"/>
  <c r="H97" i="3"/>
  <c r="G97" i="3"/>
  <c r="F97" i="3"/>
  <c r="E97" i="3"/>
  <c r="D97" i="3"/>
  <c r="C97" i="3"/>
  <c r="B97" i="3"/>
  <c r="A97" i="3"/>
  <c r="J96" i="3"/>
  <c r="I96" i="3"/>
  <c r="H96" i="3"/>
  <c r="G96" i="3"/>
  <c r="F96" i="3"/>
  <c r="E96" i="3"/>
  <c r="D96" i="3"/>
  <c r="C96" i="3"/>
  <c r="B96" i="3"/>
  <c r="A96" i="3"/>
  <c r="J95" i="3"/>
  <c r="I95" i="3"/>
  <c r="H95" i="3"/>
  <c r="G95" i="3"/>
  <c r="F95" i="3"/>
  <c r="E95" i="3"/>
  <c r="D95" i="3"/>
  <c r="C95" i="3"/>
  <c r="B95" i="3"/>
  <c r="A95" i="3"/>
  <c r="J94" i="3"/>
  <c r="I94" i="3"/>
  <c r="H94" i="3"/>
  <c r="G94" i="3"/>
  <c r="F94" i="3"/>
  <c r="E94" i="3"/>
  <c r="D94" i="3"/>
  <c r="C94" i="3"/>
  <c r="B94" i="3"/>
  <c r="A94" i="3"/>
  <c r="J93" i="3"/>
  <c r="I93" i="3"/>
  <c r="H93" i="3"/>
  <c r="G93" i="3"/>
  <c r="F93" i="3"/>
  <c r="E93" i="3"/>
  <c r="D93" i="3"/>
  <c r="C93" i="3"/>
  <c r="B93" i="3"/>
  <c r="A93" i="3"/>
  <c r="J92" i="3"/>
  <c r="I92" i="3"/>
  <c r="H92" i="3"/>
  <c r="G92" i="3"/>
  <c r="F92" i="3"/>
  <c r="E92" i="3"/>
  <c r="D92" i="3"/>
  <c r="C92" i="3"/>
  <c r="B92" i="3"/>
  <c r="A92" i="3"/>
  <c r="J91" i="3"/>
  <c r="I91" i="3"/>
  <c r="H91" i="3"/>
  <c r="G91" i="3"/>
  <c r="F91" i="3"/>
  <c r="E91" i="3"/>
  <c r="D91" i="3"/>
  <c r="C91" i="3"/>
  <c r="B91" i="3"/>
  <c r="A91" i="3"/>
  <c r="J90" i="3"/>
  <c r="I90" i="3"/>
  <c r="H90" i="3"/>
  <c r="G90" i="3"/>
  <c r="F90" i="3"/>
  <c r="E90" i="3"/>
  <c r="D90" i="3"/>
  <c r="C90" i="3"/>
  <c r="B90" i="3"/>
  <c r="A90" i="3"/>
  <c r="J89" i="3"/>
  <c r="I89" i="3"/>
  <c r="H89" i="3"/>
  <c r="G89" i="3"/>
  <c r="F89" i="3"/>
  <c r="E89" i="3"/>
  <c r="D89" i="3"/>
  <c r="C89" i="3"/>
  <c r="B89" i="3"/>
  <c r="A89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J80" i="3"/>
  <c r="I80" i="3"/>
  <c r="H80" i="3"/>
  <c r="G80" i="3"/>
  <c r="F80" i="3"/>
  <c r="E80" i="3"/>
  <c r="D80" i="3"/>
  <c r="C80" i="3"/>
  <c r="B80" i="3"/>
  <c r="A80" i="3"/>
  <c r="J79" i="3"/>
  <c r="I79" i="3"/>
  <c r="H79" i="3"/>
  <c r="G79" i="3"/>
  <c r="F79" i="3"/>
  <c r="E79" i="3"/>
  <c r="D79" i="3"/>
  <c r="C79" i="3"/>
  <c r="B79" i="3"/>
  <c r="A79" i="3"/>
  <c r="J78" i="3"/>
  <c r="I78" i="3"/>
  <c r="H78" i="3"/>
  <c r="G78" i="3"/>
  <c r="F78" i="3"/>
  <c r="E78" i="3"/>
  <c r="D78" i="3"/>
  <c r="C78" i="3"/>
  <c r="B78" i="3"/>
  <c r="A78" i="3"/>
  <c r="J77" i="3"/>
  <c r="I77" i="3"/>
  <c r="H77" i="3"/>
  <c r="G77" i="3"/>
  <c r="F77" i="3"/>
  <c r="E77" i="3"/>
  <c r="D77" i="3"/>
  <c r="C77" i="3"/>
  <c r="B77" i="3"/>
  <c r="A77" i="3"/>
  <c r="J76" i="3"/>
  <c r="I76" i="3"/>
  <c r="H76" i="3"/>
  <c r="G76" i="3"/>
  <c r="F76" i="3"/>
  <c r="E76" i="3"/>
  <c r="D76" i="3"/>
  <c r="C76" i="3"/>
  <c r="B76" i="3"/>
  <c r="A76" i="3"/>
  <c r="J75" i="3"/>
  <c r="I75" i="3"/>
  <c r="H75" i="3"/>
  <c r="G75" i="3"/>
  <c r="F75" i="3"/>
  <c r="E75" i="3"/>
  <c r="D75" i="3"/>
  <c r="C75" i="3"/>
  <c r="B75" i="3"/>
  <c r="A75" i="3"/>
  <c r="J74" i="3"/>
  <c r="I74" i="3"/>
  <c r="H74" i="3"/>
  <c r="G74" i="3"/>
  <c r="F74" i="3"/>
  <c r="E74" i="3"/>
  <c r="D74" i="3"/>
  <c r="C74" i="3"/>
  <c r="B74" i="3"/>
  <c r="A74" i="3"/>
  <c r="J73" i="3"/>
  <c r="I73" i="3"/>
  <c r="H73" i="3"/>
  <c r="G73" i="3"/>
  <c r="F73" i="3"/>
  <c r="E73" i="3"/>
  <c r="D73" i="3"/>
  <c r="C73" i="3"/>
  <c r="B73" i="3"/>
  <c r="A73" i="3"/>
  <c r="J72" i="3"/>
  <c r="I72" i="3"/>
  <c r="H72" i="3"/>
  <c r="G72" i="3"/>
  <c r="F72" i="3"/>
  <c r="E72" i="3"/>
  <c r="D72" i="3"/>
  <c r="C72" i="3"/>
  <c r="B72" i="3"/>
  <c r="A72" i="3"/>
  <c r="J71" i="3"/>
  <c r="I71" i="3"/>
  <c r="H71" i="3"/>
  <c r="G71" i="3"/>
  <c r="F71" i="3"/>
  <c r="E71" i="3"/>
  <c r="D71" i="3"/>
  <c r="C71" i="3"/>
  <c r="B71" i="3"/>
  <c r="A71" i="3"/>
  <c r="J70" i="3"/>
  <c r="I70" i="3"/>
  <c r="H70" i="3"/>
  <c r="G70" i="3"/>
  <c r="F70" i="3"/>
  <c r="E70" i="3"/>
  <c r="D70" i="3"/>
  <c r="C70" i="3"/>
  <c r="B70" i="3"/>
  <c r="A70" i="3"/>
  <c r="J69" i="3"/>
  <c r="I69" i="3"/>
  <c r="H69" i="3"/>
  <c r="G69" i="3"/>
  <c r="F69" i="3"/>
  <c r="E69" i="3"/>
  <c r="D69" i="3"/>
  <c r="C69" i="3"/>
  <c r="B69" i="3"/>
  <c r="A69" i="3"/>
  <c r="J68" i="3"/>
  <c r="I68" i="3"/>
  <c r="H68" i="3"/>
  <c r="G68" i="3"/>
  <c r="F68" i="3"/>
  <c r="E68" i="3"/>
  <c r="D68" i="3"/>
  <c r="C68" i="3"/>
  <c r="B68" i="3"/>
  <c r="A68" i="3"/>
  <c r="J67" i="3"/>
  <c r="I67" i="3"/>
  <c r="H67" i="3"/>
  <c r="G67" i="3"/>
  <c r="F67" i="3"/>
  <c r="E67" i="3"/>
  <c r="D67" i="3"/>
  <c r="C67" i="3"/>
  <c r="B67" i="3"/>
  <c r="A67" i="3"/>
  <c r="J66" i="3"/>
  <c r="I66" i="3"/>
  <c r="H66" i="3"/>
  <c r="G66" i="3"/>
  <c r="F66" i="3"/>
  <c r="E66" i="3"/>
  <c r="D66" i="3"/>
  <c r="C66" i="3"/>
  <c r="B66" i="3"/>
  <c r="A66" i="3"/>
  <c r="J65" i="3"/>
  <c r="I65" i="3"/>
  <c r="H65" i="3"/>
  <c r="G65" i="3"/>
  <c r="F65" i="3"/>
  <c r="E65" i="3"/>
  <c r="D65" i="3"/>
  <c r="C65" i="3"/>
  <c r="B65" i="3"/>
  <c r="A65" i="3"/>
  <c r="J64" i="3"/>
  <c r="I64" i="3"/>
  <c r="H64" i="3"/>
  <c r="G64" i="3"/>
  <c r="F64" i="3"/>
  <c r="E64" i="3"/>
  <c r="D64" i="3"/>
  <c r="C64" i="3"/>
  <c r="B64" i="3"/>
  <c r="A64" i="3"/>
  <c r="J63" i="3"/>
  <c r="I63" i="3"/>
  <c r="H63" i="3"/>
  <c r="G63" i="3"/>
  <c r="F63" i="3"/>
  <c r="E63" i="3"/>
  <c r="D63" i="3"/>
  <c r="C63" i="3"/>
  <c r="B63" i="3"/>
  <c r="A63" i="3"/>
  <c r="J62" i="3"/>
  <c r="I62" i="3"/>
  <c r="H62" i="3"/>
  <c r="G62" i="3"/>
  <c r="F62" i="3"/>
  <c r="E62" i="3"/>
  <c r="D62" i="3"/>
  <c r="C62" i="3"/>
  <c r="B62" i="3"/>
  <c r="A62" i="3"/>
  <c r="J61" i="3"/>
  <c r="I61" i="3"/>
  <c r="H61" i="3"/>
  <c r="G61" i="3"/>
  <c r="F61" i="3"/>
  <c r="E61" i="3"/>
  <c r="D61" i="3"/>
  <c r="C61" i="3"/>
  <c r="B61" i="3"/>
  <c r="A61" i="3"/>
  <c r="J60" i="3"/>
  <c r="I60" i="3"/>
  <c r="H60" i="3"/>
  <c r="G60" i="3"/>
  <c r="F60" i="3"/>
  <c r="E60" i="3"/>
  <c r="D60" i="3"/>
  <c r="C60" i="3"/>
  <c r="B60" i="3"/>
  <c r="A60" i="3"/>
  <c r="J59" i="3"/>
  <c r="I59" i="3"/>
  <c r="H59" i="3"/>
  <c r="G59" i="3"/>
  <c r="F59" i="3"/>
  <c r="E59" i="3"/>
  <c r="D59" i="3"/>
  <c r="C59" i="3"/>
  <c r="B59" i="3"/>
  <c r="A59" i="3"/>
  <c r="J58" i="3"/>
  <c r="I58" i="3"/>
  <c r="H58" i="3"/>
  <c r="G58" i="3"/>
  <c r="F58" i="3"/>
  <c r="E58" i="3"/>
  <c r="D58" i="3"/>
  <c r="C58" i="3"/>
  <c r="B58" i="3"/>
  <c r="A58" i="3"/>
  <c r="J57" i="3"/>
  <c r="I57" i="3"/>
  <c r="H57" i="3"/>
  <c r="G57" i="3"/>
  <c r="F57" i="3"/>
  <c r="E57" i="3"/>
  <c r="D57" i="3"/>
  <c r="C57" i="3"/>
  <c r="B57" i="3"/>
  <c r="A57" i="3"/>
  <c r="J56" i="3"/>
  <c r="I56" i="3"/>
  <c r="H56" i="3"/>
  <c r="G56" i="3"/>
  <c r="F56" i="3"/>
  <c r="E56" i="3"/>
  <c r="D56" i="3"/>
  <c r="C56" i="3"/>
  <c r="B56" i="3"/>
  <c r="A56" i="3"/>
  <c r="J55" i="3"/>
  <c r="I55" i="3"/>
  <c r="H55" i="3"/>
  <c r="G55" i="3"/>
  <c r="F55" i="3"/>
  <c r="E55" i="3"/>
  <c r="D55" i="3"/>
  <c r="C55" i="3"/>
  <c r="B55" i="3"/>
  <c r="A55" i="3"/>
  <c r="J54" i="3"/>
  <c r="I54" i="3"/>
  <c r="H54" i="3"/>
  <c r="G54" i="3"/>
  <c r="F54" i="3"/>
  <c r="E54" i="3"/>
  <c r="D54" i="3"/>
  <c r="C54" i="3"/>
  <c r="B54" i="3"/>
  <c r="A54" i="3"/>
  <c r="J53" i="3"/>
  <c r="I53" i="3"/>
  <c r="H53" i="3"/>
  <c r="G53" i="3"/>
  <c r="F53" i="3"/>
  <c r="E53" i="3"/>
  <c r="D53" i="3"/>
  <c r="C53" i="3"/>
  <c r="B53" i="3"/>
  <c r="A53" i="3"/>
  <c r="J52" i="3"/>
  <c r="I52" i="3"/>
  <c r="H52" i="3"/>
  <c r="G52" i="3"/>
  <c r="F52" i="3"/>
  <c r="E52" i="3"/>
  <c r="D52" i="3"/>
  <c r="C52" i="3"/>
  <c r="B52" i="3"/>
  <c r="A52" i="3"/>
  <c r="J51" i="3"/>
  <c r="I51" i="3"/>
  <c r="H51" i="3"/>
  <c r="G51" i="3"/>
  <c r="F51" i="3"/>
  <c r="E51" i="3"/>
  <c r="D51" i="3"/>
  <c r="C51" i="3"/>
  <c r="B51" i="3"/>
  <c r="A51" i="3"/>
  <c r="J50" i="3"/>
  <c r="I50" i="3"/>
  <c r="H50" i="3"/>
  <c r="G50" i="3"/>
  <c r="F50" i="3"/>
  <c r="E50" i="3"/>
  <c r="D50" i="3"/>
  <c r="C50" i="3"/>
  <c r="B50" i="3"/>
  <c r="A50" i="3"/>
  <c r="J49" i="3"/>
  <c r="I49" i="3"/>
  <c r="H49" i="3"/>
  <c r="G49" i="3"/>
  <c r="F49" i="3"/>
  <c r="E49" i="3"/>
  <c r="D49" i="3"/>
  <c r="C49" i="3"/>
  <c r="B49" i="3"/>
  <c r="A49" i="3"/>
  <c r="J48" i="3"/>
  <c r="I48" i="3"/>
  <c r="H48" i="3"/>
  <c r="G48" i="3"/>
  <c r="F48" i="3"/>
  <c r="E48" i="3"/>
  <c r="D48" i="3"/>
  <c r="C48" i="3"/>
  <c r="B48" i="3"/>
  <c r="A48" i="3"/>
  <c r="J47" i="3"/>
  <c r="I47" i="3"/>
  <c r="H47" i="3"/>
  <c r="G47" i="3"/>
  <c r="F47" i="3"/>
  <c r="E47" i="3"/>
  <c r="D47" i="3"/>
  <c r="C47" i="3"/>
  <c r="B47" i="3"/>
  <c r="A47" i="3"/>
  <c r="J46" i="3"/>
  <c r="I46" i="3"/>
  <c r="H46" i="3"/>
  <c r="G46" i="3"/>
  <c r="F46" i="3"/>
  <c r="E46" i="3"/>
  <c r="D46" i="3"/>
  <c r="C46" i="3"/>
  <c r="B46" i="3"/>
  <c r="A46" i="3"/>
  <c r="J45" i="3"/>
  <c r="I45" i="3"/>
  <c r="H45" i="3"/>
  <c r="G45" i="3"/>
  <c r="F45" i="3"/>
  <c r="E45" i="3"/>
  <c r="D45" i="3"/>
  <c r="C45" i="3"/>
  <c r="B45" i="3"/>
  <c r="A45" i="3"/>
  <c r="J44" i="3"/>
  <c r="I44" i="3"/>
  <c r="H44" i="3"/>
  <c r="G44" i="3"/>
  <c r="F44" i="3"/>
  <c r="E44" i="3"/>
  <c r="D44" i="3"/>
  <c r="C44" i="3"/>
  <c r="B44" i="3"/>
  <c r="A44" i="3"/>
  <c r="J43" i="3"/>
  <c r="I43" i="3"/>
  <c r="H43" i="3"/>
  <c r="G43" i="3"/>
  <c r="F43" i="3"/>
  <c r="E43" i="3"/>
  <c r="D43" i="3"/>
  <c r="C43" i="3"/>
  <c r="B43" i="3"/>
  <c r="A43" i="3"/>
  <c r="J42" i="3"/>
  <c r="I42" i="3"/>
  <c r="H42" i="3"/>
  <c r="G42" i="3"/>
  <c r="F42" i="3"/>
  <c r="E42" i="3"/>
  <c r="D42" i="3"/>
  <c r="C42" i="3"/>
  <c r="B42" i="3"/>
  <c r="A42" i="3"/>
  <c r="J41" i="3"/>
  <c r="I41" i="3"/>
  <c r="H41" i="3"/>
  <c r="G41" i="3"/>
  <c r="F41" i="3"/>
  <c r="E41" i="3"/>
  <c r="D41" i="3"/>
  <c r="C41" i="3"/>
  <c r="B41" i="3"/>
  <c r="A41" i="3"/>
  <c r="J40" i="3"/>
  <c r="I40" i="3"/>
  <c r="H40" i="3"/>
  <c r="G40" i="3"/>
  <c r="F40" i="3"/>
  <c r="E40" i="3"/>
  <c r="D40" i="3"/>
  <c r="C40" i="3"/>
  <c r="B40" i="3"/>
  <c r="A40" i="3"/>
  <c r="J39" i="3"/>
  <c r="I39" i="3"/>
  <c r="H39" i="3"/>
  <c r="G39" i="3"/>
  <c r="F39" i="3"/>
  <c r="E39" i="3"/>
  <c r="D39" i="3"/>
  <c r="C39" i="3"/>
  <c r="B39" i="3"/>
  <c r="A39" i="3"/>
  <c r="J38" i="3"/>
  <c r="I38" i="3"/>
  <c r="H38" i="3"/>
  <c r="G38" i="3"/>
  <c r="F38" i="3"/>
  <c r="E38" i="3"/>
  <c r="D38" i="3"/>
  <c r="C38" i="3"/>
  <c r="B38" i="3"/>
  <c r="A38" i="3"/>
  <c r="J37" i="3"/>
  <c r="I37" i="3"/>
  <c r="H37" i="3"/>
  <c r="G37" i="3"/>
  <c r="F37" i="3"/>
  <c r="E37" i="3"/>
  <c r="D37" i="3"/>
  <c r="C37" i="3"/>
  <c r="B37" i="3"/>
  <c r="A37" i="3"/>
  <c r="J36" i="3"/>
  <c r="I36" i="3"/>
  <c r="H36" i="3"/>
  <c r="G36" i="3"/>
  <c r="F36" i="3"/>
  <c r="E36" i="3"/>
  <c r="D36" i="3"/>
  <c r="C36" i="3"/>
  <c r="B36" i="3"/>
  <c r="A36" i="3"/>
  <c r="J35" i="3"/>
  <c r="I35" i="3"/>
  <c r="H35" i="3"/>
  <c r="G35" i="3"/>
  <c r="F35" i="3"/>
  <c r="E35" i="3"/>
  <c r="D35" i="3"/>
  <c r="C35" i="3"/>
  <c r="B35" i="3"/>
  <c r="A35" i="3"/>
  <c r="J34" i="3"/>
  <c r="I34" i="3"/>
  <c r="H34" i="3"/>
  <c r="G34" i="3"/>
  <c r="F34" i="3"/>
  <c r="E34" i="3"/>
  <c r="D34" i="3"/>
  <c r="C34" i="3"/>
  <c r="B34" i="3"/>
  <c r="A34" i="3"/>
  <c r="J33" i="3"/>
  <c r="I33" i="3"/>
  <c r="H33" i="3"/>
  <c r="G33" i="3"/>
  <c r="F33" i="3"/>
  <c r="E33" i="3"/>
  <c r="D33" i="3"/>
  <c r="C33" i="3"/>
  <c r="B33" i="3"/>
  <c r="A33" i="3"/>
  <c r="J32" i="3"/>
  <c r="I32" i="3"/>
  <c r="H32" i="3"/>
  <c r="G32" i="3"/>
  <c r="F32" i="3"/>
  <c r="E32" i="3"/>
  <c r="D32" i="3"/>
  <c r="C32" i="3"/>
  <c r="B32" i="3"/>
  <c r="A32" i="3"/>
  <c r="K2" i="3" s="1" a="1"/>
  <c r="J31" i="3"/>
  <c r="I31" i="3"/>
  <c r="H31" i="3"/>
  <c r="G31" i="3"/>
  <c r="F31" i="3"/>
  <c r="E31" i="3"/>
  <c r="D31" i="3"/>
  <c r="C31" i="3"/>
  <c r="B31" i="3"/>
  <c r="A31" i="3"/>
  <c r="J30" i="3"/>
  <c r="I30" i="3"/>
  <c r="H30" i="3"/>
  <c r="G30" i="3"/>
  <c r="F30" i="3"/>
  <c r="E30" i="3"/>
  <c r="D30" i="3"/>
  <c r="C30" i="3"/>
  <c r="B30" i="3"/>
  <c r="A30" i="3"/>
  <c r="J29" i="3"/>
  <c r="I29" i="3"/>
  <c r="H29" i="3"/>
  <c r="G29" i="3"/>
  <c r="F29" i="3"/>
  <c r="E29" i="3"/>
  <c r="D29" i="3"/>
  <c r="C29" i="3"/>
  <c r="B29" i="3"/>
  <c r="A29" i="3"/>
  <c r="J28" i="3"/>
  <c r="I28" i="3"/>
  <c r="H28" i="3"/>
  <c r="G28" i="3"/>
  <c r="F28" i="3"/>
  <c r="E28" i="3"/>
  <c r="D28" i="3"/>
  <c r="C28" i="3"/>
  <c r="B28" i="3"/>
  <c r="A28" i="3"/>
  <c r="J27" i="3"/>
  <c r="I27" i="3"/>
  <c r="H27" i="3"/>
  <c r="G27" i="3"/>
  <c r="F27" i="3"/>
  <c r="E27" i="3"/>
  <c r="D27" i="3"/>
  <c r="C27" i="3"/>
  <c r="B27" i="3"/>
  <c r="A27" i="3"/>
  <c r="J26" i="3"/>
  <c r="I26" i="3"/>
  <c r="H26" i="3"/>
  <c r="G26" i="3"/>
  <c r="F26" i="3"/>
  <c r="E26" i="3"/>
  <c r="D26" i="3"/>
  <c r="C26" i="3"/>
  <c r="B26" i="3"/>
  <c r="A26" i="3"/>
  <c r="J25" i="3"/>
  <c r="I25" i="3"/>
  <c r="H25" i="3"/>
  <c r="G25" i="3"/>
  <c r="F25" i="3"/>
  <c r="E25" i="3"/>
  <c r="D25" i="3"/>
  <c r="C25" i="3"/>
  <c r="B25" i="3"/>
  <c r="A25" i="3"/>
  <c r="J24" i="3"/>
  <c r="I24" i="3"/>
  <c r="H24" i="3"/>
  <c r="G24" i="3"/>
  <c r="F24" i="3"/>
  <c r="E24" i="3"/>
  <c r="D24" i="3"/>
  <c r="C24" i="3"/>
  <c r="B24" i="3"/>
  <c r="A24" i="3"/>
  <c r="J23" i="3"/>
  <c r="I23" i="3"/>
  <c r="H23" i="3"/>
  <c r="G23" i="3"/>
  <c r="F23" i="3"/>
  <c r="E23" i="3"/>
  <c r="D23" i="3"/>
  <c r="C23" i="3"/>
  <c r="B23" i="3"/>
  <c r="A23" i="3"/>
  <c r="J22" i="3"/>
  <c r="I22" i="3"/>
  <c r="H22" i="3"/>
  <c r="G22" i="3"/>
  <c r="F22" i="3"/>
  <c r="E22" i="3"/>
  <c r="D22" i="3"/>
  <c r="C22" i="3"/>
  <c r="B22" i="3"/>
  <c r="A22" i="3"/>
  <c r="J21" i="3"/>
  <c r="I21" i="3"/>
  <c r="H21" i="3"/>
  <c r="G21" i="3"/>
  <c r="F21" i="3"/>
  <c r="E21" i="3"/>
  <c r="D21" i="3"/>
  <c r="C21" i="3"/>
  <c r="B21" i="3"/>
  <c r="A21" i="3"/>
  <c r="J20" i="3"/>
  <c r="I20" i="3"/>
  <c r="H20" i="3"/>
  <c r="G20" i="3"/>
  <c r="F20" i="3"/>
  <c r="E20" i="3"/>
  <c r="D20" i="3"/>
  <c r="C20" i="3"/>
  <c r="B20" i="3"/>
  <c r="A20" i="3"/>
  <c r="J19" i="3"/>
  <c r="I19" i="3"/>
  <c r="H19" i="3"/>
  <c r="G19" i="3"/>
  <c r="F19" i="3"/>
  <c r="E19" i="3"/>
  <c r="D19" i="3"/>
  <c r="C19" i="3"/>
  <c r="B19" i="3"/>
  <c r="A19" i="3"/>
  <c r="J18" i="3"/>
  <c r="I18" i="3"/>
  <c r="H18" i="3"/>
  <c r="G18" i="3"/>
  <c r="F18" i="3"/>
  <c r="E18" i="3"/>
  <c r="D18" i="3"/>
  <c r="C18" i="3"/>
  <c r="B18" i="3"/>
  <c r="A18" i="3"/>
  <c r="J17" i="3"/>
  <c r="I17" i="3"/>
  <c r="H17" i="3"/>
  <c r="G17" i="3"/>
  <c r="F17" i="3"/>
  <c r="E17" i="3"/>
  <c r="D17" i="3"/>
  <c r="C17" i="3"/>
  <c r="B17" i="3"/>
  <c r="A17" i="3"/>
  <c r="J16" i="3"/>
  <c r="I16" i="3"/>
  <c r="H16" i="3"/>
  <c r="G16" i="3"/>
  <c r="F16" i="3"/>
  <c r="E16" i="3"/>
  <c r="D16" i="3"/>
  <c r="C16" i="3"/>
  <c r="B16" i="3"/>
  <c r="A16" i="3"/>
  <c r="J15" i="3"/>
  <c r="I15" i="3"/>
  <c r="H15" i="3"/>
  <c r="G15" i="3"/>
  <c r="F15" i="3"/>
  <c r="E15" i="3"/>
  <c r="D15" i="3"/>
  <c r="C15" i="3"/>
  <c r="B15" i="3"/>
  <c r="A15" i="3"/>
  <c r="J14" i="3"/>
  <c r="I14" i="3"/>
  <c r="H14" i="3"/>
  <c r="G14" i="3"/>
  <c r="F14" i="3"/>
  <c r="E14" i="3"/>
  <c r="D14" i="3"/>
  <c r="C14" i="3"/>
  <c r="B14" i="3"/>
  <c r="A14" i="3"/>
  <c r="J13" i="3"/>
  <c r="I13" i="3"/>
  <c r="H13" i="3"/>
  <c r="G13" i="3"/>
  <c r="F13" i="3"/>
  <c r="E13" i="3"/>
  <c r="D13" i="3"/>
  <c r="C13" i="3"/>
  <c r="B13" i="3"/>
  <c r="A13" i="3"/>
  <c r="J12" i="3"/>
  <c r="I12" i="3"/>
  <c r="H12" i="3"/>
  <c r="G12" i="3"/>
  <c r="F12" i="3"/>
  <c r="E12" i="3"/>
  <c r="D12" i="3"/>
  <c r="C12" i="3"/>
  <c r="B12" i="3"/>
  <c r="A12" i="3"/>
  <c r="J11" i="3"/>
  <c r="I11" i="3"/>
  <c r="H11" i="3"/>
  <c r="G11" i="3"/>
  <c r="F11" i="3"/>
  <c r="E11" i="3"/>
  <c r="D11" i="3"/>
  <c r="C11" i="3"/>
  <c r="B11" i="3"/>
  <c r="A11" i="3"/>
  <c r="J10" i="3"/>
  <c r="I10" i="3"/>
  <c r="H10" i="3"/>
  <c r="G10" i="3"/>
  <c r="F10" i="3"/>
  <c r="E10" i="3"/>
  <c r="D10" i="3"/>
  <c r="C10" i="3"/>
  <c r="B10" i="3"/>
  <c r="A10" i="3"/>
  <c r="J9" i="3"/>
  <c r="I9" i="3"/>
  <c r="H9" i="3"/>
  <c r="G9" i="3"/>
  <c r="F9" i="3"/>
  <c r="E9" i="3"/>
  <c r="D9" i="3"/>
  <c r="C9" i="3"/>
  <c r="B9" i="3"/>
  <c r="A9" i="3"/>
  <c r="J8" i="3"/>
  <c r="I8" i="3"/>
  <c r="H8" i="3"/>
  <c r="G8" i="3"/>
  <c r="F8" i="3"/>
  <c r="E8" i="3"/>
  <c r="D8" i="3"/>
  <c r="C8" i="3"/>
  <c r="B8" i="3"/>
  <c r="A8" i="3"/>
  <c r="J7" i="3"/>
  <c r="I7" i="3"/>
  <c r="H7" i="3"/>
  <c r="G7" i="3"/>
  <c r="F7" i="3"/>
  <c r="E7" i="3"/>
  <c r="D7" i="3"/>
  <c r="C7" i="3"/>
  <c r="B7" i="3"/>
  <c r="A7" i="3"/>
  <c r="J6" i="3"/>
  <c r="I6" i="3"/>
  <c r="H6" i="3"/>
  <c r="G6" i="3"/>
  <c r="F6" i="3"/>
  <c r="E6" i="3"/>
  <c r="D6" i="3"/>
  <c r="C6" i="3"/>
  <c r="B6" i="3"/>
  <c r="A6" i="3"/>
  <c r="J5" i="3"/>
  <c r="I5" i="3"/>
  <c r="H5" i="3"/>
  <c r="G5" i="3"/>
  <c r="F5" i="3"/>
  <c r="E5" i="3"/>
  <c r="D5" i="3"/>
  <c r="C5" i="3"/>
  <c r="B5" i="3"/>
  <c r="A5" i="3"/>
  <c r="J4" i="3"/>
  <c r="I4" i="3"/>
  <c r="H4" i="3"/>
  <c r="G4" i="3"/>
  <c r="F4" i="3"/>
  <c r="E4" i="3"/>
  <c r="D4" i="3"/>
  <c r="C4" i="3"/>
  <c r="B4" i="3"/>
  <c r="A4" i="3"/>
  <c r="J3" i="3"/>
  <c r="I3" i="3"/>
  <c r="H3" i="3"/>
  <c r="G3" i="3"/>
  <c r="F3" i="3"/>
  <c r="E3" i="3"/>
  <c r="D3" i="3"/>
  <c r="C3" i="3"/>
  <c r="B3" i="3"/>
  <c r="A3" i="3"/>
  <c r="J2" i="3"/>
  <c r="I2" i="3"/>
  <c r="H2" i="3"/>
  <c r="G2" i="3"/>
  <c r="F2" i="3"/>
  <c r="E2" i="3"/>
  <c r="D2" i="3"/>
  <c r="C2" i="3"/>
  <c r="B2" i="3"/>
  <c r="A2" i="3"/>
  <c r="J1" i="3"/>
  <c r="I1" i="3"/>
  <c r="H1" i="3"/>
  <c r="G1" i="3"/>
  <c r="F1" i="3"/>
  <c r="E1" i="3"/>
  <c r="D1" i="3"/>
  <c r="C1" i="3"/>
  <c r="B1" i="3"/>
  <c r="A1" i="3"/>
  <c r="K217" i="3" l="1"/>
  <c r="K209" i="3"/>
  <c r="K201" i="3"/>
  <c r="K193" i="3"/>
  <c r="K185" i="3"/>
  <c r="K177" i="3"/>
  <c r="K169" i="3"/>
  <c r="K161" i="3"/>
  <c r="K153" i="3"/>
  <c r="K145" i="3"/>
  <c r="K137" i="3"/>
  <c r="K129" i="3"/>
  <c r="K121" i="3"/>
  <c r="K113" i="3"/>
  <c r="K105" i="3"/>
  <c r="K97" i="3"/>
  <c r="K89" i="3"/>
  <c r="K81" i="3"/>
  <c r="K73" i="3"/>
  <c r="K65" i="3"/>
  <c r="K57" i="3"/>
  <c r="K49" i="3"/>
  <c r="K41" i="3"/>
  <c r="K33" i="3"/>
  <c r="K25" i="3"/>
  <c r="K17" i="3"/>
  <c r="K9" i="3"/>
  <c r="K2" i="3"/>
  <c r="K213" i="3"/>
  <c r="K205" i="3"/>
  <c r="K197" i="3"/>
  <c r="K189" i="3"/>
  <c r="K181" i="3"/>
  <c r="K173" i="3"/>
  <c r="K165" i="3"/>
  <c r="K157" i="3"/>
  <c r="K149" i="3"/>
  <c r="K141" i="3"/>
  <c r="K133" i="3"/>
  <c r="K125" i="3"/>
  <c r="K117" i="3"/>
  <c r="K109" i="3"/>
  <c r="K101" i="3"/>
  <c r="K93" i="3"/>
  <c r="K85" i="3"/>
  <c r="K77" i="3"/>
  <c r="K69" i="3"/>
  <c r="K61" i="3"/>
  <c r="K53" i="3"/>
  <c r="K45" i="3"/>
  <c r="K37" i="3"/>
  <c r="K29" i="3"/>
  <c r="K21" i="3"/>
  <c r="K13" i="3"/>
  <c r="K212" i="3"/>
  <c r="K202" i="3"/>
  <c r="K191" i="3"/>
  <c r="K180" i="3"/>
  <c r="K170" i="3"/>
  <c r="K159" i="3"/>
  <c r="K148" i="3"/>
  <c r="K138" i="3"/>
  <c r="K127" i="3"/>
  <c r="K116" i="3"/>
  <c r="K106" i="3"/>
  <c r="K95" i="3"/>
  <c r="K84" i="3"/>
  <c r="K74" i="3"/>
  <c r="K63" i="3"/>
  <c r="K52" i="3"/>
  <c r="K42" i="3"/>
  <c r="K31" i="3"/>
  <c r="K20" i="3"/>
  <c r="K10" i="3"/>
  <c r="K211" i="3"/>
  <c r="K200" i="3"/>
  <c r="K190" i="3"/>
  <c r="K179" i="3"/>
  <c r="K168" i="3"/>
  <c r="K158" i="3"/>
  <c r="K147" i="3"/>
  <c r="K136" i="3"/>
  <c r="K126" i="3"/>
  <c r="K115" i="3"/>
  <c r="K104" i="3"/>
  <c r="K94" i="3"/>
  <c r="K83" i="3"/>
  <c r="K72" i="3"/>
  <c r="K62" i="3"/>
  <c r="K51" i="3"/>
  <c r="K40" i="3"/>
  <c r="K30" i="3"/>
  <c r="K19" i="3"/>
  <c r="K8" i="3"/>
  <c r="K220" i="3"/>
  <c r="K210" i="3"/>
  <c r="K199" i="3"/>
  <c r="K188" i="3"/>
  <c r="K178" i="3"/>
  <c r="K167" i="3"/>
  <c r="K156" i="3"/>
  <c r="K146" i="3"/>
  <c r="K135" i="3"/>
  <c r="K124" i="3"/>
  <c r="K114" i="3"/>
  <c r="K103" i="3"/>
  <c r="K92" i="3"/>
  <c r="K82" i="3"/>
  <c r="K71" i="3"/>
  <c r="K60" i="3"/>
  <c r="K50" i="3"/>
  <c r="K39" i="3"/>
  <c r="K28" i="3"/>
  <c r="K18" i="3"/>
  <c r="K7" i="3"/>
  <c r="K218" i="3"/>
  <c r="K196" i="3"/>
  <c r="K175" i="3"/>
  <c r="K154" i="3"/>
  <c r="K132" i="3"/>
  <c r="K111" i="3"/>
  <c r="K90" i="3"/>
  <c r="K68" i="3"/>
  <c r="K47" i="3"/>
  <c r="K26" i="3"/>
  <c r="K5" i="3"/>
  <c r="K219" i="3"/>
  <c r="K208" i="3"/>
  <c r="K198" i="3"/>
  <c r="K187" i="3"/>
  <c r="K176" i="3"/>
  <c r="K166" i="3"/>
  <c r="K155" i="3"/>
  <c r="K144" i="3"/>
  <c r="K134" i="3"/>
  <c r="K123" i="3"/>
  <c r="K112" i="3"/>
  <c r="K102" i="3"/>
  <c r="K91" i="3"/>
  <c r="K80" i="3"/>
  <c r="K70" i="3"/>
  <c r="K59" i="3"/>
  <c r="K48" i="3"/>
  <c r="K38" i="3"/>
  <c r="K27" i="3"/>
  <c r="K16" i="3"/>
  <c r="K6" i="3"/>
  <c r="K207" i="3"/>
  <c r="K186" i="3"/>
  <c r="K164" i="3"/>
  <c r="K143" i="3"/>
  <c r="K122" i="3"/>
  <c r="K100" i="3"/>
  <c r="K79" i="3"/>
  <c r="K58" i="3"/>
  <c r="K36" i="3"/>
  <c r="K15" i="3"/>
  <c r="K216" i="3"/>
  <c r="K206" i="3"/>
  <c r="K195" i="3"/>
  <c r="K184" i="3"/>
  <c r="K174" i="3"/>
  <c r="K163" i="3"/>
  <c r="K152" i="3"/>
  <c r="K142" i="3"/>
  <c r="K131" i="3"/>
  <c r="K120" i="3"/>
  <c r="K110" i="3"/>
  <c r="K99" i="3"/>
  <c r="K88" i="3"/>
  <c r="K78" i="3"/>
  <c r="K67" i="3"/>
  <c r="K56" i="3"/>
  <c r="K46" i="3"/>
  <c r="K35" i="3"/>
  <c r="K24" i="3"/>
  <c r="K14" i="3"/>
  <c r="K4" i="3"/>
  <c r="K215" i="3"/>
  <c r="K204" i="3"/>
  <c r="K194" i="3"/>
  <c r="K183" i="3"/>
  <c r="K172" i="3"/>
  <c r="K162" i="3"/>
  <c r="K151" i="3"/>
  <c r="K140" i="3"/>
  <c r="K130" i="3"/>
  <c r="K119" i="3"/>
  <c r="K108" i="3"/>
  <c r="K98" i="3"/>
  <c r="K87" i="3"/>
  <c r="K76" i="3"/>
  <c r="K66" i="3"/>
  <c r="K55" i="3"/>
  <c r="K44" i="3"/>
  <c r="K34" i="3"/>
  <c r="K23" i="3"/>
  <c r="K12" i="3"/>
  <c r="K3" i="3"/>
  <c r="K214" i="3"/>
  <c r="K203" i="3"/>
  <c r="K192" i="3"/>
  <c r="K182" i="3"/>
  <c r="K171" i="3"/>
  <c r="K160" i="3"/>
  <c r="K150" i="3"/>
  <c r="K139" i="3"/>
  <c r="K128" i="3"/>
  <c r="K118" i="3"/>
  <c r="K107" i="3"/>
  <c r="K96" i="3"/>
  <c r="K86" i="3"/>
  <c r="K75" i="3"/>
  <c r="K64" i="3"/>
  <c r="K54" i="3"/>
  <c r="K43" i="3"/>
  <c r="K32" i="3"/>
  <c r="K22" i="3"/>
  <c r="K11" i="3"/>
  <c r="M2" i="3" a="1"/>
  <c r="N2" i="3" a="1"/>
  <c r="L2" i="3" a="1"/>
  <c r="Q195" i="3"/>
  <c r="M215" i="3" l="1"/>
  <c r="M207" i="3"/>
  <c r="M199" i="3"/>
  <c r="M191" i="3"/>
  <c r="M183" i="3"/>
  <c r="M175" i="3"/>
  <c r="M167" i="3"/>
  <c r="M159" i="3"/>
  <c r="M151" i="3"/>
  <c r="M143" i="3"/>
  <c r="M135" i="3"/>
  <c r="M127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219" i="3"/>
  <c r="M211" i="3"/>
  <c r="M203" i="3"/>
  <c r="M195" i="3"/>
  <c r="M187" i="3"/>
  <c r="M179" i="3"/>
  <c r="M171" i="3"/>
  <c r="M163" i="3"/>
  <c r="M155" i="3"/>
  <c r="M147" i="3"/>
  <c r="M139" i="3"/>
  <c r="M131" i="3"/>
  <c r="M212" i="3"/>
  <c r="M200" i="3"/>
  <c r="M186" i="3"/>
  <c r="M174" i="3"/>
  <c r="M161" i="3"/>
  <c r="M148" i="3"/>
  <c r="M136" i="3"/>
  <c r="M123" i="3"/>
  <c r="M114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M2" i="3"/>
  <c r="M210" i="3"/>
  <c r="M198" i="3"/>
  <c r="M185" i="3"/>
  <c r="M172" i="3"/>
  <c r="M160" i="3"/>
  <c r="M146" i="3"/>
  <c r="M134" i="3"/>
  <c r="M122" i="3"/>
  <c r="M113" i="3"/>
  <c r="M104" i="3"/>
  <c r="M96" i="3"/>
  <c r="M88" i="3"/>
  <c r="M80" i="3"/>
  <c r="M72" i="3"/>
  <c r="M64" i="3"/>
  <c r="M56" i="3"/>
  <c r="M48" i="3"/>
  <c r="M40" i="3"/>
  <c r="M32" i="3"/>
  <c r="M24" i="3"/>
  <c r="M16" i="3"/>
  <c r="M8" i="3"/>
  <c r="M220" i="3"/>
  <c r="M208" i="3"/>
  <c r="M194" i="3"/>
  <c r="M182" i="3"/>
  <c r="M169" i="3"/>
  <c r="M156" i="3"/>
  <c r="M144" i="3"/>
  <c r="M130" i="3"/>
  <c r="M120" i="3"/>
  <c r="M111" i="3"/>
  <c r="M102" i="3"/>
  <c r="M94" i="3"/>
  <c r="M86" i="3"/>
  <c r="M78" i="3"/>
  <c r="M70" i="3"/>
  <c r="M62" i="3"/>
  <c r="M54" i="3"/>
  <c r="M46" i="3"/>
  <c r="M38" i="3"/>
  <c r="M30" i="3"/>
  <c r="M22" i="3"/>
  <c r="O22" i="3" s="1" a="1"/>
  <c r="O22" i="3" s="1"/>
  <c r="M14" i="3"/>
  <c r="M6" i="3"/>
  <c r="M218" i="3"/>
  <c r="M206" i="3"/>
  <c r="M193" i="3"/>
  <c r="M180" i="3"/>
  <c r="M168" i="3"/>
  <c r="M154" i="3"/>
  <c r="M142" i="3"/>
  <c r="M129" i="3"/>
  <c r="M119" i="3"/>
  <c r="M110" i="3"/>
  <c r="M101" i="3"/>
  <c r="M93" i="3"/>
  <c r="M85" i="3"/>
  <c r="M77" i="3"/>
  <c r="M69" i="3"/>
  <c r="M61" i="3"/>
  <c r="M53" i="3"/>
  <c r="M45" i="3"/>
  <c r="M37" i="3"/>
  <c r="M29" i="3"/>
  <c r="M21" i="3"/>
  <c r="M13" i="3"/>
  <c r="M5" i="3"/>
  <c r="M217" i="3"/>
  <c r="M204" i="3"/>
  <c r="M192" i="3"/>
  <c r="M178" i="3"/>
  <c r="M166" i="3"/>
  <c r="M153" i="3"/>
  <c r="M140" i="3"/>
  <c r="M128" i="3"/>
  <c r="M118" i="3"/>
  <c r="M108" i="3"/>
  <c r="M100" i="3"/>
  <c r="M92" i="3"/>
  <c r="M84" i="3"/>
  <c r="M76" i="3"/>
  <c r="M68" i="3"/>
  <c r="M60" i="3"/>
  <c r="M52" i="3"/>
  <c r="M44" i="3"/>
  <c r="M36" i="3"/>
  <c r="M28" i="3"/>
  <c r="M20" i="3"/>
  <c r="M12" i="3"/>
  <c r="M4" i="3"/>
  <c r="M214" i="3"/>
  <c r="M201" i="3"/>
  <c r="M188" i="3"/>
  <c r="M176" i="3"/>
  <c r="M162" i="3"/>
  <c r="M150" i="3"/>
  <c r="M137" i="3"/>
  <c r="M124" i="3"/>
  <c r="M115" i="3"/>
  <c r="M106" i="3"/>
  <c r="M98" i="3"/>
  <c r="M90" i="3"/>
  <c r="M82" i="3"/>
  <c r="M74" i="3"/>
  <c r="M66" i="3"/>
  <c r="M58" i="3"/>
  <c r="M50" i="3"/>
  <c r="M42" i="3"/>
  <c r="M34" i="3"/>
  <c r="M26" i="3"/>
  <c r="M18" i="3"/>
  <c r="M10" i="3"/>
  <c r="M177" i="3"/>
  <c r="M126" i="3"/>
  <c r="M91" i="3"/>
  <c r="M59" i="3"/>
  <c r="M27" i="3"/>
  <c r="M170" i="3"/>
  <c r="M121" i="3"/>
  <c r="M87" i="3"/>
  <c r="M55" i="3"/>
  <c r="M23" i="3"/>
  <c r="O23" i="3" s="1" a="1"/>
  <c r="O23" i="3" s="1"/>
  <c r="M216" i="3"/>
  <c r="M164" i="3"/>
  <c r="M116" i="3"/>
  <c r="M83" i="3"/>
  <c r="M51" i="3"/>
  <c r="M19" i="3"/>
  <c r="M202" i="3"/>
  <c r="M152" i="3"/>
  <c r="M107" i="3"/>
  <c r="M43" i="3"/>
  <c r="M11" i="3"/>
  <c r="M209" i="3"/>
  <c r="M158" i="3"/>
  <c r="M112" i="3"/>
  <c r="M79" i="3"/>
  <c r="M47" i="3"/>
  <c r="M15" i="3"/>
  <c r="M75" i="3"/>
  <c r="M196" i="3"/>
  <c r="M145" i="3"/>
  <c r="M103" i="3"/>
  <c r="M71" i="3"/>
  <c r="M39" i="3"/>
  <c r="M7" i="3"/>
  <c r="O7" i="3" s="1" a="1"/>
  <c r="O7" i="3" s="1"/>
  <c r="M190" i="3"/>
  <c r="M138" i="3"/>
  <c r="M99" i="3"/>
  <c r="M67" i="3"/>
  <c r="M35" i="3"/>
  <c r="M3" i="3"/>
  <c r="M184" i="3"/>
  <c r="M132" i="3"/>
  <c r="M95" i="3"/>
  <c r="M63" i="3"/>
  <c r="M31" i="3"/>
  <c r="L213" i="3"/>
  <c r="L205" i="3"/>
  <c r="L197" i="3"/>
  <c r="L189" i="3"/>
  <c r="L181" i="3"/>
  <c r="L173" i="3"/>
  <c r="L165" i="3"/>
  <c r="L157" i="3"/>
  <c r="L149" i="3"/>
  <c r="L141" i="3"/>
  <c r="L133" i="3"/>
  <c r="L125" i="3"/>
  <c r="L117" i="3"/>
  <c r="L109" i="3"/>
  <c r="L101" i="3"/>
  <c r="L93" i="3"/>
  <c r="L85" i="3"/>
  <c r="L77" i="3"/>
  <c r="L69" i="3"/>
  <c r="L61" i="3"/>
  <c r="L53" i="3"/>
  <c r="L45" i="3"/>
  <c r="L37" i="3"/>
  <c r="L29" i="3"/>
  <c r="L21" i="3"/>
  <c r="L13" i="3"/>
  <c r="L5" i="3"/>
  <c r="L220" i="3"/>
  <c r="L212" i="3"/>
  <c r="L204" i="3"/>
  <c r="L196" i="3"/>
  <c r="L188" i="3"/>
  <c r="L180" i="3"/>
  <c r="L172" i="3"/>
  <c r="L164" i="3"/>
  <c r="L156" i="3"/>
  <c r="L148" i="3"/>
  <c r="L140" i="3"/>
  <c r="L132" i="3"/>
  <c r="L124" i="3"/>
  <c r="L116" i="3"/>
  <c r="L108" i="3"/>
  <c r="L100" i="3"/>
  <c r="L92" i="3"/>
  <c r="L84" i="3"/>
  <c r="L76" i="3"/>
  <c r="L68" i="3"/>
  <c r="L60" i="3"/>
  <c r="L52" i="3"/>
  <c r="L44" i="3"/>
  <c r="L36" i="3"/>
  <c r="L28" i="3"/>
  <c r="L20" i="3"/>
  <c r="L12" i="3"/>
  <c r="L4" i="3"/>
  <c r="L218" i="3"/>
  <c r="L210" i="3"/>
  <c r="L202" i="3"/>
  <c r="L194" i="3"/>
  <c r="L186" i="3"/>
  <c r="L178" i="3"/>
  <c r="L170" i="3"/>
  <c r="L162" i="3"/>
  <c r="L154" i="3"/>
  <c r="L146" i="3"/>
  <c r="L138" i="3"/>
  <c r="L130" i="3"/>
  <c r="L122" i="3"/>
  <c r="L114" i="3"/>
  <c r="L106" i="3"/>
  <c r="L98" i="3"/>
  <c r="L90" i="3"/>
  <c r="L82" i="3"/>
  <c r="L74" i="3"/>
  <c r="L66" i="3"/>
  <c r="L58" i="3"/>
  <c r="L50" i="3"/>
  <c r="L42" i="3"/>
  <c r="L34" i="3"/>
  <c r="L26" i="3"/>
  <c r="L18" i="3"/>
  <c r="L10" i="3"/>
  <c r="L217" i="3"/>
  <c r="L209" i="3"/>
  <c r="L201" i="3"/>
  <c r="L193" i="3"/>
  <c r="L185" i="3"/>
  <c r="L177" i="3"/>
  <c r="L169" i="3"/>
  <c r="L161" i="3"/>
  <c r="L153" i="3"/>
  <c r="L145" i="3"/>
  <c r="L137" i="3"/>
  <c r="L129" i="3"/>
  <c r="L121" i="3"/>
  <c r="L113" i="3"/>
  <c r="L105" i="3"/>
  <c r="L97" i="3"/>
  <c r="L89" i="3"/>
  <c r="L81" i="3"/>
  <c r="L73" i="3"/>
  <c r="L65" i="3"/>
  <c r="L57" i="3"/>
  <c r="L49" i="3"/>
  <c r="L41" i="3"/>
  <c r="L33" i="3"/>
  <c r="L25" i="3"/>
  <c r="L17" i="3"/>
  <c r="L9" i="3"/>
  <c r="L2" i="3"/>
  <c r="L216" i="3"/>
  <c r="L208" i="3"/>
  <c r="L215" i="3"/>
  <c r="L198" i="3"/>
  <c r="L182" i="3"/>
  <c r="L166" i="3"/>
  <c r="L150" i="3"/>
  <c r="L134" i="3"/>
  <c r="L118" i="3"/>
  <c r="L102" i="3"/>
  <c r="L86" i="3"/>
  <c r="L70" i="3"/>
  <c r="L54" i="3"/>
  <c r="L38" i="3"/>
  <c r="L22" i="3"/>
  <c r="L6" i="3"/>
  <c r="L214" i="3"/>
  <c r="L195" i="3"/>
  <c r="L179" i="3"/>
  <c r="L163" i="3"/>
  <c r="L147" i="3"/>
  <c r="L131" i="3"/>
  <c r="L115" i="3"/>
  <c r="L99" i="3"/>
  <c r="L83" i="3"/>
  <c r="L67" i="3"/>
  <c r="L51" i="3"/>
  <c r="L35" i="3"/>
  <c r="L19" i="3"/>
  <c r="L3" i="3"/>
  <c r="L211" i="3"/>
  <c r="L192" i="3"/>
  <c r="L176" i="3"/>
  <c r="L160" i="3"/>
  <c r="L144" i="3"/>
  <c r="L128" i="3"/>
  <c r="L112" i="3"/>
  <c r="L96" i="3"/>
  <c r="L80" i="3"/>
  <c r="L64" i="3"/>
  <c r="L48" i="3"/>
  <c r="L32" i="3"/>
  <c r="L16" i="3"/>
  <c r="L206" i="3"/>
  <c r="L190" i="3"/>
  <c r="L158" i="3"/>
  <c r="L126" i="3"/>
  <c r="L94" i="3"/>
  <c r="L62" i="3"/>
  <c r="L30" i="3"/>
  <c r="L207" i="3"/>
  <c r="L191" i="3"/>
  <c r="L175" i="3"/>
  <c r="L159" i="3"/>
  <c r="L143" i="3"/>
  <c r="L127" i="3"/>
  <c r="L111" i="3"/>
  <c r="L95" i="3"/>
  <c r="L79" i="3"/>
  <c r="L63" i="3"/>
  <c r="L47" i="3"/>
  <c r="L31" i="3"/>
  <c r="L15" i="3"/>
  <c r="L174" i="3"/>
  <c r="L142" i="3"/>
  <c r="L110" i="3"/>
  <c r="L78" i="3"/>
  <c r="L46" i="3"/>
  <c r="L14" i="3"/>
  <c r="L203" i="3"/>
  <c r="L187" i="3"/>
  <c r="L171" i="3"/>
  <c r="L155" i="3"/>
  <c r="L139" i="3"/>
  <c r="L123" i="3"/>
  <c r="L107" i="3"/>
  <c r="L91" i="3"/>
  <c r="L75" i="3"/>
  <c r="L59" i="3"/>
  <c r="L43" i="3"/>
  <c r="L27" i="3"/>
  <c r="L11" i="3"/>
  <c r="L200" i="3"/>
  <c r="L184" i="3"/>
  <c r="L168" i="3"/>
  <c r="L152" i="3"/>
  <c r="L136" i="3"/>
  <c r="L120" i="3"/>
  <c r="L104" i="3"/>
  <c r="L88" i="3"/>
  <c r="L72" i="3"/>
  <c r="L56" i="3"/>
  <c r="L40" i="3"/>
  <c r="L24" i="3"/>
  <c r="L8" i="3"/>
  <c r="L219" i="3"/>
  <c r="L199" i="3"/>
  <c r="L183" i="3"/>
  <c r="L167" i="3"/>
  <c r="L151" i="3"/>
  <c r="L135" i="3"/>
  <c r="L119" i="3"/>
  <c r="L103" i="3"/>
  <c r="L87" i="3"/>
  <c r="L71" i="3"/>
  <c r="L55" i="3"/>
  <c r="L39" i="3"/>
  <c r="L23" i="3"/>
  <c r="L7" i="3"/>
  <c r="Q197" i="3"/>
  <c r="Q196" i="3"/>
  <c r="N217" i="3"/>
  <c r="N209" i="3"/>
  <c r="N201" i="3"/>
  <c r="N193" i="3"/>
  <c r="N185" i="3"/>
  <c r="N177" i="3"/>
  <c r="N169" i="3"/>
  <c r="N161" i="3"/>
  <c r="N153" i="3"/>
  <c r="N145" i="3"/>
  <c r="N137" i="3"/>
  <c r="N129" i="3"/>
  <c r="N121" i="3"/>
  <c r="N113" i="3"/>
  <c r="N216" i="3"/>
  <c r="N207" i="3"/>
  <c r="N198" i="3"/>
  <c r="N189" i="3"/>
  <c r="N180" i="3"/>
  <c r="N171" i="3"/>
  <c r="N162" i="3"/>
  <c r="N152" i="3"/>
  <c r="N143" i="3"/>
  <c r="N134" i="3"/>
  <c r="N125" i="3"/>
  <c r="N116" i="3"/>
  <c r="N107" i="3"/>
  <c r="N99" i="3"/>
  <c r="N91" i="3"/>
  <c r="N83" i="3"/>
  <c r="N75" i="3"/>
  <c r="N67" i="3"/>
  <c r="N59" i="3"/>
  <c r="N51" i="3"/>
  <c r="N43" i="3"/>
  <c r="N35" i="3"/>
  <c r="N27" i="3"/>
  <c r="N19" i="3"/>
  <c r="N11" i="3"/>
  <c r="N3" i="3"/>
  <c r="N214" i="3"/>
  <c r="N205" i="3"/>
  <c r="N196" i="3"/>
  <c r="N187" i="3"/>
  <c r="N178" i="3"/>
  <c r="N168" i="3"/>
  <c r="N159" i="3"/>
  <c r="N150" i="3"/>
  <c r="N141" i="3"/>
  <c r="N132" i="3"/>
  <c r="N123" i="3"/>
  <c r="N114" i="3"/>
  <c r="N105" i="3"/>
  <c r="N97" i="3"/>
  <c r="N89" i="3"/>
  <c r="N81" i="3"/>
  <c r="N73" i="3"/>
  <c r="N65" i="3"/>
  <c r="N57" i="3"/>
  <c r="N49" i="3"/>
  <c r="N41" i="3"/>
  <c r="N33" i="3"/>
  <c r="N25" i="3"/>
  <c r="N17" i="3"/>
  <c r="N9" i="3"/>
  <c r="N2" i="3"/>
  <c r="N212" i="3"/>
  <c r="N203" i="3"/>
  <c r="N194" i="3"/>
  <c r="N184" i="3"/>
  <c r="N175" i="3"/>
  <c r="N166" i="3"/>
  <c r="N157" i="3"/>
  <c r="N148" i="3"/>
  <c r="N139" i="3"/>
  <c r="N130" i="3"/>
  <c r="N120" i="3"/>
  <c r="N111" i="3"/>
  <c r="N103" i="3"/>
  <c r="N95" i="3"/>
  <c r="N87" i="3"/>
  <c r="N79" i="3"/>
  <c r="N71" i="3"/>
  <c r="N63" i="3"/>
  <c r="N55" i="3"/>
  <c r="N47" i="3"/>
  <c r="N39" i="3"/>
  <c r="N31" i="3"/>
  <c r="N23" i="3"/>
  <c r="N15" i="3"/>
  <c r="N7" i="3"/>
  <c r="N220" i="3"/>
  <c r="N211" i="3"/>
  <c r="N210" i="3"/>
  <c r="N195" i="3"/>
  <c r="N181" i="3"/>
  <c r="N165" i="3"/>
  <c r="N151" i="3"/>
  <c r="N136" i="3"/>
  <c r="N122" i="3"/>
  <c r="N108" i="3"/>
  <c r="N94" i="3"/>
  <c r="N82" i="3"/>
  <c r="N69" i="3"/>
  <c r="N56" i="3"/>
  <c r="N44" i="3"/>
  <c r="N30" i="3"/>
  <c r="N18" i="3"/>
  <c r="N5" i="3"/>
  <c r="N208" i="3"/>
  <c r="N192" i="3"/>
  <c r="N179" i="3"/>
  <c r="N164" i="3"/>
  <c r="N149" i="3"/>
  <c r="N135" i="3"/>
  <c r="N119" i="3"/>
  <c r="N106" i="3"/>
  <c r="N93" i="3"/>
  <c r="N80" i="3"/>
  <c r="N68" i="3"/>
  <c r="N54" i="3"/>
  <c r="N42" i="3"/>
  <c r="N29" i="3"/>
  <c r="N16" i="3"/>
  <c r="N4" i="3"/>
  <c r="N206" i="3"/>
  <c r="N191" i="3"/>
  <c r="N176" i="3"/>
  <c r="N163" i="3"/>
  <c r="N147" i="3"/>
  <c r="N133" i="3"/>
  <c r="N118" i="3"/>
  <c r="N104" i="3"/>
  <c r="N92" i="3"/>
  <c r="N78" i="3"/>
  <c r="N66" i="3"/>
  <c r="N53" i="3"/>
  <c r="N40" i="3"/>
  <c r="N28" i="3"/>
  <c r="N14" i="3"/>
  <c r="N204" i="3"/>
  <c r="N190" i="3"/>
  <c r="N174" i="3"/>
  <c r="N160" i="3"/>
  <c r="N146" i="3"/>
  <c r="N131" i="3"/>
  <c r="N117" i="3"/>
  <c r="N102" i="3"/>
  <c r="N90" i="3"/>
  <c r="N77" i="3"/>
  <c r="N64" i="3"/>
  <c r="N52" i="3"/>
  <c r="N38" i="3"/>
  <c r="N26" i="3"/>
  <c r="N13" i="3"/>
  <c r="N219" i="3"/>
  <c r="N202" i="3"/>
  <c r="N188" i="3"/>
  <c r="N173" i="3"/>
  <c r="N158" i="3"/>
  <c r="N144" i="3"/>
  <c r="N128" i="3"/>
  <c r="N115" i="3"/>
  <c r="N101" i="3"/>
  <c r="N88" i="3"/>
  <c r="N76" i="3"/>
  <c r="N62" i="3"/>
  <c r="N50" i="3"/>
  <c r="N37" i="3"/>
  <c r="N24" i="3"/>
  <c r="N12" i="3"/>
  <c r="N218" i="3"/>
  <c r="N200" i="3"/>
  <c r="N186" i="3"/>
  <c r="N172" i="3"/>
  <c r="N156" i="3"/>
  <c r="N142" i="3"/>
  <c r="N127" i="3"/>
  <c r="N112" i="3"/>
  <c r="N100" i="3"/>
  <c r="N86" i="3"/>
  <c r="N74" i="3"/>
  <c r="N61" i="3"/>
  <c r="N48" i="3"/>
  <c r="N36" i="3"/>
  <c r="N22" i="3"/>
  <c r="N10" i="3"/>
  <c r="N213" i="3"/>
  <c r="N197" i="3"/>
  <c r="N182" i="3"/>
  <c r="N167" i="3"/>
  <c r="N154" i="3"/>
  <c r="N138" i="3"/>
  <c r="N124" i="3"/>
  <c r="N109" i="3"/>
  <c r="N96" i="3"/>
  <c r="N84" i="3"/>
  <c r="N70" i="3"/>
  <c r="N58" i="3"/>
  <c r="N45" i="3"/>
  <c r="N32" i="3"/>
  <c r="N20" i="3"/>
  <c r="N6" i="3"/>
  <c r="N126" i="3"/>
  <c r="N21" i="3"/>
  <c r="N110" i="3"/>
  <c r="N8" i="3"/>
  <c r="N215" i="3"/>
  <c r="N98" i="3"/>
  <c r="N183" i="3"/>
  <c r="N72" i="3"/>
  <c r="N199" i="3"/>
  <c r="N85" i="3"/>
  <c r="N170" i="3"/>
  <c r="N60" i="3"/>
  <c r="N155" i="3"/>
  <c r="N46" i="3"/>
  <c r="N140" i="3"/>
  <c r="N34" i="3"/>
  <c r="O132" i="3" l="1" a="1"/>
  <c r="O132" i="3" s="1"/>
  <c r="O124" i="3" a="1"/>
  <c r="O124" i="3" s="1"/>
  <c r="O140" i="3" a="1"/>
  <c r="O140" i="3" s="1"/>
  <c r="O79" i="3" a="1"/>
  <c r="O79" i="3" s="1"/>
  <c r="O153" i="3" a="1"/>
  <c r="O153" i="3" s="1"/>
  <c r="O40" i="3" a="1"/>
  <c r="O40" i="3" s="1"/>
  <c r="O3" i="3" a="1"/>
  <c r="O3" i="3" s="1"/>
  <c r="O71" i="3" a="1"/>
  <c r="O71" i="3" s="1"/>
  <c r="O112" i="3" a="1"/>
  <c r="O112" i="3" s="1"/>
  <c r="O87" i="3" a="1"/>
  <c r="O87" i="3" s="1"/>
  <c r="O10" i="3" a="1"/>
  <c r="O10" i="3" s="1"/>
  <c r="O150" i="3" a="1"/>
  <c r="O150" i="3" s="1"/>
  <c r="O20" i="3" a="1"/>
  <c r="O20" i="3" s="1"/>
  <c r="O84" i="3" a="1"/>
  <c r="O84" i="3" s="1"/>
  <c r="O166" i="3" a="1"/>
  <c r="O166" i="3" s="1"/>
  <c r="O29" i="3" a="1"/>
  <c r="O29" i="3" s="1"/>
  <c r="O180" i="3" a="1"/>
  <c r="O180" i="3" s="1"/>
  <c r="O38" i="3" a="1"/>
  <c r="O38" i="3" s="1"/>
  <c r="O102" i="3" a="1"/>
  <c r="O102" i="3" s="1"/>
  <c r="O48" i="3" a="1"/>
  <c r="O48" i="3" s="1"/>
  <c r="O57" i="3" a="1"/>
  <c r="O57" i="3" s="1"/>
  <c r="O123" i="3" a="1"/>
  <c r="O123" i="3" s="1"/>
  <c r="O131" i="3" a="1"/>
  <c r="O131" i="3" s="1"/>
  <c r="O141" i="3" a="1"/>
  <c r="O141" i="3" s="1"/>
  <c r="O51" i="3" a="1"/>
  <c r="O51" i="3" s="1"/>
  <c r="O145" i="3" a="1"/>
  <c r="O145" i="3" s="1"/>
  <c r="O26" i="3" a="1"/>
  <c r="O26" i="3" s="1"/>
  <c r="O116" i="3" a="1"/>
  <c r="O116" i="3" s="1"/>
  <c r="O98" i="3" a="1"/>
  <c r="O98" i="3" s="1"/>
  <c r="O44" i="3" a="1"/>
  <c r="O44" i="3" s="1"/>
  <c r="O53" i="3" a="1"/>
  <c r="O53" i="3" s="1"/>
  <c r="O146" i="3" a="1"/>
  <c r="O146" i="3" s="1"/>
  <c r="O165" i="3" a="1"/>
  <c r="O165" i="3" s="1"/>
  <c r="O19" i="3" a="1"/>
  <c r="O19" i="3" s="1"/>
  <c r="P189" i="3"/>
  <c r="P184" i="3"/>
  <c r="P176" i="3"/>
  <c r="P168" i="3"/>
  <c r="P187" i="3"/>
  <c r="P190" i="3"/>
  <c r="P182" i="3"/>
  <c r="P174" i="3"/>
  <c r="P166" i="3"/>
  <c r="P158" i="3"/>
  <c r="P150" i="3"/>
  <c r="P142" i="3"/>
  <c r="P134" i="3"/>
  <c r="P126" i="3"/>
  <c r="P118" i="3"/>
  <c r="P110" i="3"/>
  <c r="P102" i="3"/>
  <c r="P94" i="3"/>
  <c r="P86" i="3"/>
  <c r="P78" i="3"/>
  <c r="P70" i="3"/>
  <c r="P62" i="3"/>
  <c r="P54" i="3"/>
  <c r="P46" i="3"/>
  <c r="P185" i="3"/>
  <c r="P177" i="3"/>
  <c r="P169" i="3"/>
  <c r="P161" i="3"/>
  <c r="P153" i="3"/>
  <c r="P145" i="3"/>
  <c r="P137" i="3"/>
  <c r="P129" i="3"/>
  <c r="P121" i="3"/>
  <c r="P113" i="3"/>
  <c r="P105" i="3"/>
  <c r="P97" i="3"/>
  <c r="P89" i="3"/>
  <c r="P81" i="3"/>
  <c r="P73" i="3"/>
  <c r="P65" i="3"/>
  <c r="P57" i="3"/>
  <c r="P49" i="3"/>
  <c r="P41" i="3"/>
  <c r="P164" i="3"/>
  <c r="P100" i="3"/>
  <c r="P25" i="3"/>
  <c r="P140" i="3"/>
  <c r="P76" i="3"/>
  <c r="P21" i="3"/>
  <c r="P14" i="3"/>
  <c r="P180" i="3"/>
  <c r="P116" i="3"/>
  <c r="P52" i="3"/>
  <c r="P156" i="3"/>
  <c r="P92" i="3"/>
  <c r="P132" i="3"/>
  <c r="P68" i="3"/>
  <c r="P36" i="3"/>
  <c r="P22" i="3"/>
  <c r="P172" i="3"/>
  <c r="P108" i="3"/>
  <c r="P44" i="3"/>
  <c r="P38" i="3"/>
  <c r="P33" i="3"/>
  <c r="P8" i="3"/>
  <c r="P124" i="3"/>
  <c r="P28" i="3"/>
  <c r="P30" i="3"/>
  <c r="P148" i="3"/>
  <c r="P18" i="3"/>
  <c r="P20" i="3"/>
  <c r="P12" i="3"/>
  <c r="P84" i="3"/>
  <c r="P6" i="3"/>
  <c r="P60" i="3"/>
  <c r="P13" i="3"/>
  <c r="P11" i="3"/>
  <c r="P16" i="3"/>
  <c r="P50" i="3"/>
  <c r="P47" i="3"/>
  <c r="P104" i="3"/>
  <c r="P151" i="3"/>
  <c r="P45" i="3"/>
  <c r="P82" i="3"/>
  <c r="P173" i="3"/>
  <c r="P32" i="3"/>
  <c r="P123" i="3"/>
  <c r="P43" i="3"/>
  <c r="P120" i="3"/>
  <c r="P167" i="3"/>
  <c r="P80" i="3"/>
  <c r="P127" i="3"/>
  <c r="P138" i="3"/>
  <c r="P74" i="3"/>
  <c r="P3" i="3"/>
  <c r="P88" i="3"/>
  <c r="P135" i="3"/>
  <c r="P29" i="3"/>
  <c r="P112" i="3"/>
  <c r="P159" i="3"/>
  <c r="P37" i="3"/>
  <c r="P133" i="3"/>
  <c r="P170" i="3"/>
  <c r="P83" i="3"/>
  <c r="P171" i="3"/>
  <c r="P141" i="3"/>
  <c r="P165" i="3"/>
  <c r="P128" i="3"/>
  <c r="P101" i="3"/>
  <c r="P77" i="3"/>
  <c r="P114" i="3"/>
  <c r="P51" i="3"/>
  <c r="P179" i="3"/>
  <c r="P31" i="3"/>
  <c r="P75" i="3"/>
  <c r="P55" i="3"/>
  <c r="P136" i="3"/>
  <c r="P183" i="3"/>
  <c r="P93" i="3"/>
  <c r="P130" i="3"/>
  <c r="P53" i="3"/>
  <c r="P90" i="3"/>
  <c r="P181" i="3"/>
  <c r="P87" i="3"/>
  <c r="P186" i="3"/>
  <c r="P146" i="3"/>
  <c r="P59" i="3"/>
  <c r="P103" i="3"/>
  <c r="P64" i="3"/>
  <c r="P10" i="3"/>
  <c r="P178" i="3"/>
  <c r="P48" i="3"/>
  <c r="P95" i="3"/>
  <c r="P69" i="3"/>
  <c r="P147" i="3"/>
  <c r="P107" i="3"/>
  <c r="P17" i="3"/>
  <c r="P9" i="3"/>
  <c r="P27" i="3"/>
  <c r="P24" i="3"/>
  <c r="P34" i="3"/>
  <c r="P115" i="3"/>
  <c r="P111" i="3"/>
  <c r="P4" i="3"/>
  <c r="P155" i="3"/>
  <c r="P175" i="3"/>
  <c r="P67" i="3"/>
  <c r="P61" i="3"/>
  <c r="P98" i="3"/>
  <c r="P85" i="3"/>
  <c r="P122" i="3"/>
  <c r="P99" i="3"/>
  <c r="P96" i="3"/>
  <c r="P143" i="3"/>
  <c r="P5" i="3"/>
  <c r="P109" i="3"/>
  <c r="P35" i="3"/>
  <c r="P56" i="3"/>
  <c r="P63" i="3"/>
  <c r="P144" i="3"/>
  <c r="P19" i="3"/>
  <c r="P131" i="3"/>
  <c r="P71" i="3"/>
  <c r="P152" i="3"/>
  <c r="P191" i="3"/>
  <c r="P106" i="3"/>
  <c r="P188" i="3"/>
  <c r="P91" i="3"/>
  <c r="P72" i="3"/>
  <c r="P66" i="3"/>
  <c r="P117" i="3"/>
  <c r="P162" i="3"/>
  <c r="P7" i="3"/>
  <c r="P40" i="3"/>
  <c r="P26" i="3"/>
  <c r="P58" i="3"/>
  <c r="P79" i="3"/>
  <c r="P119" i="3"/>
  <c r="P163" i="3"/>
  <c r="P15" i="3"/>
  <c r="P125" i="3"/>
  <c r="P139" i="3"/>
  <c r="P157" i="3"/>
  <c r="P154" i="3"/>
  <c r="P149" i="3"/>
  <c r="P160" i="3"/>
  <c r="P23" i="3"/>
  <c r="P2" i="3" a="1"/>
  <c r="P2" i="3" s="1"/>
  <c r="P42" i="3"/>
  <c r="P39" i="3"/>
  <c r="O47" i="3" a="1"/>
  <c r="O47" i="3" s="1"/>
  <c r="O152" i="3" a="1"/>
  <c r="O152" i="3" s="1"/>
  <c r="O126" i="3" a="1"/>
  <c r="O126" i="3" s="1"/>
  <c r="O58" i="3" a="1"/>
  <c r="O58" i="3" s="1"/>
  <c r="O4" i="3" a="1"/>
  <c r="O4" i="3" s="1"/>
  <c r="O68" i="3" a="1"/>
  <c r="O68" i="3" s="1"/>
  <c r="O13" i="3" a="1"/>
  <c r="O13" i="3" s="1"/>
  <c r="O77" i="3" a="1"/>
  <c r="O77" i="3" s="1"/>
  <c r="O154" i="3" a="1"/>
  <c r="O154" i="3" s="1"/>
  <c r="O86" i="3" a="1"/>
  <c r="O86" i="3" s="1"/>
  <c r="O169" i="3" a="1"/>
  <c r="O169" i="3" s="1"/>
  <c r="O32" i="3" a="1"/>
  <c r="O32" i="3" s="1"/>
  <c r="O96" i="3" a="1"/>
  <c r="O96" i="3" s="1"/>
  <c r="O185" i="3" a="1"/>
  <c r="O185" i="3" s="1"/>
  <c r="O41" i="3" a="1"/>
  <c r="O41" i="3" s="1"/>
  <c r="O105" i="3" a="1"/>
  <c r="O105" i="3" s="1"/>
  <c r="O179" i="3" a="1"/>
  <c r="O179" i="3" s="1"/>
  <c r="O125" i="3" a="1"/>
  <c r="O125" i="3" s="1"/>
  <c r="O189" i="3" a="1"/>
  <c r="O189" i="3" s="1"/>
  <c r="O159" i="3" a="1"/>
  <c r="O159" i="3" s="1"/>
  <c r="O184" i="3" a="1"/>
  <c r="O184" i="3" s="1"/>
  <c r="O39" i="3" a="1"/>
  <c r="O39" i="3" s="1"/>
  <c r="O55" i="3" a="1"/>
  <c r="O55" i="3" s="1"/>
  <c r="O177" i="3" a="1"/>
  <c r="O177" i="3" s="1"/>
  <c r="O66" i="3" a="1"/>
  <c r="O66" i="3" s="1"/>
  <c r="O137" i="3" a="1"/>
  <c r="O137" i="3" s="1"/>
  <c r="O12" i="3" a="1"/>
  <c r="O12" i="3" s="1"/>
  <c r="O76" i="3" a="1"/>
  <c r="O76" i="3" s="1"/>
  <c r="O21" i="3" a="1"/>
  <c r="O21" i="3" s="1"/>
  <c r="O85" i="3" a="1"/>
  <c r="O85" i="3" s="1"/>
  <c r="O168" i="3" a="1"/>
  <c r="O168" i="3" s="1"/>
  <c r="O30" i="3" a="1"/>
  <c r="O30" i="3" s="1"/>
  <c r="O94" i="3" a="1"/>
  <c r="O94" i="3" s="1"/>
  <c r="O182" i="3" a="1"/>
  <c r="O182" i="3" s="1"/>
  <c r="O104" i="3" a="1"/>
  <c r="O104" i="3" s="1"/>
  <c r="O49" i="3" a="1"/>
  <c r="O49" i="3" s="1"/>
  <c r="O114" i="3" a="1"/>
  <c r="O114" i="3" s="1"/>
  <c r="O187" i="3" a="1"/>
  <c r="O187" i="3" s="1"/>
  <c r="O133" i="3" a="1"/>
  <c r="O133" i="3" s="1"/>
  <c r="O167" i="3" a="1"/>
  <c r="O167" i="3" s="1"/>
  <c r="O175" i="3" a="1"/>
  <c r="O175" i="3" s="1"/>
  <c r="O35" i="3" a="1"/>
  <c r="O35" i="3" s="1"/>
  <c r="O103" i="3" a="1"/>
  <c r="O103" i="3" s="1"/>
  <c r="O158" i="3" a="1"/>
  <c r="O158" i="3" s="1"/>
  <c r="O121" i="3" a="1"/>
  <c r="O121" i="3" s="1"/>
  <c r="O18" i="3" a="1"/>
  <c r="O18" i="3" s="1"/>
  <c r="O82" i="3" a="1"/>
  <c r="O82" i="3" s="1"/>
  <c r="O162" i="3" a="1"/>
  <c r="O162" i="3" s="1"/>
  <c r="O28" i="3" a="1"/>
  <c r="O28" i="3" s="1"/>
  <c r="O92" i="3" a="1"/>
  <c r="O92" i="3" s="1"/>
  <c r="O178" i="3" a="1"/>
  <c r="O178" i="3" s="1"/>
  <c r="O37" i="3" a="1"/>
  <c r="O37" i="3" s="1"/>
  <c r="O101" i="3" a="1"/>
  <c r="O101" i="3" s="1"/>
  <c r="O46" i="3" a="1"/>
  <c r="O46" i="3" s="1"/>
  <c r="O111" i="3" a="1"/>
  <c r="O111" i="3" s="1"/>
  <c r="O56" i="3" a="1"/>
  <c r="O56" i="3" s="1"/>
  <c r="O122" i="3" a="1"/>
  <c r="O122" i="3" s="1"/>
  <c r="O2" i="3" a="1"/>
  <c r="O2" i="3" s="1"/>
  <c r="O65" i="3" a="1"/>
  <c r="O65" i="3" s="1"/>
  <c r="O136" i="3" a="1"/>
  <c r="O136" i="3" s="1"/>
  <c r="O139" i="3" a="1"/>
  <c r="O139" i="3" s="1"/>
  <c r="O149" i="3" a="1"/>
  <c r="O149" i="3" s="1"/>
  <c r="O183" i="3" a="1"/>
  <c r="O183" i="3" s="1"/>
  <c r="O90" i="3" a="1"/>
  <c r="O90" i="3" s="1"/>
  <c r="O176" i="3" a="1"/>
  <c r="O176" i="3" s="1"/>
  <c r="O36" i="3" a="1"/>
  <c r="O36" i="3" s="1"/>
  <c r="O100" i="3" a="1"/>
  <c r="O100" i="3" s="1"/>
  <c r="O45" i="3" a="1"/>
  <c r="O45" i="3" s="1"/>
  <c r="O110" i="3" a="1"/>
  <c r="O110" i="3" s="1"/>
  <c r="O54" i="3" a="1"/>
  <c r="O54" i="3" s="1"/>
  <c r="O120" i="3" a="1"/>
  <c r="O120" i="3" s="1"/>
  <c r="O64" i="3" a="1"/>
  <c r="O64" i="3" s="1"/>
  <c r="O134" i="3" a="1"/>
  <c r="O134" i="3" s="1"/>
  <c r="O9" i="3" a="1"/>
  <c r="O9" i="3" s="1"/>
  <c r="O73" i="3" a="1"/>
  <c r="O73" i="3" s="1"/>
  <c r="O148" i="3" a="1"/>
  <c r="O148" i="3" s="1"/>
  <c r="O147" i="3" a="1"/>
  <c r="O147" i="3" s="1"/>
  <c r="O157" i="3" a="1"/>
  <c r="O157" i="3" s="1"/>
  <c r="O127" i="3" a="1"/>
  <c r="O127" i="3" s="1"/>
  <c r="O191" i="3" a="1"/>
  <c r="O191" i="3" s="1"/>
  <c r="O74" i="3" a="1"/>
  <c r="O74" i="3" s="1"/>
  <c r="O93" i="3" a="1"/>
  <c r="O93" i="3" s="1"/>
  <c r="O113" i="3" a="1"/>
  <c r="O113" i="3" s="1"/>
  <c r="O170" i="3" a="1"/>
  <c r="O170" i="3" s="1"/>
  <c r="O31" i="3" a="1"/>
  <c r="O31" i="3" s="1"/>
  <c r="O99" i="3" a="1"/>
  <c r="O99" i="3" s="1"/>
  <c r="O11" i="3" a="1"/>
  <c r="O11" i="3" s="1"/>
  <c r="O27" i="3" a="1"/>
  <c r="O27" i="3" s="1"/>
  <c r="O108" i="3" a="1"/>
  <c r="O108" i="3" s="1"/>
  <c r="O119" i="3" a="1"/>
  <c r="O119" i="3" s="1"/>
  <c r="O62" i="3" a="1"/>
  <c r="O62" i="3" s="1"/>
  <c r="O130" i="3" a="1"/>
  <c r="O130" i="3" s="1"/>
  <c r="O8" i="3" a="1"/>
  <c r="O8" i="3" s="1"/>
  <c r="O72" i="3" a="1"/>
  <c r="O72" i="3" s="1"/>
  <c r="O17" i="3" a="1"/>
  <c r="O17" i="3" s="1"/>
  <c r="O81" i="3" a="1"/>
  <c r="O81" i="3" s="1"/>
  <c r="O161" i="3" a="1"/>
  <c r="O161" i="3" s="1"/>
  <c r="O155" i="3" a="1"/>
  <c r="O155" i="3" s="1"/>
  <c r="O135" i="3" a="1"/>
  <c r="O135" i="3" s="1"/>
  <c r="O63" i="3" a="1"/>
  <c r="O63" i="3" s="1"/>
  <c r="O138" i="3" a="1"/>
  <c r="O138" i="3" s="1"/>
  <c r="O75" i="3" a="1"/>
  <c r="O75" i="3" s="1"/>
  <c r="O43" i="3" a="1"/>
  <c r="O43" i="3" s="1"/>
  <c r="O164" i="3" a="1"/>
  <c r="O164" i="3" s="1"/>
  <c r="O59" i="3" a="1"/>
  <c r="O59" i="3" s="1"/>
  <c r="O42" i="3" a="1"/>
  <c r="O42" i="3" s="1"/>
  <c r="O106" i="3" a="1"/>
  <c r="O106" i="3" s="1"/>
  <c r="O52" i="3" a="1"/>
  <c r="O52" i="3" s="1"/>
  <c r="O118" i="3" a="1"/>
  <c r="O118" i="3" s="1"/>
  <c r="O61" i="3" a="1"/>
  <c r="O61" i="3" s="1"/>
  <c r="O129" i="3" a="1"/>
  <c r="O129" i="3" s="1"/>
  <c r="O6" i="3" a="1"/>
  <c r="O6" i="3" s="1"/>
  <c r="O70" i="3" a="1"/>
  <c r="O70" i="3" s="1"/>
  <c r="O144" i="3" a="1"/>
  <c r="O144" i="3" s="1"/>
  <c r="O16" i="3" a="1"/>
  <c r="O16" i="3" s="1"/>
  <c r="O80" i="3" a="1"/>
  <c r="O80" i="3" s="1"/>
  <c r="O160" i="3" a="1"/>
  <c r="O160" i="3" s="1"/>
  <c r="O25" i="3" a="1"/>
  <c r="O25" i="3" s="1"/>
  <c r="O89" i="3" a="1"/>
  <c r="O89" i="3" s="1"/>
  <c r="O174" i="3" a="1"/>
  <c r="O174" i="3" s="1"/>
  <c r="O163" i="3" a="1"/>
  <c r="O163" i="3" s="1"/>
  <c r="O109" i="3" a="1"/>
  <c r="O109" i="3" s="1"/>
  <c r="O173" i="3" a="1"/>
  <c r="O173" i="3" s="1"/>
  <c r="O143" i="3" a="1"/>
  <c r="O143" i="3" s="1"/>
  <c r="O67" i="3" a="1"/>
  <c r="O67" i="3" s="1"/>
  <c r="O83" i="3" a="1"/>
  <c r="O83" i="3" s="1"/>
  <c r="O34" i="3" a="1"/>
  <c r="O34" i="3" s="1"/>
  <c r="O188" i="3" a="1"/>
  <c r="O188" i="3" s="1"/>
  <c r="O95" i="3" a="1"/>
  <c r="O95" i="3" s="1"/>
  <c r="O190" i="3" a="1"/>
  <c r="O190" i="3" s="1"/>
  <c r="O15" i="3" a="1"/>
  <c r="O15" i="3" s="1"/>
  <c r="O107" i="3" a="1"/>
  <c r="O107" i="3" s="1"/>
  <c r="O91" i="3" a="1"/>
  <c r="O91" i="3" s="1"/>
  <c r="O50" i="3" a="1"/>
  <c r="O50" i="3" s="1"/>
  <c r="O115" i="3" a="1"/>
  <c r="O115" i="3" s="1"/>
  <c r="O60" i="3" a="1"/>
  <c r="O60" i="3" s="1"/>
  <c r="O128" i="3" a="1"/>
  <c r="O128" i="3" s="1"/>
  <c r="O5" i="3" a="1"/>
  <c r="O5" i="3" s="1"/>
  <c r="O69" i="3" a="1"/>
  <c r="O69" i="3" s="1"/>
  <c r="O142" i="3" a="1"/>
  <c r="O142" i="3" s="1"/>
  <c r="O14" i="3" a="1"/>
  <c r="O14" i="3" s="1"/>
  <c r="O78" i="3" a="1"/>
  <c r="O78" i="3" s="1"/>
  <c r="O156" i="3" a="1"/>
  <c r="O156" i="3" s="1"/>
  <c r="O24" i="3" a="1"/>
  <c r="O24" i="3" s="1"/>
  <c r="O88" i="3" a="1"/>
  <c r="O88" i="3" s="1"/>
  <c r="O172" i="3" a="1"/>
  <c r="O172" i="3" s="1"/>
  <c r="O33" i="3" a="1"/>
  <c r="O33" i="3" s="1"/>
  <c r="O97" i="3" a="1"/>
  <c r="O97" i="3" s="1"/>
  <c r="O186" i="3" a="1"/>
  <c r="O186" i="3" s="1"/>
  <c r="O171" i="3" a="1"/>
  <c r="O171" i="3" s="1"/>
  <c r="O117" i="3" a="1"/>
  <c r="O117" i="3" s="1"/>
  <c r="O181" i="3" a="1"/>
  <c r="O181" i="3" s="1"/>
  <c r="O151" i="3" a="1"/>
  <c r="O151" i="3" s="1"/>
</calcChain>
</file>

<file path=xl/sharedStrings.xml><?xml version="1.0" encoding="utf-8"?>
<sst xmlns="http://schemas.openxmlformats.org/spreadsheetml/2006/main" count="903" uniqueCount="496">
  <si>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</si>
  <si>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</si>
  <si>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</si>
  <si>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</si>
  <si>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</si>
  <si>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</si>
  <si>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</si>
  <si>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</si>
  <si>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</si>
  <si>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</si>
  <si>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</si>
  <si>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</si>
  <si>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</si>
  <si>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</si>
  <si>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</si>
  <si>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</si>
  <si>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</si>
  <si>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</si>
  <si>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</si>
  <si>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</si>
  <si>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</si>
  <si>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</si>
  <si>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</si>
  <si>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</si>
  <si>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</si>
  <si>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</si>
  <si>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</si>
  <si>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</si>
  <si>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</si>
  <si>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</si>
  <si>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</si>
  <si>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</si>
  <si>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</si>
  <si>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</si>
  <si>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</si>
  <si>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</si>
  <si>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</si>
  <si>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</si>
  <si>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</si>
  <si>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</si>
  <si>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</si>
  <si>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</si>
  <si>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</si>
  <si>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</si>
  <si>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</si>
  <si>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</si>
  <si>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</si>
  <si>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</si>
  <si>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</si>
  <si>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</si>
  <si>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</si>
  <si>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</si>
  <si>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</si>
  <si>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</si>
  <si>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</si>
  <si>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</si>
  <si>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</si>
  <si>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</si>
  <si>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</si>
  <si>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</si>
  <si>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</si>
  <si>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</si>
  <si>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</si>
  <si>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</si>
  <si>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</si>
  <si>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</si>
  <si>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</si>
  <si>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</si>
  <si>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</si>
  <si>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</si>
  <si>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</si>
  <si>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</si>
  <si>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</si>
  <si>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</si>
  <si>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</si>
  <si>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</si>
  <si>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</si>
  <si>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</si>
  <si>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</si>
  <si>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</si>
  <si>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</si>
  <si>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</si>
  <si>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</si>
  <si>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</si>
  <si>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</si>
  <si>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</si>
  <si>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</si>
  <si>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</si>
  <si>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</si>
  <si>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</si>
  <si>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</si>
  <si>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</si>
  <si>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</si>
  <si>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</si>
  <si>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</si>
  <si>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</si>
  <si>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</si>
  <si>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</si>
  <si>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</si>
  <si>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</si>
  <si>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</si>
  <si>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</si>
  <si>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</si>
  <si>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</si>
  <si>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</si>
  <si>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</si>
  <si>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</si>
  <si>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</si>
  <si>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</si>
  <si>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</si>
  <si>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</si>
  <si>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</si>
  <si>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</si>
  <si>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</si>
  <si>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</si>
  <si>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</si>
  <si>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</si>
  <si>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</si>
  <si>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</si>
  <si>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</si>
  <si>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</si>
  <si>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</si>
  <si>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</si>
  <si>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</si>
  <si>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</si>
  <si>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</si>
  <si>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</si>
  <si>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</si>
  <si>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</si>
  <si>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</si>
  <si>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</si>
  <si>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</si>
  <si>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</si>
  <si>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</si>
  <si>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</si>
  <si>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</si>
  <si>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</si>
  <si>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</si>
  <si>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</si>
  <si>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</si>
  <si>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</si>
  <si>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</si>
  <si>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</si>
  <si>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</si>
  <si>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</si>
  <si>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</si>
  <si>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</si>
  <si>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</si>
  <si>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</si>
  <si>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</si>
  <si>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</si>
  <si>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</si>
  <si>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</si>
  <si>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</si>
  <si>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</si>
  <si>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</si>
  <si>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</si>
  <si>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</si>
  <si>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</si>
  <si>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</si>
  <si>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</si>
  <si>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</si>
  <si>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</si>
  <si>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</si>
  <si>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</si>
  <si>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</si>
  <si>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</si>
  <si>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</si>
  <si>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</si>
  <si>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</si>
  <si>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</si>
  <si>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</si>
  <si>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</si>
  <si>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</si>
  <si>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</si>
  <si>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</si>
  <si>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</si>
  <si>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</si>
  <si>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</si>
  <si>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</si>
  <si>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</si>
  <si>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</si>
  <si>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</si>
  <si>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</si>
  <si>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</si>
  <si>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</si>
  <si>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</si>
  <si>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</si>
  <si>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</si>
  <si>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</si>
  <si>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</si>
  <si>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</si>
  <si>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</si>
  <si>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</si>
  <si>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</si>
  <si>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</si>
  <si>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</si>
  <si>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</si>
  <si>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</si>
  <si>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</si>
  <si>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</si>
  <si>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</si>
  <si>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</si>
  <si>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</si>
  <si>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</si>
  <si>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</si>
  <si>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</si>
  <si>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</si>
  <si>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</si>
  <si>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</si>
  <si>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</si>
  <si>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</si>
  <si>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</si>
  <si>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</si>
  <si>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</si>
  <si>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</si>
  <si>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</si>
  <si>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</si>
  <si>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</si>
  <si>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</si>
  <si>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</si>
  <si>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</si>
  <si>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</si>
  <si>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</si>
  <si>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</si>
  <si>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</si>
  <si>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</si>
  <si>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</si>
  <si>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Stock Industry &amp; NSE/BSE Code</t>
  </si>
  <si>
    <t>Industry</t>
  </si>
  <si>
    <t>NSE/BSE Code</t>
  </si>
  <si>
    <t>IT</t>
  </si>
  <si>
    <t>BOM:532540</t>
  </si>
  <si>
    <t>FMCG</t>
  </si>
  <si>
    <t>HINDUNILVR</t>
  </si>
  <si>
    <t>Telecom</t>
  </si>
  <si>
    <t>BHARTIARTL</t>
  </si>
  <si>
    <t>NBFC</t>
  </si>
  <si>
    <t>BAJFINANCE</t>
  </si>
  <si>
    <t>Paint</t>
  </si>
  <si>
    <t>ASIANPAINT</t>
  </si>
  <si>
    <t>HCLTECH</t>
  </si>
  <si>
    <t>Automobile</t>
  </si>
  <si>
    <t>MARUTI</t>
  </si>
  <si>
    <t>Retail</t>
  </si>
  <si>
    <t>DMART</t>
  </si>
  <si>
    <t>Infrastructure</t>
  </si>
  <si>
    <t>BOM:500510</t>
  </si>
  <si>
    <t>Financial Servcies</t>
  </si>
  <si>
    <t>BAJAJFINSV</t>
  </si>
  <si>
    <t>NESTLEIND</t>
  </si>
  <si>
    <t>Cement</t>
  </si>
  <si>
    <t>ULTRACEMCO</t>
  </si>
  <si>
    <t>BAJAJ-AUTO</t>
  </si>
  <si>
    <t>Chemical</t>
  </si>
  <si>
    <t>PIDILITIND</t>
  </si>
  <si>
    <t>Insurance</t>
  </si>
  <si>
    <t>SBILIFE</t>
  </si>
  <si>
    <t>BOM:500470</t>
  </si>
  <si>
    <t>Pharma</t>
  </si>
  <si>
    <t>DIVISLAB</t>
  </si>
  <si>
    <t>TECHM</t>
  </si>
  <si>
    <t>DABUR</t>
  </si>
  <si>
    <t>BRITANNIA</t>
  </si>
  <si>
    <t>EICHERMOT</t>
  </si>
  <si>
    <t>CIPLA</t>
  </si>
  <si>
    <t>BOM:500425</t>
  </si>
  <si>
    <t>SBICARD</t>
  </si>
  <si>
    <t>BOM:540005</t>
  </si>
  <si>
    <t>Consumer Electrical</t>
  </si>
  <si>
    <t>HAVELLS</t>
  </si>
  <si>
    <t>Technology</t>
  </si>
  <si>
    <t>BOM:543384</t>
  </si>
  <si>
    <t>TATACONSUM</t>
  </si>
  <si>
    <t>BOM:500400</t>
  </si>
  <si>
    <t>MARICO</t>
  </si>
  <si>
    <t>BERGEPAINT</t>
  </si>
  <si>
    <t>Automobile Ancilliary</t>
  </si>
  <si>
    <t>BOM:517334</t>
  </si>
  <si>
    <t>HEROMOTOCO</t>
  </si>
  <si>
    <t>BOM:543320</t>
  </si>
  <si>
    <t>BOM:532777</t>
  </si>
  <si>
    <t>IT-Software</t>
  </si>
  <si>
    <t>TATAELXSI</t>
  </si>
  <si>
    <t>Agrochemical</t>
  </si>
  <si>
    <t>BOM:512070</t>
  </si>
  <si>
    <t>Catering</t>
  </si>
  <si>
    <t>Bank</t>
  </si>
  <si>
    <t>BANDHANBNK</t>
  </si>
  <si>
    <t>Textile</t>
  </si>
  <si>
    <t>PAGEIND</t>
  </si>
  <si>
    <t>BOM:500459</t>
  </si>
  <si>
    <t>BOM:526299</t>
  </si>
  <si>
    <t>BOM:543396</t>
  </si>
  <si>
    <t>Tyre</t>
  </si>
  <si>
    <t>BALKRISIND</t>
  </si>
  <si>
    <t>ASHOKLEY</t>
  </si>
  <si>
    <t>MUTHOOTFIN</t>
  </si>
  <si>
    <t>Spirits</t>
  </si>
  <si>
    <t>UBL</t>
  </si>
  <si>
    <t>AMC</t>
  </si>
  <si>
    <t>HDFCAMC</t>
  </si>
  <si>
    <t>PIIND</t>
  </si>
  <si>
    <t>BOM:532343</t>
  </si>
  <si>
    <t>BOM:500251</t>
  </si>
  <si>
    <t>automobile</t>
  </si>
  <si>
    <t>BOM:543300</t>
  </si>
  <si>
    <t>Piping</t>
  </si>
  <si>
    <t>ASTRAL</t>
  </si>
  <si>
    <t>POLYCAB</t>
  </si>
  <si>
    <t>AUROPHARMA</t>
  </si>
  <si>
    <t>HONAUT</t>
  </si>
  <si>
    <t>BOM:500290</t>
  </si>
  <si>
    <t>chemical</t>
  </si>
  <si>
    <t>BOM:542812</t>
  </si>
  <si>
    <t>Utility</t>
  </si>
  <si>
    <t>GUJGASLTD</t>
  </si>
  <si>
    <t>BOM:500271</t>
  </si>
  <si>
    <t>COROMANDEL</t>
  </si>
  <si>
    <t>BOM:543390</t>
  </si>
  <si>
    <t>BOM:532514</t>
  </si>
  <si>
    <t>LAURUSLABS</t>
  </si>
  <si>
    <t>DEEPAKNTR</t>
  </si>
  <si>
    <t>Footwear</t>
  </si>
  <si>
    <t>RELAXO</t>
  </si>
  <si>
    <t>PERSISTENT</t>
  </si>
  <si>
    <t>3MINDIA</t>
  </si>
  <si>
    <t>IPCALAB</t>
  </si>
  <si>
    <t>BATAINDIA</t>
  </si>
  <si>
    <t>BOM:532541</t>
  </si>
  <si>
    <t>Steel</t>
  </si>
  <si>
    <t>BOM:533758</t>
  </si>
  <si>
    <t>CROMPTON</t>
  </si>
  <si>
    <t>Plastic</t>
  </si>
  <si>
    <t>SUPREMEIND</t>
  </si>
  <si>
    <t>BAYERCROP</t>
  </si>
  <si>
    <t>SUMICHEM</t>
  </si>
  <si>
    <t>Manufacturing</t>
  </si>
  <si>
    <t>DIXON</t>
  </si>
  <si>
    <t>BOM:500770</t>
  </si>
  <si>
    <t>VINATIORGA</t>
  </si>
  <si>
    <t>WHIRLPOOL</t>
  </si>
  <si>
    <t>BOM:539437</t>
  </si>
  <si>
    <t>ENDURANCE</t>
  </si>
  <si>
    <t>BOM:500680</t>
  </si>
  <si>
    <t>BOM:521064</t>
  </si>
  <si>
    <t>BOM:532504</t>
  </si>
  <si>
    <t>BOM:500253</t>
  </si>
  <si>
    <t>Healthcare</t>
  </si>
  <si>
    <t>LALPATHLAB</t>
  </si>
  <si>
    <t>BOM:540750</t>
  </si>
  <si>
    <t>BOM:543318</t>
  </si>
  <si>
    <t>FINEORG</t>
  </si>
  <si>
    <t>APLLTD</t>
  </si>
  <si>
    <t>AFFLE</t>
  </si>
  <si>
    <t>BOM:532790</t>
  </si>
  <si>
    <t>BOM:542651</t>
  </si>
  <si>
    <t>Form</t>
  </si>
  <si>
    <t>BOM:540203</t>
  </si>
  <si>
    <t>INDIAMART</t>
  </si>
  <si>
    <t>BOM:543227</t>
  </si>
  <si>
    <t>EXIDEIND</t>
  </si>
  <si>
    <t>Playboard</t>
  </si>
  <si>
    <t>BOM:532548</t>
  </si>
  <si>
    <t>TTKPRESTIG</t>
  </si>
  <si>
    <t>NSE:CAMS</t>
  </si>
  <si>
    <t>BOM:532497</t>
  </si>
  <si>
    <t>BOM:517569</t>
  </si>
  <si>
    <t>GALAXYSURF</t>
  </si>
  <si>
    <t>BOM:532400</t>
  </si>
  <si>
    <t>BOM:530999</t>
  </si>
  <si>
    <t>BOM:543427</t>
  </si>
  <si>
    <t>BOM:500940</t>
  </si>
  <si>
    <t>BOM:502219</t>
  </si>
  <si>
    <t>BOM:543238</t>
  </si>
  <si>
    <t>AMARAJABAT</t>
  </si>
  <si>
    <t>BOM:543228</t>
  </si>
  <si>
    <t>BOM:543277</t>
  </si>
  <si>
    <t>BOM:500183</t>
  </si>
  <si>
    <t>BOM:539957</t>
  </si>
  <si>
    <t>MANAPPURAM</t>
  </si>
  <si>
    <t>BOM:540902</t>
  </si>
  <si>
    <t>BOM:531768</t>
  </si>
  <si>
    <t>packaging</t>
  </si>
  <si>
    <t>BOM:524051</t>
  </si>
  <si>
    <t>SONATSOFTW</t>
  </si>
  <si>
    <t>BOM:506820</t>
  </si>
  <si>
    <t>BOM:543398</t>
  </si>
  <si>
    <t>BOM:522205</t>
  </si>
  <si>
    <t>BOM:532174</t>
  </si>
  <si>
    <t>BOM:532482</t>
  </si>
  <si>
    <t>Logistic</t>
  </si>
  <si>
    <t>BOM:540212</t>
  </si>
  <si>
    <t>BOM:504067</t>
  </si>
  <si>
    <t>BOM:523704</t>
  </si>
  <si>
    <t>GARFIBRES</t>
  </si>
  <si>
    <t>GMMPFAUDLR</t>
  </si>
  <si>
    <t>BOM:532374</t>
  </si>
  <si>
    <t>ORIENTELEC</t>
  </si>
  <si>
    <t>Food</t>
  </si>
  <si>
    <t>AVANTIFEED</t>
  </si>
  <si>
    <t>Ceramics</t>
  </si>
  <si>
    <t>BOM:532443</t>
  </si>
  <si>
    <t>BOM:543276</t>
  </si>
  <si>
    <t>BOM:590021</t>
  </si>
  <si>
    <t>BOM:500292</t>
  </si>
  <si>
    <t>BOM:533138</t>
  </si>
  <si>
    <t>BOM:524348</t>
  </si>
  <si>
    <t>BOM:543428</t>
  </si>
  <si>
    <t>THYROCARE</t>
  </si>
  <si>
    <t>BOM:542665</t>
  </si>
  <si>
    <t>BOM:507717</t>
  </si>
  <si>
    <t>ADVENZYMES</t>
  </si>
  <si>
    <t>BOM:507685</t>
  </si>
  <si>
    <t>BOM:540900</t>
  </si>
  <si>
    <t>BOM:512529</t>
  </si>
  <si>
    <t>BOM:533080</t>
  </si>
  <si>
    <t>TASTYBITE</t>
  </si>
  <si>
    <t>BOM:543266</t>
  </si>
  <si>
    <t>Defence</t>
  </si>
  <si>
    <t>BOM:543367</t>
  </si>
  <si>
    <t>BOM:532630</t>
  </si>
  <si>
    <t>Kitchen Appliances</t>
  </si>
  <si>
    <t>BOM:542905</t>
  </si>
  <si>
    <t>BOM:500570</t>
  </si>
  <si>
    <t>BOM:500052</t>
  </si>
  <si>
    <t>BOM:531761</t>
  </si>
  <si>
    <t>BOM:500655</t>
  </si>
  <si>
    <t>CHEMCON</t>
  </si>
  <si>
    <t>BOM:543264</t>
  </si>
  <si>
    <t>DRREDDY</t>
  </si>
  <si>
    <t>HDFCBANK</t>
  </si>
  <si>
    <t>FINCABLES</t>
  </si>
  <si>
    <t>BOM:540767</t>
  </si>
  <si>
    <t>ABBOTINDIA</t>
  </si>
  <si>
    <t>AXISBANK</t>
  </si>
  <si>
    <t>BOM:532134</t>
  </si>
  <si>
    <t>BOM:500112</t>
  </si>
  <si>
    <t>BOM:500469</t>
  </si>
  <si>
    <t>SHREECEM</t>
  </si>
  <si>
    <t>BOM:500209</t>
  </si>
  <si>
    <t>Telecom and oil</t>
  </si>
  <si>
    <t>RELIANCE</t>
  </si>
  <si>
    <t>BOM:524226</t>
  </si>
  <si>
    <t>BOM:524091</t>
  </si>
  <si>
    <t>HDFCLIFE</t>
  </si>
  <si>
    <t>BOM:532644</t>
  </si>
  <si>
    <t>ICICIPRULI</t>
  </si>
  <si>
    <t>BOM:500114</t>
  </si>
  <si>
    <t>BOM:526729</t>
  </si>
  <si>
    <t>MCDOWELL-N</t>
  </si>
  <si>
    <t>BOM:543213</t>
  </si>
  <si>
    <t>KANSAINER</t>
  </si>
  <si>
    <t>BOM:500575</t>
  </si>
  <si>
    <t>BOM:543336</t>
  </si>
  <si>
    <t>BOM:540115</t>
  </si>
  <si>
    <t>BOM:532648</t>
  </si>
  <si>
    <t>BOM:543245</t>
  </si>
  <si>
    <t>BOM:508486</t>
  </si>
  <si>
    <t>BOM:543270</t>
  </si>
  <si>
    <t>BOM:532156</t>
  </si>
  <si>
    <t>BOM:500027</t>
  </si>
  <si>
    <t>BOM:543425</t>
  </si>
  <si>
    <t>SUNPHARMA</t>
  </si>
  <si>
    <t>BO:524742</t>
  </si>
  <si>
    <t>CYIENT</t>
  </si>
  <si>
    <t>BOM:540180</t>
  </si>
  <si>
    <t>BOM:542907</t>
  </si>
  <si>
    <t>JUBLFOOD</t>
  </si>
  <si>
    <t>ALKYLAMINE</t>
  </si>
  <si>
    <t>Small Finance</t>
  </si>
  <si>
    <t>AUBANK</t>
  </si>
  <si>
    <t>BOM:519126</t>
  </si>
  <si>
    <t>BOM:532725</t>
  </si>
  <si>
    <t>KOTAKBANK</t>
  </si>
  <si>
    <t>kitchen</t>
  </si>
  <si>
    <t>BOM:543260</t>
  </si>
  <si>
    <t>BOM:532424</t>
  </si>
  <si>
    <t>BOM:541540</t>
  </si>
  <si>
    <t>Ceramic</t>
  </si>
  <si>
    <t>KAJARIACER</t>
  </si>
  <si>
    <t>BOM:543328</t>
  </si>
  <si>
    <t>METROPOLIS</t>
  </si>
  <si>
    <t>AARTIIND</t>
  </si>
  <si>
    <t>BOM:532348</t>
  </si>
  <si>
    <t>Reserach</t>
  </si>
  <si>
    <t>CRISIL</t>
  </si>
  <si>
    <t>BOM:539542</t>
  </si>
  <si>
    <t>BOM:543526</t>
  </si>
  <si>
    <t>Bear Mode 1</t>
  </si>
  <si>
    <t>Bear Mode 2</t>
  </si>
  <si>
    <t>Stock Status</t>
  </si>
  <si>
    <t>Cap SIze</t>
  </si>
  <si>
    <t>Highest Cap Size</t>
  </si>
  <si>
    <t>60 % of the highest cap size</t>
  </si>
  <si>
    <t>40 % of the highest cap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</si>
</sst>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  <scheme val="minor"/>
    </font>
    <font>
      <b/>
      <sz val="12"/>
      <color theme="1"/>
      <name val="Poppins"/>
    </font>
    <font>
      <sz val="12"/>
      <color rgb="FFFFFFFF"/>
      <name val="Poppins"/>
    </font>
    <font>
      <sz val="12"/>
      <color theme="1"/>
      <name val="Poppins"/>
    </font>
    <font>
      <sz val="12"/>
      <color rgb="FF000000"/>
      <name val="Poppins"/>
    </font>
    <font>
      <b/>
      <sz val="18"/>
      <color theme="1"/>
      <name val="Poppins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00000"/>
      <name val="&quot;Google Sans Mono&quot;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0" fontId="1" fillId="0" borderId="2" xfId="0" applyNumberFormat="1" applyFont="1" applyBorder="1" applyAlignment="1">
      <alignment horizontal="left" vertical="center" wrapText="1"/>
    </xf>
    <xf numFmtId="10" fontId="1" fillId="0" borderId="0" xfId="0" applyNumberFormat="1" applyFont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2" fontId="3" fillId="0" borderId="4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0" fontId="3" fillId="0" borderId="2" xfId="0" applyNumberFormat="1" applyFont="1" applyBorder="1" applyAlignment="1">
      <alignment horizontal="left" vertical="center" wrapText="1"/>
    </xf>
    <xf numFmtId="10" fontId="3" fillId="0" borderId="0" xfId="0" applyNumberFormat="1" applyFont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3" fillId="0" borderId="0" xfId="0" applyNumberFormat="1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10" fontId="8" fillId="0" borderId="0" xfId="0" applyNumberFormat="1" applyFont="1"/>
    <xf numFmtId="4" fontId="8" fillId="0" borderId="0" xfId="0" applyNumberFormat="1" applyFo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4" fontId="9" fillId="5" borderId="0" xfId="0" applyNumberFormat="1" applyFont="1" applyFill="1" applyAlignment="1">
      <alignment horizontal="center"/>
    </xf>
    <xf numFmtId="10" fontId="7" fillId="0" borderId="0" xfId="0" applyNumberFormat="1" applyFont="1"/>
    <xf numFmtId="4" fontId="7" fillId="0" borderId="0" xfId="0" applyNumberFormat="1" applyFont="1"/>
    <xf numFmtId="0" fontId="8" fillId="0" borderId="0" xfId="0" applyFont="1"/>
    <xf numFmtId="2" fontId="7" fillId="0" borderId="0" xfId="0" applyNumberFormat="1" applyFont="1"/>
    <xf numFmtId="0" fontId="7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7" fillId="0" borderId="0" xfId="0" applyNumberFormat="1" applyFont="1"/>
    <xf numFmtId="0" fontId="2" fillId="2" borderId="3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/>
    <xf numFmtId="2" fontId="3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  <xf numFmtId="0" fontId="5" fillId="3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6" fillId="0" borderId="9" xfId="0" applyFont="1" applyBorder="1"/>
  </cellXfs>
  <cellStyles count="1">
    <cellStyle name="Normal" xfId="0" builtinId="0"/>
  </cellStyles>
  <dxfs count="16">
    <dxf>
      <font>
        <color rgb="FF000000"/>
      </font>
      <fill>
        <patternFill patternType="solid">
          <fgColor rgb="FFFF6262"/>
          <bgColor rgb="FFFF6262"/>
        </patternFill>
      </fill>
    </dxf>
    <dxf>
      <font>
        <color theme="1"/>
      </font>
      <fill>
        <patternFill patternType="solid">
          <fgColor rgb="FF63D297"/>
          <bgColor rgb="FF63D297"/>
        </patternFill>
      </fill>
    </dxf>
    <dxf>
      <fill>
        <patternFill patternType="solid">
          <fgColor rgb="FF8DFF8A"/>
          <bgColor rgb="FF8DFF8A"/>
        </patternFill>
      </fill>
    </dxf>
    <dxf>
      <fill>
        <patternFill patternType="solid">
          <fgColor rgb="FFFF6262"/>
          <bgColor rgb="FFFF6262"/>
        </patternFill>
      </fill>
    </dxf>
    <dxf>
      <fill>
        <patternFill patternType="solid">
          <fgColor rgb="FFFF7A7A"/>
          <bgColor rgb="FFFF7A7A"/>
        </patternFill>
      </fill>
    </dxf>
    <dxf>
      <fill>
        <patternFill patternType="solid">
          <fgColor rgb="FF7EFFCB"/>
          <bgColor rgb="FF7EFFCB"/>
        </patternFill>
      </fill>
    </dxf>
    <dxf>
      <font>
        <color rgb="FFFFFFFF"/>
      </font>
      <fill>
        <patternFill patternType="solid">
          <fgColor rgb="FF1155CC"/>
          <bgColor rgb="FF1155C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D966"/>
          <bgColor rgb="FFFFD966"/>
        </patternFill>
      </fill>
    </dxf>
  </dxfs>
  <tableStyles count="3">
    <tableStyle name="Data Set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NSEBSE Code-style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Final Sheet-style" pivot="0" count="3" xr9:uid="{00000000-0011-0000-FFFF-FFFF02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217">
  <tableColumns count="10">
    <tableColumn id="1" xr3:uid="{00000000-0010-0000-0000-000001000000}" name="Stock"/>
    <tableColumn id="2" xr3:uid="{00000000-0010-0000-0000-000002000000}" name="Market cap (in Rs Cr.)"/>
    <tableColumn id="3" xr3:uid="{00000000-0010-0000-0000-000003000000}" name="Current price"/>
    <tableColumn id="4" xr3:uid="{00000000-0010-0000-0000-000004000000}" name="PE Ratio"/>
    <tableColumn id="5" xr3:uid="{00000000-0010-0000-0000-000005000000}" name="52 Week High"/>
    <tableColumn id="6" xr3:uid="{00000000-0010-0000-0000-000006000000}" name="% Below 52 week high"/>
    <tableColumn id="7" xr3:uid="{00000000-0010-0000-0000-000007000000}" name="52 Week Low"/>
    <tableColumn id="8" xr3:uid="{00000000-0010-0000-0000-000008000000}" name="% Above 52 Week low"/>
    <tableColumn id="9" xr3:uid="{00000000-0010-0000-0000-000009000000}" name="Yesterday Closing Price"/>
    <tableColumn id="10" xr3:uid="{00000000-0010-0000-0000-00000A000000}" name="% Change"/>
  </tableColumns>
  <tableStyleInfo name="Data S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C219">
  <tableColumns count="3">
    <tableColumn id="1" xr3:uid="{00000000-0010-0000-0100-000001000000}" name="Stock"/>
    <tableColumn id="2" xr3:uid="{00000000-0010-0000-0100-000002000000}" name="Industry"/>
    <tableColumn id="3" xr3:uid="{00000000-0010-0000-0100-000003000000}" name="NSE/BSE Code"/>
  </tableColumns>
  <tableStyleInfo name="NSEBSE Cod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P48">
  <tableColumns count="16">
    <tableColumn id="1" xr3:uid="{00000000-0010-0000-0200-000001000000}" name="Stock"/>
    <tableColumn id="2" xr3:uid="{00000000-0010-0000-0200-000002000000}" name="Market cap (in Rs Cr.)"/>
    <tableColumn id="3" xr3:uid="{00000000-0010-0000-0200-000003000000}" name="Current price"/>
    <tableColumn id="4" xr3:uid="{00000000-0010-0000-0200-000004000000}" name="PE Ratio"/>
    <tableColumn id="5" xr3:uid="{00000000-0010-0000-0200-000005000000}" name="52 Week High"/>
    <tableColumn id="6" xr3:uid="{00000000-0010-0000-0200-000006000000}" name="% Below 52 week high"/>
    <tableColumn id="7" xr3:uid="{00000000-0010-0000-0200-000007000000}" name="52 Week Low"/>
    <tableColumn id="8" xr3:uid="{00000000-0010-0000-0200-000008000000}" name="% Above 52 Week low"/>
    <tableColumn id="9" xr3:uid="{00000000-0010-0000-0200-000009000000}" name="Yesterday Closing Price"/>
    <tableColumn id="10" xr3:uid="{00000000-0010-0000-0200-00000A000000}" name="% Change"/>
    <tableColumn id="11" xr3:uid="{00000000-0010-0000-0200-00000B000000}" name="Industry"/>
    <tableColumn id="12" xr3:uid="{00000000-0010-0000-0200-00000C000000}" name="NSE/BSE Code"/>
    <tableColumn id="13" xr3:uid="{00000000-0010-0000-0200-00000D000000}" name="Bear Mode 1"/>
    <tableColumn id="14" xr3:uid="{00000000-0010-0000-0200-00000E000000}" name="Bear Mode 2"/>
    <tableColumn id="15" xr3:uid="{00000000-0010-0000-0200-00000F000000}" name="Stock Status"/>
    <tableColumn id="16" xr3:uid="{00000000-0010-0000-0200-000010000000}" name="Cap SIze"/>
  </tableColumns>
  <tableStyleInfo name="Final She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  <outlinePr summaryBelow="0" summaryRight="0"/>
  </sheetPr>
  <dimension ref="A1:AC217"/>
  <sheetViews>
    <sheetView workbookViewId="0">
      <pane xSplit="10" topLeftCell="K1" activePane="topRight" state="frozen"/>
      <selection pane="topRight" activeCell="L2" sqref="L2"/>
    </sheetView>
  </sheetViews>
  <sheetFormatPr defaultColWidth="12.6640625" defaultRowHeight="15.75" customHeight="1"/>
  <cols>
    <col min="1" max="1" width="24.33203125" customWidth="1"/>
    <col min="2" max="2" width="17" customWidth="1"/>
    <col min="6" max="6" width="12.88671875" customWidth="1"/>
    <col min="9" max="9" width="14.77734375" customWidth="1"/>
    <col min="10" max="10" width="19.77734375" customWidth="1"/>
    <col min="11" max="11" width="28" customWidth="1"/>
    <col min="12" max="29" width="19.6640625" customWidth="1"/>
  </cols>
  <sheetData>
    <row r="1" spans="1:29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4">
      <c r="A2" s="4" t="s">
        <v>10</v>
      </c>
      <c r="B2" s="5">
        <v>1234544.5174748001</v>
      </c>
      <c r="C2" s="6">
        <v>3374.2</v>
      </c>
      <c r="D2" s="7">
        <v>30.43</v>
      </c>
      <c r="E2" s="7">
        <v>4045.5</v>
      </c>
      <c r="F2" s="8">
        <v>0.16593746137683851</v>
      </c>
      <c r="G2" s="7">
        <v>2926</v>
      </c>
      <c r="H2" s="8">
        <v>0.15317840054682152</v>
      </c>
      <c r="I2" s="7">
        <v>3334.6</v>
      </c>
      <c r="J2" s="8">
        <v>1.187548731482034E-2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24">
      <c r="A3" s="10" t="s">
        <v>11</v>
      </c>
      <c r="B3" s="5">
        <v>616301.32687500003</v>
      </c>
      <c r="C3" s="7">
        <v>2620.6</v>
      </c>
      <c r="D3" s="7">
        <v>63.81</v>
      </c>
      <c r="E3" s="7">
        <v>2741.6</v>
      </c>
      <c r="F3" s="8">
        <v>4.4134811788736503E-2</v>
      </c>
      <c r="G3" s="7">
        <v>1901.55</v>
      </c>
      <c r="H3" s="8">
        <v>0.37813888669769397</v>
      </c>
      <c r="I3" s="7">
        <v>2590.0500000000002</v>
      </c>
      <c r="J3" s="8">
        <v>1.1795139089978852E-2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24">
      <c r="A4" s="11" t="s">
        <v>12</v>
      </c>
      <c r="B4" s="5">
        <v>441027.39724590001</v>
      </c>
      <c r="C4" s="7">
        <v>764.6</v>
      </c>
      <c r="D4" s="7">
        <v>65.86</v>
      </c>
      <c r="E4" s="7">
        <v>860.55</v>
      </c>
      <c r="F4" s="8">
        <v>0.11149846028702566</v>
      </c>
      <c r="G4" s="7">
        <v>628.75</v>
      </c>
      <c r="H4" s="8">
        <v>0.2160636182902585</v>
      </c>
      <c r="I4" s="7">
        <v>756.9</v>
      </c>
      <c r="J4" s="8">
        <v>1.0173074382349117E-2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2"/>
      <c r="Z4" s="9"/>
      <c r="AA4" s="9"/>
      <c r="AB4" s="9"/>
      <c r="AC4" s="9"/>
    </row>
    <row r="5" spans="1:29" ht="24">
      <c r="A5" s="4" t="s">
        <v>13</v>
      </c>
      <c r="B5" s="5">
        <v>361172.63514019997</v>
      </c>
      <c r="C5" s="7">
        <v>5977</v>
      </c>
      <c r="D5" s="7">
        <v>36.520000000000003</v>
      </c>
      <c r="E5" s="7">
        <v>8045</v>
      </c>
      <c r="F5" s="8">
        <v>0.25705407085146054</v>
      </c>
      <c r="G5" s="7">
        <v>5220</v>
      </c>
      <c r="H5" s="8">
        <v>0.1450191570881226</v>
      </c>
      <c r="I5" s="7">
        <v>5898.4</v>
      </c>
      <c r="J5" s="8">
        <v>1.3325647633256539E-2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24">
      <c r="A6" s="4" t="s">
        <v>14</v>
      </c>
      <c r="B6" s="5">
        <v>278960.09956589999</v>
      </c>
      <c r="C6" s="7">
        <v>2912</v>
      </c>
      <c r="D6" s="7">
        <v>76.19</v>
      </c>
      <c r="E6" s="7">
        <v>3582.9</v>
      </c>
      <c r="F6" s="8">
        <v>0.18725055122945103</v>
      </c>
      <c r="G6" s="7">
        <v>2560</v>
      </c>
      <c r="H6" s="8">
        <v>0.13750000000000001</v>
      </c>
      <c r="I6" s="7">
        <v>2915.95</v>
      </c>
      <c r="J6" s="8">
        <v>-1.3546185634183776E-3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24">
      <c r="A7" s="4" t="s">
        <v>15</v>
      </c>
      <c r="B7" s="5">
        <v>291770.1146186</v>
      </c>
      <c r="C7" s="7">
        <v>1077</v>
      </c>
      <c r="D7" s="7" t="s">
        <v>16</v>
      </c>
      <c r="E7" s="7">
        <v>1359.4</v>
      </c>
      <c r="F7" s="8">
        <v>0.20773870825364135</v>
      </c>
      <c r="G7" s="7">
        <v>877.35</v>
      </c>
      <c r="H7" s="8">
        <v>0.22756026671225849</v>
      </c>
      <c r="I7" s="7">
        <v>1071.6500000000001</v>
      </c>
      <c r="J7" s="8">
        <v>4.99230159100444E-3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24">
      <c r="A8" s="4" t="s">
        <v>17</v>
      </c>
      <c r="B8" s="5">
        <v>255438.41859260001</v>
      </c>
      <c r="C8" s="7">
        <v>8454.2000000000007</v>
      </c>
      <c r="D8" s="7">
        <v>42.1</v>
      </c>
      <c r="E8" s="7">
        <v>9769</v>
      </c>
      <c r="F8" s="8">
        <v>0.13458900603951268</v>
      </c>
      <c r="G8" s="7">
        <v>6536.55</v>
      </c>
      <c r="H8" s="8">
        <v>0.29337341563974889</v>
      </c>
      <c r="I8" s="7">
        <v>8369.2000000000007</v>
      </c>
      <c r="J8" s="8">
        <v>1.0156287339291688E-2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24">
      <c r="A9" s="4" t="s">
        <v>18</v>
      </c>
      <c r="B9" s="5">
        <v>250157.93508530001</v>
      </c>
      <c r="C9" s="7">
        <v>3855</v>
      </c>
      <c r="D9" s="7">
        <v>109.05</v>
      </c>
      <c r="E9" s="7">
        <v>4609</v>
      </c>
      <c r="F9" s="8">
        <v>0.16359297027554784</v>
      </c>
      <c r="G9" s="7">
        <v>3186</v>
      </c>
      <c r="H9" s="8">
        <v>0.20998116760828625</v>
      </c>
      <c r="I9" s="7">
        <v>3911.8</v>
      </c>
      <c r="J9" s="8">
        <v>-1.4520169742829435E-2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24">
      <c r="A10" s="4" t="s">
        <v>19</v>
      </c>
      <c r="B10" s="5">
        <v>302617.16662500001</v>
      </c>
      <c r="C10" s="7">
        <v>2153.75</v>
      </c>
      <c r="D10" s="7">
        <v>31.53</v>
      </c>
      <c r="E10" s="7">
        <v>2210.5</v>
      </c>
      <c r="F10" s="8">
        <v>2.5672924677674736E-2</v>
      </c>
      <c r="G10" s="7">
        <v>1456.8</v>
      </c>
      <c r="H10" s="8">
        <v>0.4784115870400879</v>
      </c>
      <c r="I10" s="7">
        <v>2160.1999999999998</v>
      </c>
      <c r="J10" s="8">
        <v>-2.9858346449401995E-3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24">
      <c r="A11" s="4" t="s">
        <v>20</v>
      </c>
      <c r="B11" s="5">
        <v>221292.50643760001</v>
      </c>
      <c r="C11" s="7">
        <v>1391</v>
      </c>
      <c r="D11" s="7">
        <v>40.479999999999997</v>
      </c>
      <c r="E11" s="7">
        <v>3724.2</v>
      </c>
      <c r="F11" s="8">
        <v>0.62649696579131087</v>
      </c>
      <c r="G11" s="7">
        <v>1374.35</v>
      </c>
      <c r="H11" s="8">
        <v>1.2114817913923012E-2</v>
      </c>
      <c r="I11" s="7">
        <v>1387.8</v>
      </c>
      <c r="J11" s="8">
        <v>2.3058077532786031E-3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24">
      <c r="A12" s="4" t="s">
        <v>21</v>
      </c>
      <c r="B12" s="5">
        <v>190752.2</v>
      </c>
      <c r="C12" s="7">
        <v>19782.3</v>
      </c>
      <c r="D12" s="7">
        <v>88.1</v>
      </c>
      <c r="E12" s="7">
        <v>21050</v>
      </c>
      <c r="F12" s="8">
        <v>6.0223277909738755E-2</v>
      </c>
      <c r="G12" s="7">
        <v>16000</v>
      </c>
      <c r="H12" s="8">
        <v>0.23639374999999996</v>
      </c>
      <c r="I12" s="7">
        <v>19873.25</v>
      </c>
      <c r="J12" s="8">
        <v>-4.5765035915112384E-3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24">
      <c r="A13" s="4" t="s">
        <v>22</v>
      </c>
      <c r="B13" s="5">
        <v>208975.8</v>
      </c>
      <c r="C13" s="7">
        <v>7244.95</v>
      </c>
      <c r="D13" s="7">
        <v>31.35</v>
      </c>
      <c r="E13" s="7">
        <v>7946</v>
      </c>
      <c r="F13" s="8">
        <v>8.8226780770198868E-2</v>
      </c>
      <c r="G13" s="7">
        <v>5157.05</v>
      </c>
      <c r="H13" s="8">
        <v>0.40486324546009822</v>
      </c>
      <c r="I13" s="7">
        <v>7153.35</v>
      </c>
      <c r="J13" s="8">
        <v>1.2805189177098764E-2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24">
      <c r="A14" s="4" t="s">
        <v>23</v>
      </c>
      <c r="B14" s="5">
        <v>158785.37168929999</v>
      </c>
      <c r="C14" s="7">
        <v>1327.55</v>
      </c>
      <c r="D14" s="7">
        <v>16.12</v>
      </c>
      <c r="E14" s="7">
        <v>1366.55</v>
      </c>
      <c r="F14" s="8">
        <v>2.8539021623797154E-2</v>
      </c>
      <c r="G14" s="7">
        <v>671.15</v>
      </c>
      <c r="H14" s="8">
        <v>0.97802279669224468</v>
      </c>
      <c r="I14" s="7">
        <v>1319.9</v>
      </c>
      <c r="J14" s="8">
        <v>5.795893628305071E-3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24">
      <c r="A15" s="4" t="s">
        <v>24</v>
      </c>
      <c r="B15" s="5">
        <v>101964.8629622</v>
      </c>
      <c r="C15" s="7">
        <v>3602.45</v>
      </c>
      <c r="D15" s="7">
        <v>17.79</v>
      </c>
      <c r="E15" s="7">
        <v>4131.75</v>
      </c>
      <c r="F15" s="8">
        <v>0.12810552429358024</v>
      </c>
      <c r="G15" s="7">
        <v>3125</v>
      </c>
      <c r="H15" s="8">
        <v>0.15278399999999995</v>
      </c>
      <c r="I15" s="7">
        <v>3570.3</v>
      </c>
      <c r="J15" s="8">
        <v>9.0048455311877527E-3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24">
      <c r="A16" s="4" t="s">
        <v>25</v>
      </c>
      <c r="B16" s="5">
        <v>127340</v>
      </c>
      <c r="C16" s="7">
        <v>2513</v>
      </c>
      <c r="D16" s="7">
        <v>98.38</v>
      </c>
      <c r="E16" s="7">
        <v>2918.95</v>
      </c>
      <c r="F16" s="8">
        <v>0.13907398208259814</v>
      </c>
      <c r="G16" s="7">
        <v>1988.55</v>
      </c>
      <c r="H16" s="8">
        <v>0.26373488220059843</v>
      </c>
      <c r="I16" s="7">
        <v>2495.5</v>
      </c>
      <c r="J16" s="8">
        <v>7.0126227208976155E-3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24">
      <c r="A17" s="4" t="s">
        <v>26</v>
      </c>
      <c r="B17" s="5">
        <v>130568.986925</v>
      </c>
      <c r="C17" s="7">
        <v>1307</v>
      </c>
      <c r="D17" s="7">
        <v>78.069999999999993</v>
      </c>
      <c r="E17" s="7">
        <v>1340.35</v>
      </c>
      <c r="F17" s="8">
        <v>2.4881560786361705E-2</v>
      </c>
      <c r="G17" s="7">
        <v>1003.5</v>
      </c>
      <c r="H17" s="8">
        <v>0.30244145490782259</v>
      </c>
      <c r="I17" s="7">
        <v>1315.7</v>
      </c>
      <c r="J17" s="8">
        <v>-6.6124496465760014E-3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24">
      <c r="A18" s="4" t="s">
        <v>27</v>
      </c>
      <c r="B18" s="5">
        <v>147293.6037181</v>
      </c>
      <c r="C18" s="7">
        <v>120.45</v>
      </c>
      <c r="D18" s="7">
        <v>5.13</v>
      </c>
      <c r="E18" s="7">
        <v>138.63</v>
      </c>
      <c r="F18" s="8">
        <v>0.1311404457909543</v>
      </c>
      <c r="G18" s="7">
        <v>82.71</v>
      </c>
      <c r="H18" s="8">
        <v>0.45629307217990583</v>
      </c>
      <c r="I18" s="7">
        <v>118.05</v>
      </c>
      <c r="J18" s="8">
        <v>2.0330368487928893E-2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24">
      <c r="A19" s="4" t="s">
        <v>28</v>
      </c>
      <c r="B19" s="5">
        <v>88977.11</v>
      </c>
      <c r="C19" s="7">
        <v>3352.15</v>
      </c>
      <c r="D19" s="7">
        <v>29.74</v>
      </c>
      <c r="E19" s="7">
        <v>4668</v>
      </c>
      <c r="F19" s="8">
        <v>0.28188731790916877</v>
      </c>
      <c r="G19" s="7">
        <v>3195.15</v>
      </c>
      <c r="H19" s="8">
        <v>4.9136973225044206E-2</v>
      </c>
      <c r="I19" s="7">
        <v>3305.3</v>
      </c>
      <c r="J19" s="8">
        <v>1.4174205064593201E-2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24">
      <c r="A20" s="4" t="s">
        <v>29</v>
      </c>
      <c r="B20" s="5">
        <v>97631.018453700002</v>
      </c>
      <c r="C20" s="7">
        <v>1002.8</v>
      </c>
      <c r="D20" s="7">
        <v>16.8</v>
      </c>
      <c r="E20" s="7">
        <v>1751</v>
      </c>
      <c r="F20" s="8">
        <v>0.42729868646487723</v>
      </c>
      <c r="G20" s="7">
        <v>943.7</v>
      </c>
      <c r="H20" s="8">
        <v>6.2625834481296924E-2</v>
      </c>
      <c r="I20" s="7">
        <v>1001.55</v>
      </c>
      <c r="J20" s="8">
        <v>1.2480654984773601E-3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24">
      <c r="A21" s="4" t="s">
        <v>30</v>
      </c>
      <c r="B21" s="5">
        <v>96383.937255199999</v>
      </c>
      <c r="C21" s="7">
        <v>544</v>
      </c>
      <c r="D21" s="7">
        <v>55.79</v>
      </c>
      <c r="E21" s="7">
        <v>610.75</v>
      </c>
      <c r="F21" s="8">
        <v>0.10929185427752763</v>
      </c>
      <c r="G21" s="7">
        <v>482.25</v>
      </c>
      <c r="H21" s="8">
        <v>0.12804561949196475</v>
      </c>
      <c r="I21" s="7">
        <v>544.95000000000005</v>
      </c>
      <c r="J21" s="8">
        <v>-1.7432791999266821E-3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24">
      <c r="A22" s="4" t="s">
        <v>31</v>
      </c>
      <c r="B22" s="5">
        <v>104442.9</v>
      </c>
      <c r="C22" s="7">
        <v>4328</v>
      </c>
      <c r="D22" s="7">
        <v>65.900000000000006</v>
      </c>
      <c r="E22" s="7">
        <v>4537</v>
      </c>
      <c r="F22" s="8">
        <v>4.6065682168834034E-2</v>
      </c>
      <c r="G22" s="7">
        <v>3050</v>
      </c>
      <c r="H22" s="8">
        <v>0.41901639344262293</v>
      </c>
      <c r="I22" s="7">
        <v>4299.25</v>
      </c>
      <c r="J22" s="8">
        <v>6.6872128859684831E-3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24">
      <c r="A23" s="4" t="s">
        <v>32</v>
      </c>
      <c r="B23" s="5">
        <v>86543.229623199994</v>
      </c>
      <c r="C23" s="7">
        <v>3164.9</v>
      </c>
      <c r="D23" s="7">
        <v>37.119999999999997</v>
      </c>
      <c r="E23" s="7">
        <v>3889.65</v>
      </c>
      <c r="F23" s="8">
        <v>0.18632781869834047</v>
      </c>
      <c r="G23" s="7">
        <v>2159.5500000000002</v>
      </c>
      <c r="H23" s="8">
        <v>0.46553680164849148</v>
      </c>
      <c r="I23" s="7">
        <v>3103.25</v>
      </c>
      <c r="J23" s="8">
        <v>1.9866269233867747E-2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24">
      <c r="A24" s="4" t="s">
        <v>33</v>
      </c>
      <c r="B24" s="5">
        <v>86182.29</v>
      </c>
      <c r="C24" s="7">
        <v>1068.8499999999999</v>
      </c>
      <c r="D24" s="7">
        <v>33.64</v>
      </c>
      <c r="E24" s="7">
        <v>1185.25</v>
      </c>
      <c r="F24" s="8">
        <v>9.8207129297616616E-2</v>
      </c>
      <c r="G24" s="7">
        <v>860</v>
      </c>
      <c r="H24" s="8">
        <v>0.24284883720930223</v>
      </c>
      <c r="I24" s="7">
        <v>1061.1500000000001</v>
      </c>
      <c r="J24" s="8">
        <v>7.2562785657068439E-3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24">
      <c r="A25" s="4" t="s">
        <v>34</v>
      </c>
      <c r="B25" s="5">
        <v>102995.3567038</v>
      </c>
      <c r="C25" s="7">
        <v>518.70000000000005</v>
      </c>
      <c r="D25" s="7">
        <v>57.36</v>
      </c>
      <c r="E25" s="7">
        <v>598.15</v>
      </c>
      <c r="F25" s="8">
        <v>0.13282621416032755</v>
      </c>
      <c r="G25" s="7">
        <v>274</v>
      </c>
      <c r="H25" s="8">
        <v>0.89306569343065711</v>
      </c>
      <c r="I25" s="7">
        <v>510.4</v>
      </c>
      <c r="J25" s="8">
        <v>1.626175548589355E-2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24">
      <c r="A26" s="4" t="s">
        <v>35</v>
      </c>
      <c r="B26" s="5">
        <v>74336.763066500003</v>
      </c>
      <c r="C26" s="7">
        <v>786.05</v>
      </c>
      <c r="D26" s="7">
        <v>35.28</v>
      </c>
      <c r="E26" s="7">
        <v>1028.6500000000001</v>
      </c>
      <c r="F26" s="8">
        <v>0.23584309531910769</v>
      </c>
      <c r="G26" s="7">
        <v>655.7</v>
      </c>
      <c r="H26" s="8">
        <v>0.1987951807228914</v>
      </c>
      <c r="I26" s="7">
        <v>780.25</v>
      </c>
      <c r="J26" s="8">
        <v>7.4335148990707523E-3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24">
      <c r="A27" s="4" t="s">
        <v>36</v>
      </c>
      <c r="B27" s="5">
        <v>126813.4</v>
      </c>
      <c r="C27" s="7">
        <v>4289.8</v>
      </c>
      <c r="D27" s="7">
        <v>34.729999999999997</v>
      </c>
      <c r="E27" s="7">
        <v>4293.25</v>
      </c>
      <c r="F27" s="8">
        <v>8.0358702614565143E-4</v>
      </c>
      <c r="G27" s="7">
        <v>4147.45</v>
      </c>
      <c r="H27" s="8">
        <v>3.4322294421873768E-2</v>
      </c>
      <c r="I27" s="7">
        <v>4279.2</v>
      </c>
      <c r="J27" s="8">
        <v>2.4770985230885127E-3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24">
      <c r="A28" s="4" t="s">
        <v>37</v>
      </c>
      <c r="B28" s="5">
        <v>73418.667839999995</v>
      </c>
      <c r="C28" s="7">
        <v>1167.55</v>
      </c>
      <c r="D28" s="7">
        <v>67.239999999999995</v>
      </c>
      <c r="E28" s="7">
        <v>1405.55</v>
      </c>
      <c r="F28" s="8">
        <v>0.16932873252463448</v>
      </c>
      <c r="G28" s="7">
        <v>1024.5</v>
      </c>
      <c r="H28" s="8">
        <v>0.1396290873596876</v>
      </c>
      <c r="I28" s="7">
        <v>1192.5999999999999</v>
      </c>
      <c r="J28" s="8">
        <v>-2.1004527922186784E-2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24">
      <c r="A29" s="4" t="s">
        <v>38</v>
      </c>
      <c r="B29" s="5">
        <v>42070.769219599999</v>
      </c>
      <c r="C29" s="7">
        <v>147.6</v>
      </c>
      <c r="D29" s="7">
        <v>918.2</v>
      </c>
      <c r="E29" s="7">
        <v>348</v>
      </c>
      <c r="F29" s="8">
        <v>0.57586206896551728</v>
      </c>
      <c r="G29" s="7">
        <v>139.35</v>
      </c>
      <c r="H29" s="8">
        <v>5.9203444564047365E-2</v>
      </c>
      <c r="I29" s="7">
        <v>149.75</v>
      </c>
      <c r="J29" s="8">
        <v>-1.4357262103505882E-2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48">
      <c r="A30" s="4" t="s">
        <v>39</v>
      </c>
      <c r="B30" s="5">
        <v>69898.962369700006</v>
      </c>
      <c r="C30" s="7">
        <v>752.8</v>
      </c>
      <c r="D30" s="7">
        <v>65.040000000000006</v>
      </c>
      <c r="E30" s="7">
        <v>861.15</v>
      </c>
      <c r="F30" s="8">
        <v>0.12582012425245315</v>
      </c>
      <c r="G30" s="7">
        <v>650.20000000000005</v>
      </c>
      <c r="H30" s="8">
        <v>0.15779760073823423</v>
      </c>
      <c r="I30" s="7">
        <v>754.25</v>
      </c>
      <c r="J30" s="8">
        <v>-1.9224395094465303E-3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24">
      <c r="A31" s="4" t="s">
        <v>40</v>
      </c>
      <c r="B31" s="5">
        <v>66015.776955299996</v>
      </c>
      <c r="C31" s="7">
        <v>206.55</v>
      </c>
      <c r="D31" s="7">
        <v>25.89</v>
      </c>
      <c r="E31" s="7">
        <v>298</v>
      </c>
      <c r="F31" s="8">
        <v>0.30687919463087243</v>
      </c>
      <c r="G31" s="7">
        <v>190</v>
      </c>
      <c r="H31" s="8">
        <v>8.7105263157894797E-2</v>
      </c>
      <c r="I31" s="7">
        <v>205.65</v>
      </c>
      <c r="J31" s="8">
        <v>4.3763676148796775E-3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24">
      <c r="A32" s="4" t="s">
        <v>41</v>
      </c>
      <c r="B32" s="5">
        <v>64133.35</v>
      </c>
      <c r="C32" s="7">
        <v>497.5</v>
      </c>
      <c r="D32" s="7">
        <v>52.21</v>
      </c>
      <c r="E32" s="7">
        <v>554.35</v>
      </c>
      <c r="F32" s="8">
        <v>0.10255253900965097</v>
      </c>
      <c r="G32" s="7">
        <v>455.65</v>
      </c>
      <c r="H32" s="8">
        <v>9.1846812246241694E-2</v>
      </c>
      <c r="I32" s="7">
        <v>501.6</v>
      </c>
      <c r="J32" s="8">
        <v>-8.1738437001595346E-3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24">
      <c r="A33" s="4" t="s">
        <v>42</v>
      </c>
      <c r="B33" s="5">
        <v>54643.261700399999</v>
      </c>
      <c r="C33" s="7">
        <v>564</v>
      </c>
      <c r="D33" s="7">
        <v>57.95</v>
      </c>
      <c r="E33" s="7">
        <v>793.05</v>
      </c>
      <c r="F33" s="8">
        <v>0.28882163797995081</v>
      </c>
      <c r="G33" s="7">
        <v>543.6</v>
      </c>
      <c r="H33" s="8">
        <v>3.7527593818984503E-2</v>
      </c>
      <c r="I33" s="7">
        <v>561.95000000000005</v>
      </c>
      <c r="J33" s="8">
        <v>3.6480113889135234E-3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24">
      <c r="A34" s="4" t="s">
        <v>43</v>
      </c>
      <c r="B34" s="5">
        <v>52280.081333900001</v>
      </c>
      <c r="C34" s="7">
        <v>77.150000000000006</v>
      </c>
      <c r="D34" s="7">
        <v>67.22</v>
      </c>
      <c r="E34" s="7">
        <v>165.03</v>
      </c>
      <c r="F34" s="8">
        <v>0.5325092407441071</v>
      </c>
      <c r="G34" s="7">
        <v>61.85</v>
      </c>
      <c r="H34" s="8">
        <v>0.24737267582861769</v>
      </c>
      <c r="I34" s="7">
        <v>78.150000000000006</v>
      </c>
      <c r="J34" s="8">
        <v>-1.2795905310300703E-2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24">
      <c r="A35" s="4" t="s">
        <v>44</v>
      </c>
      <c r="B35" s="5">
        <v>54522.74</v>
      </c>
      <c r="C35" s="7">
        <v>2732</v>
      </c>
      <c r="D35" s="7">
        <v>21.06</v>
      </c>
      <c r="E35" s="7">
        <v>2938.6</v>
      </c>
      <c r="F35" s="8">
        <v>7.0305587694820634E-2</v>
      </c>
      <c r="G35" s="7">
        <v>2146.85</v>
      </c>
      <c r="H35" s="8">
        <v>0.27256212590539636</v>
      </c>
      <c r="I35" s="7">
        <v>2694.25</v>
      </c>
      <c r="J35" s="8">
        <v>1.4011320404565278E-2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24">
      <c r="A36" s="4" t="s">
        <v>45</v>
      </c>
      <c r="B36" s="5">
        <v>44392.394999999997</v>
      </c>
      <c r="C36" s="7">
        <v>53.25</v>
      </c>
      <c r="D36" s="7" t="s">
        <v>16</v>
      </c>
      <c r="E36" s="7">
        <v>135.35</v>
      </c>
      <c r="F36" s="8">
        <v>0.60657554488363497</v>
      </c>
      <c r="G36" s="7">
        <v>40.549999999999997</v>
      </c>
      <c r="H36" s="8">
        <v>0.3131935881627621</v>
      </c>
      <c r="I36" s="7">
        <v>53.75</v>
      </c>
      <c r="J36" s="8">
        <v>-9.3023255813953487E-3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24">
      <c r="A37" s="4" t="s">
        <v>46</v>
      </c>
      <c r="B37" s="5">
        <v>48135.11</v>
      </c>
      <c r="C37" s="7">
        <v>3731.8</v>
      </c>
      <c r="D37" s="7">
        <v>8.76</v>
      </c>
      <c r="E37" s="7">
        <v>5790</v>
      </c>
      <c r="F37" s="8">
        <v>0.35547495682210706</v>
      </c>
      <c r="G37" s="7">
        <v>3314</v>
      </c>
      <c r="H37" s="8">
        <v>0.12607121303560656</v>
      </c>
      <c r="I37" s="7">
        <v>3719.3</v>
      </c>
      <c r="J37" s="8">
        <v>3.3608474712983625E-3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24">
      <c r="A38" s="4" t="s">
        <v>47</v>
      </c>
      <c r="B38" s="5">
        <v>38754.622388999996</v>
      </c>
      <c r="C38" s="7">
        <v>6223</v>
      </c>
      <c r="D38" s="7">
        <v>57.85</v>
      </c>
      <c r="E38" s="7">
        <v>10760</v>
      </c>
      <c r="F38" s="8">
        <v>0.42165427509293679</v>
      </c>
      <c r="G38" s="7">
        <v>5709.05</v>
      </c>
      <c r="H38" s="8">
        <v>9.0023734246503326E-2</v>
      </c>
      <c r="I38" s="7">
        <v>6196.65</v>
      </c>
      <c r="J38" s="8">
        <v>4.2522976124196726E-3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24">
      <c r="A39" s="4" t="s">
        <v>48</v>
      </c>
      <c r="B39" s="5">
        <v>53833.660580600001</v>
      </c>
      <c r="C39" s="7">
        <v>718.45</v>
      </c>
      <c r="D39" s="7">
        <v>13.58</v>
      </c>
      <c r="E39" s="7">
        <v>848</v>
      </c>
      <c r="F39" s="8">
        <v>0.15277122641509427</v>
      </c>
      <c r="G39" s="7">
        <v>607.79999999999995</v>
      </c>
      <c r="H39" s="8">
        <v>0.18205001645278068</v>
      </c>
      <c r="I39" s="7">
        <v>719.05</v>
      </c>
      <c r="J39" s="8">
        <v>-8.3443432306502894E-4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24">
      <c r="A40" s="4" t="s">
        <v>49</v>
      </c>
      <c r="B40" s="5">
        <v>51348.003855299998</v>
      </c>
      <c r="C40" s="7">
        <v>641</v>
      </c>
      <c r="D40" s="7">
        <v>57.32</v>
      </c>
      <c r="E40" s="7">
        <v>918.65</v>
      </c>
      <c r="F40" s="8">
        <v>0.30223697817449519</v>
      </c>
      <c r="G40" s="7">
        <v>557</v>
      </c>
      <c r="H40" s="8">
        <v>0.15080789946140036</v>
      </c>
      <c r="I40" s="7">
        <v>640.65</v>
      </c>
      <c r="J40" s="8">
        <v>5.4632014360418756E-4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24">
      <c r="A41" s="4" t="s">
        <v>50</v>
      </c>
      <c r="B41" s="5">
        <v>38329.828600000001</v>
      </c>
      <c r="C41" s="7">
        <v>237.75</v>
      </c>
      <c r="D41" s="7">
        <v>9.94</v>
      </c>
      <c r="E41" s="7">
        <v>349.55</v>
      </c>
      <c r="F41" s="8">
        <v>0.31983979402088403</v>
      </c>
      <c r="G41" s="7">
        <v>209.55</v>
      </c>
      <c r="H41" s="8">
        <v>0.13457408732999279</v>
      </c>
      <c r="I41" s="7">
        <v>239.25</v>
      </c>
      <c r="J41" s="8">
        <v>-6.269592476489028E-3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24">
      <c r="A42" s="4" t="s">
        <v>51</v>
      </c>
      <c r="B42" s="5">
        <v>44894.62</v>
      </c>
      <c r="C42" s="7">
        <v>40260</v>
      </c>
      <c r="D42" s="7">
        <v>61.16</v>
      </c>
      <c r="E42" s="7">
        <v>54349.1</v>
      </c>
      <c r="F42" s="8">
        <v>0.25923336356995791</v>
      </c>
      <c r="G42" s="7">
        <v>37825</v>
      </c>
      <c r="H42" s="8">
        <v>6.4375413086582942E-2</v>
      </c>
      <c r="I42" s="7">
        <v>40639.050000000003</v>
      </c>
      <c r="J42" s="8">
        <v>-9.327235749851507E-3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24">
      <c r="A43" s="4" t="s">
        <v>52</v>
      </c>
      <c r="B43" s="5">
        <v>45155.216249999998</v>
      </c>
      <c r="C43" s="7">
        <v>13875</v>
      </c>
      <c r="D43" s="7"/>
      <c r="E43" s="7">
        <v>16466.400000000001</v>
      </c>
      <c r="F43" s="8">
        <v>0.15737501821891861</v>
      </c>
      <c r="G43" s="7">
        <v>12751</v>
      </c>
      <c r="H43" s="8">
        <v>8.8149949023605997E-2</v>
      </c>
      <c r="I43" s="7">
        <v>13925.15</v>
      </c>
      <c r="J43" s="8">
        <v>-3.6013974714814304E-3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24">
      <c r="A44" s="4" t="s">
        <v>53</v>
      </c>
      <c r="B44" s="5">
        <v>38348.867277899997</v>
      </c>
      <c r="C44" s="7">
        <v>2035.55</v>
      </c>
      <c r="D44" s="7">
        <v>24.59</v>
      </c>
      <c r="E44" s="7">
        <v>3466.4</v>
      </c>
      <c r="F44" s="8">
        <v>0.41277694438033696</v>
      </c>
      <c r="G44" s="7">
        <v>1897.35</v>
      </c>
      <c r="H44" s="8">
        <v>7.2838432550662788E-2</v>
      </c>
      <c r="I44" s="7">
        <v>2013.55</v>
      </c>
      <c r="J44" s="8">
        <v>1.0925976509150505E-2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24">
      <c r="A45" s="4" t="s">
        <v>54</v>
      </c>
      <c r="B45" s="5">
        <v>36419.923268999999</v>
      </c>
      <c r="C45" s="7">
        <v>559.9</v>
      </c>
      <c r="D45" s="7" t="s">
        <v>16</v>
      </c>
      <c r="E45" s="7">
        <v>1147.4000000000001</v>
      </c>
      <c r="F45" s="8">
        <v>0.51202719191214929</v>
      </c>
      <c r="G45" s="7">
        <v>439.6</v>
      </c>
      <c r="H45" s="8">
        <v>0.27365787079162862</v>
      </c>
      <c r="I45" s="7">
        <v>542.25</v>
      </c>
      <c r="J45" s="8">
        <v>3.2549562010142884E-2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24">
      <c r="A46" s="4" t="s">
        <v>55</v>
      </c>
      <c r="B46" s="5">
        <v>43195.870417700004</v>
      </c>
      <c r="C46" s="7">
        <v>2229</v>
      </c>
      <c r="D46" s="7">
        <v>30.72</v>
      </c>
      <c r="E46" s="7">
        <v>2537.4499999999998</v>
      </c>
      <c r="F46" s="8">
        <v>0.12155904549843341</v>
      </c>
      <c r="G46" s="7">
        <v>1690.55</v>
      </c>
      <c r="H46" s="8">
        <v>0.31850581171807996</v>
      </c>
      <c r="I46" s="7">
        <v>2214.25</v>
      </c>
      <c r="J46" s="8">
        <v>6.6613977644800725E-3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24">
      <c r="A47" s="4" t="s">
        <v>56</v>
      </c>
      <c r="B47" s="5">
        <v>43190.429962000002</v>
      </c>
      <c r="C47" s="7">
        <v>146.94999999999999</v>
      </c>
      <c r="D47" s="7">
        <v>227.06</v>
      </c>
      <c r="E47" s="7">
        <v>169.45</v>
      </c>
      <c r="F47" s="8">
        <v>0.13278253172027146</v>
      </c>
      <c r="G47" s="7">
        <v>93.2</v>
      </c>
      <c r="H47" s="8">
        <v>0.57671673819742475</v>
      </c>
      <c r="I47" s="7">
        <v>146.80000000000001</v>
      </c>
      <c r="J47" s="8">
        <v>1.0217983651224609E-3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24">
      <c r="A48" s="4" t="s">
        <v>57</v>
      </c>
      <c r="B48" s="5">
        <v>42774.199159999996</v>
      </c>
      <c r="C48" s="7">
        <v>1065.5</v>
      </c>
      <c r="D48" s="7">
        <v>11.41</v>
      </c>
      <c r="E48" s="7">
        <v>1526.4</v>
      </c>
      <c r="F48" s="8">
        <v>0.30195230607966461</v>
      </c>
      <c r="G48" s="7">
        <v>950.2</v>
      </c>
      <c r="H48" s="8">
        <v>0.12134287518417169</v>
      </c>
      <c r="I48" s="7">
        <v>1063.3</v>
      </c>
      <c r="J48" s="8">
        <v>2.0690303771278523E-3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24">
      <c r="A49" s="4" t="s">
        <v>58</v>
      </c>
      <c r="B49" s="5">
        <v>42833.63</v>
      </c>
      <c r="C49" s="7">
        <v>1625</v>
      </c>
      <c r="D49" s="7">
        <v>78.069999999999993</v>
      </c>
      <c r="E49" s="7">
        <v>1806.45</v>
      </c>
      <c r="F49" s="8">
        <v>0.10044562539787984</v>
      </c>
      <c r="G49" s="7">
        <v>1274.5</v>
      </c>
      <c r="H49" s="8">
        <v>0.27500980776775208</v>
      </c>
      <c r="I49" s="7">
        <v>1644.15</v>
      </c>
      <c r="J49" s="8">
        <v>-1.1647355776541125E-2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24">
      <c r="A50" s="4" t="s">
        <v>59</v>
      </c>
      <c r="B50" s="5">
        <v>45934.43</v>
      </c>
      <c r="C50" s="7">
        <v>2148</v>
      </c>
      <c r="D50" s="7">
        <v>33.200000000000003</v>
      </c>
      <c r="E50" s="7">
        <v>2507.35</v>
      </c>
      <c r="F50" s="8">
        <v>0.14331864318902424</v>
      </c>
      <c r="G50" s="7">
        <v>1690</v>
      </c>
      <c r="H50" s="8">
        <v>0.2710059171597633</v>
      </c>
      <c r="I50" s="7">
        <v>2150.75</v>
      </c>
      <c r="J50" s="8">
        <v>-1.2786237359060793E-3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24">
      <c r="A51" s="4" t="s">
        <v>60</v>
      </c>
      <c r="B51" s="5">
        <v>49475.634740000001</v>
      </c>
      <c r="C51" s="7">
        <v>3262</v>
      </c>
      <c r="D51" s="7">
        <v>48.33</v>
      </c>
      <c r="E51" s="7">
        <v>3698.45</v>
      </c>
      <c r="F51" s="8">
        <v>0.11800889561843471</v>
      </c>
      <c r="G51" s="7">
        <v>2333.5500000000002</v>
      </c>
      <c r="H51" s="8">
        <v>0.39787019776735005</v>
      </c>
      <c r="I51" s="7">
        <v>3292.65</v>
      </c>
      <c r="J51" s="8">
        <v>-9.308611604634592E-3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24">
      <c r="A52" s="4" t="s">
        <v>61</v>
      </c>
      <c r="B52" s="5">
        <v>47610.86</v>
      </c>
      <c r="C52" s="7">
        <v>999.5</v>
      </c>
      <c r="D52" s="7">
        <v>39.03</v>
      </c>
      <c r="E52" s="7">
        <v>1177</v>
      </c>
      <c r="F52" s="8">
        <v>0.15080713678844521</v>
      </c>
      <c r="G52" s="7">
        <v>513</v>
      </c>
      <c r="H52" s="8">
        <v>0.94834307992202727</v>
      </c>
      <c r="I52" s="7">
        <v>1005.2</v>
      </c>
      <c r="J52" s="8">
        <v>-5.6705133306805067E-3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24">
      <c r="A53" s="4" t="s">
        <v>62</v>
      </c>
      <c r="B53" s="5">
        <v>42896.593967499997</v>
      </c>
      <c r="C53" s="7">
        <v>1205.75</v>
      </c>
      <c r="D53" s="7">
        <v>117.93</v>
      </c>
      <c r="E53" s="7">
        <v>1571</v>
      </c>
      <c r="F53" s="8">
        <v>0.23249522597071928</v>
      </c>
      <c r="G53" s="7">
        <v>983.7</v>
      </c>
      <c r="H53" s="8">
        <v>0.22572938904137435</v>
      </c>
      <c r="I53" s="7">
        <v>1208.55</v>
      </c>
      <c r="J53" s="8">
        <v>-2.3168259484505852E-3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24">
      <c r="A54" s="4" t="s">
        <v>63</v>
      </c>
      <c r="B54" s="5">
        <v>24962.916217499998</v>
      </c>
      <c r="C54" s="7">
        <v>426</v>
      </c>
      <c r="D54" s="7">
        <v>69.239999999999995</v>
      </c>
      <c r="E54" s="7">
        <v>795</v>
      </c>
      <c r="F54" s="8">
        <v>0.46415094339622642</v>
      </c>
      <c r="G54" s="7">
        <v>397.35</v>
      </c>
      <c r="H54" s="8">
        <v>7.210268025670058E-2</v>
      </c>
      <c r="I54" s="7">
        <v>428.65</v>
      </c>
      <c r="J54" s="8">
        <v>-6.1821999300127779E-3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24">
      <c r="A55" s="4" t="s">
        <v>64</v>
      </c>
      <c r="B55" s="5">
        <v>41248.67</v>
      </c>
      <c r="C55" s="7">
        <v>2046.5</v>
      </c>
      <c r="D55" s="7">
        <v>96.08</v>
      </c>
      <c r="E55" s="7">
        <v>2654.8</v>
      </c>
      <c r="F55" s="8">
        <v>0.22913213801416307</v>
      </c>
      <c r="G55" s="7">
        <v>1581.55</v>
      </c>
      <c r="H55" s="8">
        <v>0.2939837501185546</v>
      </c>
      <c r="I55" s="7">
        <v>2063.75</v>
      </c>
      <c r="J55" s="8">
        <v>-8.3585705632949724E-3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24">
      <c r="A56" s="4" t="s">
        <v>65</v>
      </c>
      <c r="B56" s="5">
        <v>39945.402229899999</v>
      </c>
      <c r="C56" s="7">
        <v>2662</v>
      </c>
      <c r="D56" s="7">
        <v>35.5</v>
      </c>
      <c r="E56" s="7">
        <v>3025</v>
      </c>
      <c r="F56" s="8">
        <v>0.12</v>
      </c>
      <c r="G56" s="7">
        <v>2043.85</v>
      </c>
      <c r="H56" s="8">
        <v>0.30244391711720531</v>
      </c>
      <c r="I56" s="7">
        <v>2677.05</v>
      </c>
      <c r="J56" s="8">
        <v>-5.621859883080324E-3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24">
      <c r="A57" s="4" t="s">
        <v>66</v>
      </c>
      <c r="B57" s="5">
        <v>25505.685924699999</v>
      </c>
      <c r="C57" s="7">
        <v>435.3</v>
      </c>
      <c r="D57" s="7">
        <v>12.08</v>
      </c>
      <c r="E57" s="7">
        <v>727.95</v>
      </c>
      <c r="F57" s="8">
        <v>0.40201936946218836</v>
      </c>
      <c r="G57" s="7">
        <v>429.2</v>
      </c>
      <c r="H57" s="8">
        <v>1.4212488350419439E-2</v>
      </c>
      <c r="I57" s="7">
        <v>446.35</v>
      </c>
      <c r="J57" s="8">
        <v>-2.4756357118852941E-2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24">
      <c r="A58" s="4" t="s">
        <v>67</v>
      </c>
      <c r="B58" s="5">
        <v>35109.687833000004</v>
      </c>
      <c r="C58" s="7">
        <v>39710</v>
      </c>
      <c r="D58" s="7">
        <v>91.84</v>
      </c>
      <c r="E58" s="7">
        <v>46397.7</v>
      </c>
      <c r="F58" s="8">
        <v>0.14413861031904593</v>
      </c>
      <c r="G58" s="7">
        <v>30185.35</v>
      </c>
      <c r="H58" s="8">
        <v>0.31553882926651511</v>
      </c>
      <c r="I58" s="7">
        <v>39677.1</v>
      </c>
      <c r="J58" s="8">
        <v>8.2919366586775383E-4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24">
      <c r="A59" s="4" t="s">
        <v>68</v>
      </c>
      <c r="B59" s="5">
        <v>38048.54</v>
      </c>
      <c r="C59" s="7">
        <v>89700</v>
      </c>
      <c r="D59" s="7">
        <v>66.97</v>
      </c>
      <c r="E59" s="7">
        <v>95954.35</v>
      </c>
      <c r="F59" s="8">
        <v>6.5180473839904135E-2</v>
      </c>
      <c r="G59" s="7">
        <v>62944.5</v>
      </c>
      <c r="H59" s="8">
        <v>0.42506493815980745</v>
      </c>
      <c r="I59" s="7">
        <v>89498.35</v>
      </c>
      <c r="J59" s="8">
        <v>2.2531141635571401E-3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48">
      <c r="A60" s="4" t="s">
        <v>69</v>
      </c>
      <c r="B60" s="5">
        <v>30664.627499999999</v>
      </c>
      <c r="C60" s="7">
        <v>2793.5</v>
      </c>
      <c r="D60" s="7">
        <v>28.23</v>
      </c>
      <c r="E60" s="7">
        <v>4172.95</v>
      </c>
      <c r="F60" s="8">
        <v>0.33056950119220213</v>
      </c>
      <c r="G60" s="7">
        <v>2105.15</v>
      </c>
      <c r="H60" s="8">
        <v>0.32698382538061416</v>
      </c>
      <c r="I60" s="7">
        <v>2841.6</v>
      </c>
      <c r="J60" s="8">
        <v>-1.6927083333333301E-2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24">
      <c r="A61" s="4" t="s">
        <v>70</v>
      </c>
      <c r="B61" s="5">
        <v>31008.532894799999</v>
      </c>
      <c r="C61" s="7">
        <v>450.2</v>
      </c>
      <c r="D61" s="7">
        <v>22.9</v>
      </c>
      <c r="E61" s="7">
        <v>721.8</v>
      </c>
      <c r="F61" s="8">
        <v>0.37628151842615681</v>
      </c>
      <c r="G61" s="7">
        <v>403.55</v>
      </c>
      <c r="H61" s="8">
        <v>0.11559905835708084</v>
      </c>
      <c r="I61" s="7">
        <v>466.8</v>
      </c>
      <c r="J61" s="8">
        <v>-3.5561268209083167E-2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24">
      <c r="A62" s="4" t="s">
        <v>71</v>
      </c>
      <c r="B62" s="5">
        <v>27569.412263900002</v>
      </c>
      <c r="C62" s="7">
        <v>799.4</v>
      </c>
      <c r="D62" s="7">
        <v>88.04</v>
      </c>
      <c r="E62" s="7">
        <v>1065</v>
      </c>
      <c r="F62" s="8">
        <v>0.24938967136150236</v>
      </c>
      <c r="G62" s="7">
        <v>627.79999999999995</v>
      </c>
      <c r="H62" s="8">
        <v>0.27333545715195928</v>
      </c>
      <c r="I62" s="7">
        <v>796.25</v>
      </c>
      <c r="J62" s="8">
        <v>3.9560439560439274E-3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48">
      <c r="A63" s="4" t="s">
        <v>72</v>
      </c>
      <c r="B63" s="5">
        <v>25664.11</v>
      </c>
      <c r="C63" s="7">
        <v>872</v>
      </c>
      <c r="D63" s="7">
        <v>13.43</v>
      </c>
      <c r="E63" s="7">
        <v>1094</v>
      </c>
      <c r="F63" s="8">
        <v>0.20292504570383912</v>
      </c>
      <c r="G63" s="7">
        <v>729.55</v>
      </c>
      <c r="H63" s="8">
        <v>0.19525735042149278</v>
      </c>
      <c r="I63" s="7">
        <v>881.85</v>
      </c>
      <c r="J63" s="8">
        <v>-1.116970006236891E-2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24">
      <c r="A64" s="4" t="s">
        <v>73</v>
      </c>
      <c r="B64" s="5">
        <v>20673.263394400001</v>
      </c>
      <c r="C64" s="7"/>
      <c r="D64" s="7" t="s">
        <v>16</v>
      </c>
      <c r="E64" s="7">
        <v>1052.05</v>
      </c>
      <c r="F64" s="8" t="e">
        <v>#REF!</v>
      </c>
      <c r="G64" s="7">
        <v>356.2</v>
      </c>
      <c r="H64" s="8" t="e">
        <v>#REF!</v>
      </c>
      <c r="I64" s="7">
        <v>465.85</v>
      </c>
      <c r="J64" s="8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24">
      <c r="A65" s="4" t="s">
        <v>74</v>
      </c>
      <c r="B65" s="5">
        <v>29162.03</v>
      </c>
      <c r="C65" s="7">
        <v>416.85</v>
      </c>
      <c r="D65" s="7">
        <v>17.03</v>
      </c>
      <c r="E65" s="7">
        <v>466.65</v>
      </c>
      <c r="F65" s="8">
        <v>0.10671809707489543</v>
      </c>
      <c r="G65" s="7">
        <v>322.10000000000002</v>
      </c>
      <c r="H65" s="8">
        <v>0.29416330332194968</v>
      </c>
      <c r="I65" s="7">
        <v>418.6</v>
      </c>
      <c r="J65" s="8">
        <v>-4.180602006688963E-3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24">
      <c r="A66" s="4" t="s">
        <v>75</v>
      </c>
      <c r="B66" s="5">
        <v>19213.870294600001</v>
      </c>
      <c r="C66" s="7">
        <v>357.4</v>
      </c>
      <c r="D66" s="7">
        <v>22.19</v>
      </c>
      <c r="E66" s="7">
        <v>626.29999999999995</v>
      </c>
      <c r="F66" s="8">
        <v>0.42934695832668052</v>
      </c>
      <c r="G66" s="7">
        <v>354</v>
      </c>
      <c r="H66" s="8">
        <v>9.6045197740112359E-3</v>
      </c>
      <c r="I66" s="7">
        <v>360.4</v>
      </c>
      <c r="J66" s="8">
        <v>-8.3240843507214213E-3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ht="24">
      <c r="A67" s="4" t="s">
        <v>76</v>
      </c>
      <c r="B67" s="5">
        <v>26525.721744999999</v>
      </c>
      <c r="C67" s="7">
        <v>1944.05</v>
      </c>
      <c r="D67" s="7">
        <v>28.86</v>
      </c>
      <c r="E67" s="7">
        <v>2690.05</v>
      </c>
      <c r="F67" s="8">
        <v>0.27731826545974986</v>
      </c>
      <c r="G67" s="7">
        <v>1681.15</v>
      </c>
      <c r="H67" s="8">
        <v>0.15638104868691066</v>
      </c>
      <c r="I67" s="7">
        <v>1941.8</v>
      </c>
      <c r="J67" s="8">
        <v>1.1587187145947059E-3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24">
      <c r="A68" s="4" t="s">
        <v>77</v>
      </c>
      <c r="B68" s="5">
        <v>22202.959999999999</v>
      </c>
      <c r="C68" s="7">
        <v>892.35</v>
      </c>
      <c r="D68" s="7">
        <v>114.44</v>
      </c>
      <c r="E68" s="7">
        <v>1369.7</v>
      </c>
      <c r="F68" s="8">
        <v>0.34850697232970723</v>
      </c>
      <c r="G68" s="7">
        <v>872</v>
      </c>
      <c r="H68" s="8">
        <v>2.333715596330278E-2</v>
      </c>
      <c r="I68" s="7">
        <v>898.2</v>
      </c>
      <c r="J68" s="8">
        <v>-6.5130260521042331E-3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24">
      <c r="A69" s="4" t="s">
        <v>78</v>
      </c>
      <c r="B69" s="5">
        <v>30617.09</v>
      </c>
      <c r="C69" s="7">
        <v>4009</v>
      </c>
      <c r="D69" s="7">
        <v>37.590000000000003</v>
      </c>
      <c r="E69" s="7">
        <v>4954</v>
      </c>
      <c r="F69" s="8">
        <v>0.19075494549858701</v>
      </c>
      <c r="G69" s="7">
        <v>3092.05</v>
      </c>
      <c r="H69" s="8">
        <v>0.29655083197231602</v>
      </c>
      <c r="I69" s="7">
        <v>3978.2</v>
      </c>
      <c r="J69" s="8">
        <v>7.7421949625459214E-3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24">
      <c r="A70" s="4" t="s">
        <v>79</v>
      </c>
      <c r="B70" s="5">
        <v>25229.93</v>
      </c>
      <c r="C70" s="7">
        <v>22300</v>
      </c>
      <c r="D70" s="7">
        <v>68.239999999999995</v>
      </c>
      <c r="E70" s="7">
        <v>26943</v>
      </c>
      <c r="F70" s="8">
        <v>0.17232676390899307</v>
      </c>
      <c r="G70" s="7">
        <v>17273</v>
      </c>
      <c r="H70" s="8">
        <v>0.2910322468592601</v>
      </c>
      <c r="I70" s="7">
        <v>22335.4</v>
      </c>
      <c r="J70" s="8">
        <v>-1.5849279618901588E-3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24">
      <c r="A71" s="4" t="s">
        <v>80</v>
      </c>
      <c r="B71" s="5">
        <v>22090.03</v>
      </c>
      <c r="C71" s="7">
        <v>872.85</v>
      </c>
      <c r="D71" s="7">
        <v>42.96</v>
      </c>
      <c r="E71" s="7">
        <v>1095</v>
      </c>
      <c r="F71" s="8">
        <v>0.20287671232876711</v>
      </c>
      <c r="G71" s="7">
        <v>830</v>
      </c>
      <c r="H71" s="8">
        <v>5.1626506024096415E-2</v>
      </c>
      <c r="I71" s="7">
        <v>868.6</v>
      </c>
      <c r="J71" s="8">
        <v>4.8929311535804744E-3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ht="24">
      <c r="A72" s="4" t="s">
        <v>81</v>
      </c>
      <c r="B72" s="5">
        <v>20286.8999472</v>
      </c>
      <c r="C72" s="7">
        <v>1580</v>
      </c>
      <c r="D72" s="7">
        <v>65.53</v>
      </c>
      <c r="E72" s="7">
        <v>2122</v>
      </c>
      <c r="F72" s="8">
        <v>0.25541941564561732</v>
      </c>
      <c r="G72" s="7">
        <v>1551.1</v>
      </c>
      <c r="H72" s="8">
        <v>1.8631938624202239E-2</v>
      </c>
      <c r="I72" s="7">
        <v>1636.6</v>
      </c>
      <c r="J72" s="8">
        <v>-3.4583893437614512E-2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24">
      <c r="A73" s="4" t="s">
        <v>82</v>
      </c>
      <c r="B73" s="5">
        <v>23631.8479052</v>
      </c>
      <c r="C73" s="7">
        <v>3868.05</v>
      </c>
      <c r="D73" s="7">
        <v>32.39</v>
      </c>
      <c r="E73" s="7">
        <v>5862.1</v>
      </c>
      <c r="F73" s="8">
        <v>0.34015966974292489</v>
      </c>
      <c r="G73" s="7">
        <v>3210</v>
      </c>
      <c r="H73" s="8">
        <v>0.20500000000000004</v>
      </c>
      <c r="I73" s="7">
        <v>3902.65</v>
      </c>
      <c r="J73" s="8">
        <v>-8.8657706942718174E-3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24">
      <c r="A74" s="4" t="s">
        <v>83</v>
      </c>
      <c r="B74" s="5">
        <v>31477.05</v>
      </c>
      <c r="C74" s="7">
        <v>1136</v>
      </c>
      <c r="D74" s="7">
        <v>54.9</v>
      </c>
      <c r="E74" s="7">
        <v>1193.8499999999999</v>
      </c>
      <c r="F74" s="8">
        <v>4.8456673786489018E-2</v>
      </c>
      <c r="G74" s="7">
        <v>771</v>
      </c>
      <c r="H74" s="8">
        <v>0.47341115434500647</v>
      </c>
      <c r="I74" s="7">
        <v>1127.95</v>
      </c>
      <c r="J74" s="8">
        <v>7.1368411720377266E-3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ht="24">
      <c r="A75" s="4" t="s">
        <v>84</v>
      </c>
      <c r="B75" s="5">
        <v>21451.604477600002</v>
      </c>
      <c r="C75" s="7">
        <v>337.35</v>
      </c>
      <c r="D75" s="7">
        <v>36.770000000000003</v>
      </c>
      <c r="E75" s="7">
        <v>451.95</v>
      </c>
      <c r="F75" s="8">
        <v>0.25356787255227342</v>
      </c>
      <c r="G75" s="7">
        <v>312</v>
      </c>
      <c r="H75" s="8">
        <v>8.1250000000000072E-2</v>
      </c>
      <c r="I75" s="7">
        <v>338</v>
      </c>
      <c r="J75" s="8">
        <v>-1.9230769230768557E-3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24">
      <c r="A76" s="4" t="s">
        <v>85</v>
      </c>
      <c r="B76" s="5">
        <v>31369.919999999998</v>
      </c>
      <c r="C76" s="7">
        <v>2461</v>
      </c>
      <c r="D76" s="7">
        <v>36.119999999999997</v>
      </c>
      <c r="E76" s="7">
        <v>2607.65</v>
      </c>
      <c r="F76" s="8">
        <v>5.623837554886587E-2</v>
      </c>
      <c r="G76" s="7">
        <v>1666.25</v>
      </c>
      <c r="H76" s="8">
        <v>0.47696924231057763</v>
      </c>
      <c r="I76" s="7">
        <v>2452.6999999999998</v>
      </c>
      <c r="J76" s="8">
        <v>3.3840257675215812E-3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ht="24">
      <c r="A77" s="4" t="s">
        <v>86</v>
      </c>
      <c r="B77" s="5">
        <v>21050.022291099998</v>
      </c>
      <c r="C77" s="7">
        <v>4669.05</v>
      </c>
      <c r="D77" s="7">
        <v>29.86</v>
      </c>
      <c r="E77" s="7">
        <v>5667.75</v>
      </c>
      <c r="F77" s="8">
        <v>0.17620748974460762</v>
      </c>
      <c r="G77" s="7">
        <v>4218.05</v>
      </c>
      <c r="H77" s="8">
        <v>0.10692144474342409</v>
      </c>
      <c r="I77" s="7">
        <v>4647.55</v>
      </c>
      <c r="J77" s="8">
        <v>4.6260933179847448E-3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ht="48">
      <c r="A78" s="4" t="s">
        <v>87</v>
      </c>
      <c r="B78" s="5">
        <v>24637.83</v>
      </c>
      <c r="C78" s="7">
        <v>493.2</v>
      </c>
      <c r="D78" s="7">
        <v>48.9</v>
      </c>
      <c r="E78" s="7">
        <v>540.79999999999995</v>
      </c>
      <c r="F78" s="8">
        <v>8.8017751479289891E-2</v>
      </c>
      <c r="G78" s="7">
        <v>351.5</v>
      </c>
      <c r="H78" s="8">
        <v>0.40312944523470834</v>
      </c>
      <c r="I78" s="7">
        <v>487.95</v>
      </c>
      <c r="J78" s="8">
        <v>1.0759299108515218E-2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24">
      <c r="A79" s="4" t="s">
        <v>88</v>
      </c>
      <c r="B79" s="5">
        <v>21650.114525000001</v>
      </c>
      <c r="C79" s="7">
        <v>3635</v>
      </c>
      <c r="D79" s="7">
        <v>93.72</v>
      </c>
      <c r="E79" s="7">
        <v>5444.1</v>
      </c>
      <c r="F79" s="8">
        <v>0.33230469682775854</v>
      </c>
      <c r="G79" s="7">
        <v>3180.55</v>
      </c>
      <c r="H79" s="8">
        <v>0.14288409237396041</v>
      </c>
      <c r="I79" s="7">
        <v>3651.05</v>
      </c>
      <c r="J79" s="8">
        <v>-4.3959956724778301E-3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24">
      <c r="A80" s="4" t="s">
        <v>89</v>
      </c>
      <c r="B80" s="5">
        <v>24851.46731</v>
      </c>
      <c r="C80" s="7">
        <v>975.8</v>
      </c>
      <c r="D80" s="7">
        <v>12.65</v>
      </c>
      <c r="E80" s="7">
        <v>1214.6500000000001</v>
      </c>
      <c r="F80" s="8">
        <v>0.1966410076976908</v>
      </c>
      <c r="G80" s="7">
        <v>773.9</v>
      </c>
      <c r="H80" s="8">
        <v>0.2608864194340354</v>
      </c>
      <c r="I80" s="7">
        <v>972.55</v>
      </c>
      <c r="J80" s="8">
        <v>3.3417305022878001E-3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24">
      <c r="A81" s="4" t="s">
        <v>90</v>
      </c>
      <c r="B81" s="5">
        <v>20604.2</v>
      </c>
      <c r="C81" s="7">
        <v>2000</v>
      </c>
      <c r="D81" s="7">
        <v>51.19</v>
      </c>
      <c r="E81" s="7">
        <v>2377</v>
      </c>
      <c r="F81" s="8">
        <v>0.15860328144720234</v>
      </c>
      <c r="G81" s="7">
        <v>1674.2</v>
      </c>
      <c r="H81" s="8">
        <v>0.19460040616413807</v>
      </c>
      <c r="I81" s="7">
        <v>2014.85</v>
      </c>
      <c r="J81" s="8">
        <v>-7.3702757029058784E-3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ht="24">
      <c r="A82" s="4" t="s">
        <v>91</v>
      </c>
      <c r="B82" s="5">
        <v>18318.373366600001</v>
      </c>
      <c r="C82" s="7">
        <v>1441.55</v>
      </c>
      <c r="D82" s="7">
        <v>70.52</v>
      </c>
      <c r="E82" s="7">
        <v>1917</v>
      </c>
      <c r="F82" s="8">
        <v>0.24801773604590507</v>
      </c>
      <c r="G82" s="7">
        <v>1365.1</v>
      </c>
      <c r="H82" s="8">
        <v>5.6003223207091092E-2</v>
      </c>
      <c r="I82" s="7">
        <v>1480.7</v>
      </c>
      <c r="J82" s="8">
        <v>-2.6440197204025184E-2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ht="24">
      <c r="A83" s="4" t="s">
        <v>92</v>
      </c>
      <c r="B83" s="5">
        <v>37544.886315800002</v>
      </c>
      <c r="C83" s="7">
        <v>60.2</v>
      </c>
      <c r="D83" s="7"/>
      <c r="E83" s="7">
        <v>64.3</v>
      </c>
      <c r="F83" s="8">
        <v>6.3763608087091667E-2</v>
      </c>
      <c r="G83" s="7" t="s">
        <v>93</v>
      </c>
      <c r="H83" s="8" t="e">
        <v>#VALUE!</v>
      </c>
      <c r="I83" s="7">
        <v>59.6</v>
      </c>
      <c r="J83" s="8">
        <v>1.0067114093959755E-2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ht="48">
      <c r="A84" s="4" t="s">
        <v>94</v>
      </c>
      <c r="B84" s="5">
        <v>19679.439999999999</v>
      </c>
      <c r="C84" s="7">
        <v>1398.5</v>
      </c>
      <c r="D84" s="7">
        <v>42.23</v>
      </c>
      <c r="E84" s="7">
        <v>1736.15</v>
      </c>
      <c r="F84" s="8">
        <v>0.19448204360222335</v>
      </c>
      <c r="G84" s="7">
        <v>1047.2</v>
      </c>
      <c r="H84" s="8">
        <v>0.33546600458365161</v>
      </c>
      <c r="I84" s="7">
        <v>1401.15</v>
      </c>
      <c r="J84" s="8">
        <v>-1.891303572065868E-3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24">
      <c r="A85" s="4" t="s">
        <v>95</v>
      </c>
      <c r="B85" s="5">
        <v>19278.55</v>
      </c>
      <c r="C85" s="7">
        <v>4224.8999999999996</v>
      </c>
      <c r="D85" s="7">
        <v>31.52</v>
      </c>
      <c r="E85" s="7">
        <v>4946.1000000000004</v>
      </c>
      <c r="F85" s="8">
        <v>0.14581185176199443</v>
      </c>
      <c r="G85" s="7">
        <v>4056</v>
      </c>
      <c r="H85" s="8">
        <v>4.164201183431944E-2</v>
      </c>
      <c r="I85" s="7">
        <v>4254</v>
      </c>
      <c r="J85" s="8">
        <v>-6.8406205923837241E-3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24">
      <c r="A86" s="4" t="s">
        <v>96</v>
      </c>
      <c r="B86" s="5">
        <v>16896.242249999999</v>
      </c>
      <c r="C86" s="7">
        <v>33.75</v>
      </c>
      <c r="D86" s="7">
        <v>30.44</v>
      </c>
      <c r="E86" s="7">
        <v>70.900000000000006</v>
      </c>
      <c r="F86" s="8">
        <v>0.52397743300423139</v>
      </c>
      <c r="G86" s="7">
        <v>30.45</v>
      </c>
      <c r="H86" s="8">
        <v>0.10837438423645322</v>
      </c>
      <c r="I86" s="7">
        <v>33.65</v>
      </c>
      <c r="J86" s="8">
        <v>2.9717682020802801E-3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ht="24">
      <c r="A87" s="4" t="s">
        <v>97</v>
      </c>
      <c r="B87" s="5">
        <v>20217.231452</v>
      </c>
      <c r="C87" s="7">
        <v>4080.6</v>
      </c>
      <c r="D87" s="7">
        <v>73.239999999999995</v>
      </c>
      <c r="E87" s="7">
        <v>4847.3500000000004</v>
      </c>
      <c r="F87" s="8">
        <v>0.15817921132165005</v>
      </c>
      <c r="G87" s="7">
        <v>3361.45</v>
      </c>
      <c r="H87" s="8">
        <v>0.2139404126195541</v>
      </c>
      <c r="I87" s="7">
        <v>4127.1000000000004</v>
      </c>
      <c r="J87" s="8">
        <v>-1.1266991349858363E-2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ht="24">
      <c r="A88" s="4" t="s">
        <v>98</v>
      </c>
      <c r="B88" s="5">
        <v>22159.265982299999</v>
      </c>
      <c r="C88" s="7">
        <v>402.9</v>
      </c>
      <c r="D88" s="7">
        <v>6.85</v>
      </c>
      <c r="E88" s="7">
        <v>443.5</v>
      </c>
      <c r="F88" s="8">
        <v>9.1544532130777956E-2</v>
      </c>
      <c r="G88" s="7">
        <v>291.75</v>
      </c>
      <c r="H88" s="8">
        <v>0.38097686375321327</v>
      </c>
      <c r="I88" s="7">
        <v>400.2</v>
      </c>
      <c r="J88" s="8">
        <v>6.7466266866566434E-3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ht="24">
      <c r="A89" s="4" t="s">
        <v>99</v>
      </c>
      <c r="B89" s="5">
        <v>17986.005351399999</v>
      </c>
      <c r="C89" s="7">
        <v>2174.0500000000002</v>
      </c>
      <c r="D89" s="7">
        <v>72.77</v>
      </c>
      <c r="E89" s="7">
        <v>3769.95</v>
      </c>
      <c r="F89" s="8">
        <v>0.42332126420774802</v>
      </c>
      <c r="G89" s="7">
        <v>1805.55</v>
      </c>
      <c r="H89" s="8">
        <v>0.20409293567057143</v>
      </c>
      <c r="I89" s="7">
        <v>2171.85</v>
      </c>
      <c r="J89" s="8">
        <v>1.0129613002740857E-3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ht="24">
      <c r="A90" s="4" t="s">
        <v>100</v>
      </c>
      <c r="B90" s="5">
        <v>12685.7721399</v>
      </c>
      <c r="C90" s="7">
        <v>141.55000000000001</v>
      </c>
      <c r="D90" s="7">
        <v>41.14</v>
      </c>
      <c r="E90" s="7">
        <v>271.95</v>
      </c>
      <c r="F90" s="8">
        <v>0.47949990807133658</v>
      </c>
      <c r="G90" s="7">
        <v>129.25</v>
      </c>
      <c r="H90" s="8">
        <v>9.5164410058027171E-2</v>
      </c>
      <c r="I90" s="7">
        <v>141.4</v>
      </c>
      <c r="J90" s="8">
        <v>1.0608203677511009E-3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ht="24">
      <c r="A91" s="4" t="s">
        <v>101</v>
      </c>
      <c r="B91" s="5">
        <v>15538.83</v>
      </c>
      <c r="C91" s="7">
        <v>1463.5</v>
      </c>
      <c r="D91" s="7">
        <v>61.9</v>
      </c>
      <c r="E91" s="7">
        <v>2624</v>
      </c>
      <c r="F91" s="8">
        <v>0.44226371951219512</v>
      </c>
      <c r="G91" s="7">
        <v>1410.1</v>
      </c>
      <c r="H91" s="8">
        <v>3.7869654634423155E-2</v>
      </c>
      <c r="I91" s="7">
        <v>1471.05</v>
      </c>
      <c r="J91" s="8">
        <v>-5.1323884300329388E-3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24">
      <c r="A92" s="4" t="s">
        <v>102</v>
      </c>
      <c r="B92" s="5">
        <v>17277.2</v>
      </c>
      <c r="C92" s="7">
        <v>5630</v>
      </c>
      <c r="D92" s="7">
        <v>32.19</v>
      </c>
      <c r="E92" s="7">
        <v>7328.75</v>
      </c>
      <c r="F92" s="8">
        <v>0.23179259764625618</v>
      </c>
      <c r="G92" s="7">
        <v>3457.1</v>
      </c>
      <c r="H92" s="8">
        <v>0.62853258511469157</v>
      </c>
      <c r="I92" s="7">
        <v>5672.25</v>
      </c>
      <c r="J92" s="8">
        <v>-7.4485433469963416E-3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ht="24">
      <c r="A93" s="4" t="s">
        <v>103</v>
      </c>
      <c r="B93" s="5">
        <v>10913.18</v>
      </c>
      <c r="C93" s="7">
        <v>555</v>
      </c>
      <c r="D93" s="7">
        <v>42.84</v>
      </c>
      <c r="E93" s="7">
        <v>822.8</v>
      </c>
      <c r="F93" s="8">
        <v>0.3254739912493923</v>
      </c>
      <c r="G93" s="7">
        <v>540</v>
      </c>
      <c r="H93" s="8">
        <v>2.7777777777777776E-2</v>
      </c>
      <c r="I93" s="7">
        <v>557.4</v>
      </c>
      <c r="J93" s="8">
        <v>-4.3057050592034043E-3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ht="24">
      <c r="A94" s="4" t="s">
        <v>104</v>
      </c>
      <c r="B94" s="5">
        <v>13659</v>
      </c>
      <c r="C94" s="7">
        <v>1024</v>
      </c>
      <c r="D94" s="7">
        <v>55.83</v>
      </c>
      <c r="E94" s="7">
        <v>1511</v>
      </c>
      <c r="F94" s="8">
        <v>0.32230311052283256</v>
      </c>
      <c r="G94" s="7">
        <v>871.55</v>
      </c>
      <c r="H94" s="8">
        <v>0.17491824909643744</v>
      </c>
      <c r="I94" s="7">
        <v>1035.55</v>
      </c>
      <c r="J94" s="8">
        <v>-1.1153493312732321E-2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24">
      <c r="A95" s="4" t="s">
        <v>105</v>
      </c>
      <c r="B95" s="5">
        <v>9951.4177428999992</v>
      </c>
      <c r="C95" s="7">
        <v>731.9</v>
      </c>
      <c r="D95" s="7">
        <v>19.489999999999998</v>
      </c>
      <c r="E95" s="7">
        <v>2094.4</v>
      </c>
      <c r="F95" s="8">
        <v>0.65054430863254387</v>
      </c>
      <c r="G95" s="7">
        <v>584.79999999999995</v>
      </c>
      <c r="H95" s="8">
        <v>0.25153898768809857</v>
      </c>
      <c r="I95" s="7">
        <v>724.3</v>
      </c>
      <c r="J95" s="8">
        <v>1.0492889686593985E-2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24">
      <c r="A96" s="4" t="s">
        <v>106</v>
      </c>
      <c r="B96" s="5">
        <v>18827.951669900001</v>
      </c>
      <c r="C96" s="7">
        <v>696.3</v>
      </c>
      <c r="D96" s="7">
        <v>59.82</v>
      </c>
      <c r="E96" s="7">
        <v>764.25</v>
      </c>
      <c r="F96" s="8">
        <v>8.8910696761530975E-2</v>
      </c>
      <c r="G96" s="7">
        <v>440</v>
      </c>
      <c r="H96" s="8">
        <v>0.58249999999999991</v>
      </c>
      <c r="I96" s="7">
        <v>692.45</v>
      </c>
      <c r="J96" s="8">
        <v>5.5599682287528467E-3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ht="24">
      <c r="A97" s="4" t="s">
        <v>107</v>
      </c>
      <c r="B97" s="5">
        <v>12260.1</v>
      </c>
      <c r="C97" s="7">
        <v>1260</v>
      </c>
      <c r="D97" s="7">
        <v>57.79</v>
      </c>
      <c r="E97" s="7">
        <v>2027</v>
      </c>
      <c r="F97" s="8">
        <v>0.37839171188949183</v>
      </c>
      <c r="G97" s="7">
        <v>1204.1500000000001</v>
      </c>
      <c r="H97" s="8">
        <v>4.6381264792592206E-2</v>
      </c>
      <c r="I97" s="7">
        <v>1251.3</v>
      </c>
      <c r="J97" s="8">
        <v>6.9527691201151168E-3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ht="24">
      <c r="A98" s="4" t="s">
        <v>108</v>
      </c>
      <c r="B98" s="5">
        <v>13709.808000000001</v>
      </c>
      <c r="C98" s="7">
        <v>4477</v>
      </c>
      <c r="D98" s="7">
        <v>56.62</v>
      </c>
      <c r="E98" s="7">
        <v>6898.75</v>
      </c>
      <c r="F98" s="8">
        <v>0.35104185540858851</v>
      </c>
      <c r="G98" s="7">
        <v>3676</v>
      </c>
      <c r="H98" s="8">
        <v>0.21789989118607181</v>
      </c>
      <c r="I98" s="7">
        <v>4446.55</v>
      </c>
      <c r="J98" s="8">
        <v>6.8480057572724512E-3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24">
      <c r="A99" s="4" t="s">
        <v>109</v>
      </c>
      <c r="B99" s="5">
        <v>12642.153432900001</v>
      </c>
      <c r="C99" s="7">
        <v>885.05</v>
      </c>
      <c r="D99" s="7">
        <v>59.08</v>
      </c>
      <c r="E99" s="7">
        <v>1359.85</v>
      </c>
      <c r="F99" s="8">
        <v>0.34915615692907304</v>
      </c>
      <c r="G99" s="7">
        <v>785.55</v>
      </c>
      <c r="H99" s="8">
        <v>0.12666284768633443</v>
      </c>
      <c r="I99" s="7">
        <v>884.65</v>
      </c>
      <c r="J99" s="8">
        <v>4.5215621997397534E-4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24">
      <c r="A100" s="4" t="s">
        <v>110</v>
      </c>
      <c r="B100" s="5">
        <v>11261.44</v>
      </c>
      <c r="C100" s="7">
        <v>1077.9000000000001</v>
      </c>
      <c r="D100" s="7">
        <v>37.61</v>
      </c>
      <c r="E100" s="7">
        <v>1654</v>
      </c>
      <c r="F100" s="8">
        <v>0.34830713422007248</v>
      </c>
      <c r="G100" s="7">
        <v>1015</v>
      </c>
      <c r="H100" s="8">
        <v>6.1970443349753782E-2</v>
      </c>
      <c r="I100" s="7">
        <v>1078.6500000000001</v>
      </c>
      <c r="J100" s="8">
        <v>-6.9531358642747876E-4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ht="24">
      <c r="A101" s="4" t="s">
        <v>111</v>
      </c>
      <c r="B101" s="5">
        <v>15554.990685799999</v>
      </c>
      <c r="C101" s="7">
        <v>182.85</v>
      </c>
      <c r="D101" s="7">
        <v>3.39</v>
      </c>
      <c r="E101" s="7">
        <v>194.2</v>
      </c>
      <c r="F101" s="8">
        <v>5.8444902162718818E-2</v>
      </c>
      <c r="G101" s="7">
        <v>130.25</v>
      </c>
      <c r="H101" s="8">
        <v>0.40383877159309017</v>
      </c>
      <c r="I101" s="7">
        <v>182.65</v>
      </c>
      <c r="J101" s="8">
        <v>1.0949904188337729E-3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ht="24">
      <c r="A102" s="4" t="s">
        <v>112</v>
      </c>
      <c r="B102" s="5">
        <v>11658.528174999999</v>
      </c>
      <c r="C102" s="7">
        <v>523.9</v>
      </c>
      <c r="D102" s="7">
        <v>31.54</v>
      </c>
      <c r="E102" s="7">
        <v>749</v>
      </c>
      <c r="F102" s="8">
        <v>0.30053404539385853</v>
      </c>
      <c r="G102" s="7">
        <v>484.7</v>
      </c>
      <c r="H102" s="8">
        <v>8.0874767897668634E-2</v>
      </c>
      <c r="I102" s="7">
        <v>517.65</v>
      </c>
      <c r="J102" s="8">
        <v>1.2073795035255483E-2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24">
      <c r="A103" s="4" t="s">
        <v>113</v>
      </c>
      <c r="B103" s="5">
        <v>10943.5753</v>
      </c>
      <c r="C103" s="7">
        <v>789.5</v>
      </c>
      <c r="D103" s="7">
        <v>35.54</v>
      </c>
      <c r="E103" s="7">
        <v>1049.9000000000001</v>
      </c>
      <c r="F103" s="8">
        <v>0.24802362129726646</v>
      </c>
      <c r="G103" s="7">
        <v>744.7</v>
      </c>
      <c r="H103" s="8">
        <v>6.0158453068349604E-2</v>
      </c>
      <c r="I103" s="7">
        <v>794.05</v>
      </c>
      <c r="J103" s="8">
        <v>-5.7301177507713052E-3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24">
      <c r="A104" s="4" t="s">
        <v>114</v>
      </c>
      <c r="B104" s="5">
        <v>11180.947152799999</v>
      </c>
      <c r="C104" s="7">
        <v>2274</v>
      </c>
      <c r="D104" s="7">
        <v>38.869999999999997</v>
      </c>
      <c r="E104" s="7">
        <v>2971.5</v>
      </c>
      <c r="F104" s="8">
        <v>0.23472993437657749</v>
      </c>
      <c r="G104" s="7">
        <v>2037.15</v>
      </c>
      <c r="H104" s="8">
        <v>0.11626537073853173</v>
      </c>
      <c r="I104" s="7">
        <v>2235.75</v>
      </c>
      <c r="J104" s="8">
        <v>1.7108352901710835E-2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24">
      <c r="A105" s="4" t="s">
        <v>115</v>
      </c>
      <c r="B105" s="5">
        <v>14279.03184</v>
      </c>
      <c r="C105" s="7">
        <v>1068</v>
      </c>
      <c r="D105" s="7" t="s">
        <v>16</v>
      </c>
      <c r="E105" s="7">
        <v>1215.4000000000001</v>
      </c>
      <c r="F105" s="8">
        <v>0.12127694586144486</v>
      </c>
      <c r="G105" s="7">
        <v>731.35</v>
      </c>
      <c r="H105" s="8">
        <v>0.4603131195733916</v>
      </c>
      <c r="I105" s="7">
        <v>1066.2</v>
      </c>
      <c r="J105" s="8">
        <v>1.6882386043893776E-3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24">
      <c r="A106" s="4" t="s">
        <v>116</v>
      </c>
      <c r="B106" s="5">
        <v>12966.0743501</v>
      </c>
      <c r="C106" s="7">
        <v>1436.05</v>
      </c>
      <c r="D106" s="7">
        <v>30.59</v>
      </c>
      <c r="E106" s="7">
        <v>1662.45</v>
      </c>
      <c r="F106" s="8">
        <v>0.13618454690366633</v>
      </c>
      <c r="G106" s="7">
        <v>905.2</v>
      </c>
      <c r="H106" s="8">
        <v>0.58644498453380456</v>
      </c>
      <c r="I106" s="7">
        <v>1435.2</v>
      </c>
      <c r="J106" s="8">
        <v>5.922519509475397E-4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24">
      <c r="A107" s="4" t="s">
        <v>117</v>
      </c>
      <c r="B107" s="5">
        <v>8341.1378050999992</v>
      </c>
      <c r="C107" s="7">
        <v>2358</v>
      </c>
      <c r="D107" s="7">
        <v>25.47</v>
      </c>
      <c r="E107" s="7">
        <v>3447.55</v>
      </c>
      <c r="F107" s="8">
        <v>0.31603602558338534</v>
      </c>
      <c r="G107" s="7">
        <v>2310.1</v>
      </c>
      <c r="H107" s="8">
        <v>2.0735033115449587E-2</v>
      </c>
      <c r="I107" s="7">
        <v>2340.5</v>
      </c>
      <c r="J107" s="8">
        <v>7.4770348216193121E-3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ht="24">
      <c r="A108" s="4" t="s">
        <v>118</v>
      </c>
      <c r="B108" s="5">
        <v>8026.4791851</v>
      </c>
      <c r="C108" s="7">
        <v>293.10000000000002</v>
      </c>
      <c r="D108" s="7"/>
      <c r="E108" s="7">
        <v>579.95000000000005</v>
      </c>
      <c r="F108" s="8">
        <v>0.49461160444865937</v>
      </c>
      <c r="G108" s="7">
        <v>262.3</v>
      </c>
      <c r="H108" s="8">
        <v>0.1174227983225315</v>
      </c>
      <c r="I108" s="7">
        <v>289.10000000000002</v>
      </c>
      <c r="J108" s="8">
        <v>1.3836042891732963E-2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ht="24">
      <c r="A109" s="4" t="s">
        <v>119</v>
      </c>
      <c r="B109" s="5">
        <v>8293.1763761999991</v>
      </c>
      <c r="C109" s="7">
        <v>2562.6999999999998</v>
      </c>
      <c r="D109" s="7">
        <v>20.059999999999999</v>
      </c>
      <c r="E109" s="7">
        <v>3841.85</v>
      </c>
      <c r="F109" s="8">
        <v>0.33295157280997439</v>
      </c>
      <c r="G109" s="7">
        <v>2530</v>
      </c>
      <c r="H109" s="8">
        <v>1.2924901185770679E-2</v>
      </c>
      <c r="I109" s="7">
        <v>2557.4</v>
      </c>
      <c r="J109" s="8">
        <v>2.0724172988190064E-3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ht="24">
      <c r="A110" s="4" t="s">
        <v>120</v>
      </c>
      <c r="B110" s="5">
        <v>7486.1504299999997</v>
      </c>
      <c r="C110" s="7">
        <v>629</v>
      </c>
      <c r="D110" s="7">
        <v>188.97</v>
      </c>
      <c r="E110" s="7">
        <v>1343</v>
      </c>
      <c r="F110" s="8">
        <v>0.53164556962025311</v>
      </c>
      <c r="G110" s="7">
        <v>570</v>
      </c>
      <c r="H110" s="8">
        <v>0.10350877192982456</v>
      </c>
      <c r="I110" s="7">
        <v>625.54999999999995</v>
      </c>
      <c r="J110" s="8">
        <v>5.515146670929655E-3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ht="24">
      <c r="A111" s="4" t="s">
        <v>121</v>
      </c>
      <c r="B111" s="5">
        <v>10644.74</v>
      </c>
      <c r="C111" s="7">
        <v>173</v>
      </c>
      <c r="D111" s="7">
        <v>15.85</v>
      </c>
      <c r="E111" s="7">
        <v>204.5</v>
      </c>
      <c r="F111" s="8">
        <v>0.15403422982885084</v>
      </c>
      <c r="G111" s="7">
        <v>128</v>
      </c>
      <c r="H111" s="8">
        <v>0.3515625</v>
      </c>
      <c r="I111" s="7">
        <v>170.9</v>
      </c>
      <c r="J111" s="8">
        <v>1.2287887653598561E-2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ht="24">
      <c r="A112" s="4" t="s">
        <v>122</v>
      </c>
      <c r="B112" s="5">
        <v>5686.2430000000004</v>
      </c>
      <c r="C112" s="7">
        <v>499.35</v>
      </c>
      <c r="D112" s="7">
        <v>39.43</v>
      </c>
      <c r="E112" s="7">
        <v>833</v>
      </c>
      <c r="F112" s="8">
        <v>0.40054021608643453</v>
      </c>
      <c r="G112" s="7">
        <v>468</v>
      </c>
      <c r="H112" s="8">
        <v>6.6987179487179541E-2</v>
      </c>
      <c r="I112" s="7">
        <v>494.9</v>
      </c>
      <c r="J112" s="8">
        <v>8.9917154980805134E-3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ht="24">
      <c r="A113" s="4" t="s">
        <v>123</v>
      </c>
      <c r="B113" s="5">
        <v>10284.2865</v>
      </c>
      <c r="C113" s="7">
        <v>807.2</v>
      </c>
      <c r="D113" s="7">
        <v>21.59</v>
      </c>
      <c r="E113" s="7">
        <v>1096.05</v>
      </c>
      <c r="F113" s="8">
        <v>0.26353724738834899</v>
      </c>
      <c r="G113" s="7">
        <v>595</v>
      </c>
      <c r="H113" s="8">
        <v>0.35663865546218493</v>
      </c>
      <c r="I113" s="7">
        <v>812.9</v>
      </c>
      <c r="J113" s="8">
        <v>-7.011932587033992E-3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24">
      <c r="A114" s="4" t="s">
        <v>124</v>
      </c>
      <c r="B114" s="5">
        <v>9847.3348600000008</v>
      </c>
      <c r="C114" s="7">
        <v>576.5</v>
      </c>
      <c r="D114" s="7">
        <v>17.05</v>
      </c>
      <c r="E114" s="7">
        <v>668.15</v>
      </c>
      <c r="F114" s="8">
        <v>0.13716979720122724</v>
      </c>
      <c r="G114" s="7">
        <v>438.05</v>
      </c>
      <c r="H114" s="8">
        <v>0.31605981052391274</v>
      </c>
      <c r="I114" s="7">
        <v>590.95000000000005</v>
      </c>
      <c r="J114" s="8">
        <v>-2.445215331246306E-2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24">
      <c r="A115" s="4" t="s">
        <v>125</v>
      </c>
      <c r="B115" s="5">
        <v>7415.8287656000002</v>
      </c>
      <c r="C115" s="7">
        <v>1190.8</v>
      </c>
      <c r="D115" s="7">
        <v>32.119999999999997</v>
      </c>
      <c r="E115" s="7">
        <v>1919</v>
      </c>
      <c r="F115" s="8">
        <v>0.37946847316310583</v>
      </c>
      <c r="G115" s="7">
        <v>1052.5999999999999</v>
      </c>
      <c r="H115" s="8">
        <v>0.13129393881816459</v>
      </c>
      <c r="I115" s="7">
        <v>1197.5999999999999</v>
      </c>
      <c r="J115" s="8">
        <v>-5.6780227120908112E-3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24">
      <c r="A116" s="4" t="s">
        <v>126</v>
      </c>
      <c r="B116" s="5">
        <v>7672.4308320999999</v>
      </c>
      <c r="C116" s="7">
        <v>289.39999999999998</v>
      </c>
      <c r="D116" s="7">
        <v>36.409999999999997</v>
      </c>
      <c r="E116" s="7">
        <v>501.6</v>
      </c>
      <c r="F116" s="8">
        <v>0.4230462519936205</v>
      </c>
      <c r="G116" s="7">
        <v>274.35000000000002</v>
      </c>
      <c r="H116" s="8">
        <v>5.485693457262604E-2</v>
      </c>
      <c r="I116" s="7">
        <v>289.25</v>
      </c>
      <c r="J116" s="8">
        <v>5.185825410543726E-4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24">
      <c r="A117" s="4" t="s">
        <v>127</v>
      </c>
      <c r="B117" s="5">
        <v>10126.79307</v>
      </c>
      <c r="C117" s="7">
        <v>73.599999999999994</v>
      </c>
      <c r="D117" s="7">
        <v>36.15</v>
      </c>
      <c r="E117" s="7">
        <v>101.35</v>
      </c>
      <c r="F117" s="8">
        <v>0.27380365071534291</v>
      </c>
      <c r="G117" s="7">
        <v>51.55</v>
      </c>
      <c r="H117" s="8">
        <v>0.42774005819592625</v>
      </c>
      <c r="I117" s="7">
        <v>72.400000000000006</v>
      </c>
      <c r="J117" s="8">
        <v>1.6574585635358959E-2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24">
      <c r="A118" s="4" t="s">
        <v>128</v>
      </c>
      <c r="B118" s="5">
        <v>8445.0059999999994</v>
      </c>
      <c r="C118" s="7">
        <v>853.05</v>
      </c>
      <c r="D118" s="7">
        <v>15.67</v>
      </c>
      <c r="E118" s="7">
        <v>925</v>
      </c>
      <c r="F118" s="8">
        <v>7.7783783783783839E-2</v>
      </c>
      <c r="G118" s="7">
        <v>666.35</v>
      </c>
      <c r="H118" s="8">
        <v>0.28018308696630889</v>
      </c>
      <c r="I118" s="7">
        <v>862.5</v>
      </c>
      <c r="J118" s="8">
        <v>-1.0956521739130488E-2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48">
      <c r="A119" s="4" t="s">
        <v>129</v>
      </c>
      <c r="B119" s="5">
        <v>10287.9254057</v>
      </c>
      <c r="C119" s="7">
        <v>121.55</v>
      </c>
      <c r="D119" s="7">
        <v>8.6999999999999993</v>
      </c>
      <c r="E119" s="7">
        <v>173.75</v>
      </c>
      <c r="F119" s="8">
        <v>0.30043165467625899</v>
      </c>
      <c r="G119" s="7">
        <v>81.5</v>
      </c>
      <c r="H119" s="8">
        <v>0.49141104294478521</v>
      </c>
      <c r="I119" s="7">
        <v>120.15</v>
      </c>
      <c r="J119" s="8">
        <v>1.1652101539741918E-2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24">
      <c r="A120" s="4" t="s">
        <v>130</v>
      </c>
      <c r="B120" s="5">
        <v>6297.527</v>
      </c>
      <c r="C120" s="7">
        <v>1870</v>
      </c>
      <c r="D120" s="7">
        <v>49.07</v>
      </c>
      <c r="E120" s="7">
        <v>4023.65</v>
      </c>
      <c r="F120" s="8">
        <v>0.53524784710399764</v>
      </c>
      <c r="G120" s="7">
        <v>1844.15</v>
      </c>
      <c r="H120" s="8">
        <v>1.4017297942141316E-2</v>
      </c>
      <c r="I120" s="7">
        <v>1876</v>
      </c>
      <c r="J120" s="8">
        <v>-3.1982942430703624E-3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24">
      <c r="A121" s="4" t="s">
        <v>131</v>
      </c>
      <c r="B121" s="5">
        <v>8584.6690550000003</v>
      </c>
      <c r="C121" s="7">
        <v>891.5</v>
      </c>
      <c r="D121" s="7">
        <v>61.12</v>
      </c>
      <c r="E121" s="7">
        <v>1044.4000000000001</v>
      </c>
      <c r="F121" s="8">
        <v>0.14639984680199164</v>
      </c>
      <c r="G121" s="7">
        <v>652.29999999999995</v>
      </c>
      <c r="H121" s="8">
        <v>0.36670243752874454</v>
      </c>
      <c r="I121" s="7">
        <v>897.9</v>
      </c>
      <c r="J121" s="8">
        <v>-7.1277425103017898E-3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ht="48">
      <c r="A122" s="4" t="s">
        <v>132</v>
      </c>
      <c r="B122" s="5">
        <v>4868.9705459999996</v>
      </c>
      <c r="C122" s="7">
        <v>1555</v>
      </c>
      <c r="D122" s="7">
        <v>7.36</v>
      </c>
      <c r="E122" s="7">
        <v>2870</v>
      </c>
      <c r="F122" s="8">
        <v>0.45818815331010454</v>
      </c>
      <c r="G122" s="7">
        <v>1463.3</v>
      </c>
      <c r="H122" s="8">
        <v>6.2666575548417994E-2</v>
      </c>
      <c r="I122" s="7">
        <v>1559.1</v>
      </c>
      <c r="J122" s="8">
        <v>-2.6297222756718037E-3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ht="24">
      <c r="A123" s="4" t="s">
        <v>133</v>
      </c>
      <c r="B123" s="5">
        <v>8104.1629999999996</v>
      </c>
      <c r="C123" s="7">
        <v>582</v>
      </c>
      <c r="D123" s="7">
        <v>19.25</v>
      </c>
      <c r="E123" s="7">
        <v>694.5</v>
      </c>
      <c r="F123" s="8">
        <v>0.16198704103671707</v>
      </c>
      <c r="G123" s="7">
        <v>457.58</v>
      </c>
      <c r="H123" s="8">
        <v>0.2719087372699856</v>
      </c>
      <c r="I123" s="7">
        <v>574.4</v>
      </c>
      <c r="J123" s="8">
        <v>1.3231197771587783E-2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ht="24">
      <c r="A124" s="4" t="s">
        <v>134</v>
      </c>
      <c r="B124" s="5">
        <v>8815.8228534999998</v>
      </c>
      <c r="C124" s="7">
        <v>3515.05</v>
      </c>
      <c r="D124" s="7">
        <v>95.35</v>
      </c>
      <c r="E124" s="7">
        <v>3619.7</v>
      </c>
      <c r="F124" s="8">
        <v>2.8911235737768225E-2</v>
      </c>
      <c r="G124" s="7">
        <v>2437.75</v>
      </c>
      <c r="H124" s="8">
        <v>0.44192390524048825</v>
      </c>
      <c r="I124" s="7">
        <v>3443.4</v>
      </c>
      <c r="J124" s="8">
        <v>2.0807922402276847E-2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ht="24">
      <c r="A125" s="4" t="s">
        <v>135</v>
      </c>
      <c r="B125" s="5">
        <v>7452.9863359999999</v>
      </c>
      <c r="C125" s="7">
        <v>367.25</v>
      </c>
      <c r="D125" s="7">
        <v>49.25</v>
      </c>
      <c r="E125" s="7">
        <v>617.4</v>
      </c>
      <c r="F125" s="8">
        <v>0.40516682863621639</v>
      </c>
      <c r="G125" s="7">
        <v>305.25</v>
      </c>
      <c r="H125" s="8">
        <v>0.2031122031122031</v>
      </c>
      <c r="I125" s="7">
        <v>368.4</v>
      </c>
      <c r="J125" s="8">
        <v>-3.121606948968451E-3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24">
      <c r="A126" s="4" t="s">
        <v>136</v>
      </c>
      <c r="B126" s="5">
        <v>6488.7224500000002</v>
      </c>
      <c r="C126" s="7">
        <v>353</v>
      </c>
      <c r="D126" s="7">
        <v>35.19</v>
      </c>
      <c r="E126" s="7">
        <v>461.5</v>
      </c>
      <c r="F126" s="8">
        <v>0.23510292524377033</v>
      </c>
      <c r="G126" s="7">
        <v>289.05</v>
      </c>
      <c r="H126" s="8">
        <v>0.22124199965403904</v>
      </c>
      <c r="I126" s="7">
        <v>355.1</v>
      </c>
      <c r="J126" s="8">
        <v>-5.9138270909603564E-3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24">
      <c r="A127" s="4" t="s">
        <v>137</v>
      </c>
      <c r="B127" s="5">
        <v>7451.4657292000002</v>
      </c>
      <c r="C127" s="7">
        <v>873.25</v>
      </c>
      <c r="D127" s="7">
        <v>20.88</v>
      </c>
      <c r="E127" s="7">
        <v>958</v>
      </c>
      <c r="F127" s="8">
        <v>8.8465553235908143E-2</v>
      </c>
      <c r="G127" s="7">
        <v>642</v>
      </c>
      <c r="H127" s="8">
        <v>0.36020249221183803</v>
      </c>
      <c r="I127" s="7">
        <v>861.2</v>
      </c>
      <c r="J127" s="8">
        <v>1.3992104040873147E-2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24">
      <c r="A128" s="4" t="s">
        <v>138</v>
      </c>
      <c r="B128" s="5">
        <v>7705.4309999999996</v>
      </c>
      <c r="C128" s="7">
        <v>318.60000000000002</v>
      </c>
      <c r="D128" s="7">
        <v>16.36</v>
      </c>
      <c r="E128" s="7">
        <v>381.25</v>
      </c>
      <c r="F128" s="8">
        <v>0.16432786885245895</v>
      </c>
      <c r="G128" s="7">
        <v>227</v>
      </c>
      <c r="H128" s="8">
        <v>0.40352422907489</v>
      </c>
      <c r="I128" s="7">
        <v>318.14999999999998</v>
      </c>
      <c r="J128" s="8">
        <v>1.4144271570015574E-3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24">
      <c r="A129" s="4" t="s">
        <v>139</v>
      </c>
      <c r="B129" s="5">
        <v>6985.5829999999996</v>
      </c>
      <c r="C129" s="7">
        <v>1795</v>
      </c>
      <c r="D129" s="7">
        <v>49.5</v>
      </c>
      <c r="E129" s="7">
        <v>2249</v>
      </c>
      <c r="F129" s="8">
        <v>0.20186749666518453</v>
      </c>
      <c r="G129" s="7">
        <v>1444.5</v>
      </c>
      <c r="H129" s="8">
        <v>0.24264451367255105</v>
      </c>
      <c r="I129" s="7">
        <v>1807.4</v>
      </c>
      <c r="J129" s="8">
        <v>-6.8606838552617523E-3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24">
      <c r="A130" s="4" t="s">
        <v>140</v>
      </c>
      <c r="B130" s="5">
        <v>4785.1628070999996</v>
      </c>
      <c r="C130" s="7">
        <v>211.35</v>
      </c>
      <c r="D130" s="7">
        <v>13.73</v>
      </c>
      <c r="E130" s="7">
        <v>496.1</v>
      </c>
      <c r="F130" s="8">
        <v>0.57397702076194312</v>
      </c>
      <c r="G130" s="7">
        <v>202</v>
      </c>
      <c r="H130" s="8">
        <v>4.6287128712871259E-2</v>
      </c>
      <c r="I130" s="7">
        <v>212.4</v>
      </c>
      <c r="J130" s="8">
        <v>-4.9435028248588104E-3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ht="24">
      <c r="A131" s="4" t="s">
        <v>141</v>
      </c>
      <c r="B131" s="5">
        <v>5153.9576635000003</v>
      </c>
      <c r="C131" s="7">
        <v>1714.7</v>
      </c>
      <c r="D131" s="7">
        <v>17.12</v>
      </c>
      <c r="E131" s="7">
        <v>3410.85</v>
      </c>
      <c r="F131" s="8">
        <v>0.49728073647331306</v>
      </c>
      <c r="G131" s="7">
        <v>1492</v>
      </c>
      <c r="H131" s="8">
        <v>0.14926273458445044</v>
      </c>
      <c r="I131" s="7">
        <v>1693.7</v>
      </c>
      <c r="J131" s="8">
        <v>1.2398890004132962E-2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24">
      <c r="A132" s="4" t="s">
        <v>142</v>
      </c>
      <c r="B132" s="5">
        <v>6152.5851505999999</v>
      </c>
      <c r="C132" s="7">
        <v>3024.95</v>
      </c>
      <c r="D132" s="7">
        <v>37.14</v>
      </c>
      <c r="E132" s="7">
        <v>3754.85</v>
      </c>
      <c r="F132" s="8">
        <v>0.19438859075595566</v>
      </c>
      <c r="G132" s="7">
        <v>2619.8000000000002</v>
      </c>
      <c r="H132" s="8">
        <v>0.15464920986334821</v>
      </c>
      <c r="I132" s="7">
        <v>3026.7</v>
      </c>
      <c r="J132" s="8">
        <v>-5.7818746489576107E-4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ht="24">
      <c r="A133" s="4" t="s">
        <v>143</v>
      </c>
      <c r="B133" s="5">
        <v>7046.8192293000002</v>
      </c>
      <c r="C133" s="7">
        <v>1567.45</v>
      </c>
      <c r="D133" s="7">
        <v>53.87</v>
      </c>
      <c r="E133" s="7">
        <v>2110</v>
      </c>
      <c r="F133" s="8">
        <v>0.25713270142180095</v>
      </c>
      <c r="G133" s="7">
        <v>1256.67</v>
      </c>
      <c r="H133" s="8">
        <v>0.24730438380800046</v>
      </c>
      <c r="I133" s="7">
        <v>1576.95</v>
      </c>
      <c r="J133" s="8">
        <v>-6.0242873902152886E-3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ht="24">
      <c r="A134" s="4" t="s">
        <v>144</v>
      </c>
      <c r="B134" s="5">
        <v>6810.5862900000002</v>
      </c>
      <c r="C134" s="7">
        <v>171</v>
      </c>
      <c r="D134" s="7" t="s">
        <v>16</v>
      </c>
      <c r="E134" s="7">
        <v>279.7</v>
      </c>
      <c r="F134" s="8">
        <v>0.38863067572398996</v>
      </c>
      <c r="G134" s="7">
        <v>128.6</v>
      </c>
      <c r="H134" s="8">
        <v>0.32970451010886476</v>
      </c>
      <c r="I134" s="7">
        <v>170.15</v>
      </c>
      <c r="J134" s="8">
        <v>4.9955921245959109E-3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ht="24">
      <c r="A135" s="4" t="s">
        <v>145</v>
      </c>
      <c r="B135" s="5">
        <v>5679.5794913999998</v>
      </c>
      <c r="C135" s="7">
        <v>267.2</v>
      </c>
      <c r="D135" s="7">
        <v>53.9</v>
      </c>
      <c r="E135" s="7">
        <v>372.2</v>
      </c>
      <c r="F135" s="8">
        <v>0.28210639441160668</v>
      </c>
      <c r="G135" s="7">
        <v>244</v>
      </c>
      <c r="H135" s="8">
        <v>9.508196721311471E-2</v>
      </c>
      <c r="I135" s="7">
        <v>268.39999999999998</v>
      </c>
      <c r="J135" s="8">
        <v>-4.4709388971683637E-3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ht="24">
      <c r="A136" s="4" t="s">
        <v>146</v>
      </c>
      <c r="B136" s="5">
        <v>5305.4035807999999</v>
      </c>
      <c r="C136" s="7">
        <v>389.4</v>
      </c>
      <c r="D136" s="7">
        <v>21.44</v>
      </c>
      <c r="E136" s="7">
        <v>638.79999999999995</v>
      </c>
      <c r="F136" s="8">
        <v>0.39041953663118345</v>
      </c>
      <c r="G136" s="7">
        <v>364.1</v>
      </c>
      <c r="H136" s="8">
        <v>6.9486404833836724E-2</v>
      </c>
      <c r="I136" s="7">
        <v>388.7</v>
      </c>
      <c r="J136" s="8">
        <v>1.8008747105736781E-3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ht="24">
      <c r="A137" s="4" t="s">
        <v>147</v>
      </c>
      <c r="B137" s="5">
        <v>6919.97</v>
      </c>
      <c r="C137" s="7">
        <v>5294</v>
      </c>
      <c r="D137" s="7">
        <v>37</v>
      </c>
      <c r="E137" s="7">
        <v>6067.95</v>
      </c>
      <c r="F137" s="8">
        <v>0.1275471946868382</v>
      </c>
      <c r="G137" s="7">
        <v>3518.6</v>
      </c>
      <c r="H137" s="8">
        <v>0.50457568351048721</v>
      </c>
      <c r="I137" s="7">
        <v>5320</v>
      </c>
      <c r="J137" s="8">
        <v>-4.887218045112782E-3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48">
      <c r="A138" s="4" t="s">
        <v>148</v>
      </c>
      <c r="B138" s="5">
        <v>7324.3414709999997</v>
      </c>
      <c r="C138" s="7">
        <v>3465.1</v>
      </c>
      <c r="D138" s="7">
        <v>35.75</v>
      </c>
      <c r="E138" s="7">
        <v>3709.95</v>
      </c>
      <c r="F138" s="8">
        <v>6.5998194045741837E-2</v>
      </c>
      <c r="G138" s="7">
        <v>1845</v>
      </c>
      <c r="H138" s="8">
        <v>0.87810298102981021</v>
      </c>
      <c r="I138" s="7">
        <v>3461.8</v>
      </c>
      <c r="J138" s="8">
        <v>9.5326130914545235E-4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24">
      <c r="A139" s="4" t="s">
        <v>149</v>
      </c>
      <c r="B139" s="5">
        <v>3941.6660000000002</v>
      </c>
      <c r="C139" s="7">
        <v>9517.9</v>
      </c>
      <c r="D139" s="7">
        <v>23.12</v>
      </c>
      <c r="E139" s="7">
        <v>14362.9</v>
      </c>
      <c r="F139" s="8">
        <v>0.33732741995001009</v>
      </c>
      <c r="G139" s="7">
        <v>9301</v>
      </c>
      <c r="H139" s="8">
        <v>2.3320073110418196E-2</v>
      </c>
      <c r="I139" s="7">
        <v>9497.7000000000007</v>
      </c>
      <c r="J139" s="8">
        <v>2.12683070638143E-3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24">
      <c r="A140" s="4" t="s">
        <v>150</v>
      </c>
      <c r="B140" s="5">
        <v>4230.8670000000002</v>
      </c>
      <c r="C140" s="7">
        <v>186.9</v>
      </c>
      <c r="D140" s="7">
        <v>23.18</v>
      </c>
      <c r="E140" s="7">
        <v>242</v>
      </c>
      <c r="F140" s="8">
        <v>0.22768595041322312</v>
      </c>
      <c r="G140" s="7">
        <v>164</v>
      </c>
      <c r="H140" s="8">
        <v>0.13963414634146346</v>
      </c>
      <c r="I140" s="7">
        <v>186.85</v>
      </c>
      <c r="J140" s="8">
        <v>2.6759432700032847E-4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ht="24">
      <c r="A141" s="4" t="s">
        <v>151</v>
      </c>
      <c r="B141" s="5">
        <v>3279.7330000000002</v>
      </c>
      <c r="C141" s="7">
        <v>1669.3</v>
      </c>
      <c r="D141" s="7">
        <v>33.56</v>
      </c>
      <c r="E141" s="7">
        <v>2285.65</v>
      </c>
      <c r="F141" s="8">
        <v>0.2696607092074465</v>
      </c>
      <c r="G141" s="7">
        <v>1276.1500000000001</v>
      </c>
      <c r="H141" s="8">
        <v>0.30807506954511604</v>
      </c>
      <c r="I141" s="7">
        <v>1635.25</v>
      </c>
      <c r="J141" s="8">
        <v>2.0822504204250088E-2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ht="24">
      <c r="A142" s="4" t="s">
        <v>152</v>
      </c>
      <c r="B142" s="5">
        <v>4148.4799999999996</v>
      </c>
      <c r="C142" s="7">
        <v>448</v>
      </c>
      <c r="D142" s="7">
        <v>22.17</v>
      </c>
      <c r="E142" s="7">
        <v>537.4</v>
      </c>
      <c r="F142" s="8">
        <v>0.16635653144771118</v>
      </c>
      <c r="G142" s="7">
        <v>378.4</v>
      </c>
      <c r="H142" s="8">
        <v>0.18393234672304448</v>
      </c>
      <c r="I142" s="7">
        <v>445.5</v>
      </c>
      <c r="J142" s="8">
        <v>5.6116722783389446E-3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ht="24">
      <c r="A143" s="4" t="s">
        <v>153</v>
      </c>
      <c r="B143" s="5">
        <v>6367.8328517999998</v>
      </c>
      <c r="C143" s="7">
        <v>1227.0999999999999</v>
      </c>
      <c r="D143" s="7">
        <v>59.65</v>
      </c>
      <c r="E143" s="7">
        <v>1480</v>
      </c>
      <c r="F143" s="8">
        <v>0.17087837837837844</v>
      </c>
      <c r="G143" s="7">
        <v>575</v>
      </c>
      <c r="H143" s="8">
        <v>1.1340869565217391</v>
      </c>
      <c r="I143" s="7">
        <v>1161.25</v>
      </c>
      <c r="J143" s="8">
        <v>5.6706135629709289E-2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ht="24">
      <c r="A144" s="4" t="s">
        <v>154</v>
      </c>
      <c r="B144" s="5">
        <v>3024.4291291</v>
      </c>
      <c r="C144" s="7">
        <v>571.79999999999995</v>
      </c>
      <c r="D144" s="7">
        <v>35.81</v>
      </c>
      <c r="E144" s="7">
        <v>1087</v>
      </c>
      <c r="F144" s="8">
        <v>0.47396504139834411</v>
      </c>
      <c r="G144" s="7">
        <v>562.1</v>
      </c>
      <c r="H144" s="8">
        <v>1.725671588685275E-2</v>
      </c>
      <c r="I144" s="7">
        <v>574.70000000000005</v>
      </c>
      <c r="J144" s="8">
        <v>-5.0461110144424757E-3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ht="24">
      <c r="A145" s="4" t="s">
        <v>155</v>
      </c>
      <c r="B145" s="5">
        <v>3099.3320457</v>
      </c>
      <c r="C145" s="7">
        <v>1242.8</v>
      </c>
      <c r="D145" s="7">
        <v>68.510000000000005</v>
      </c>
      <c r="E145" s="7">
        <v>1842.2</v>
      </c>
      <c r="F145" s="8">
        <v>0.32537183801975905</v>
      </c>
      <c r="G145" s="7">
        <v>1201.25</v>
      </c>
      <c r="H145" s="8">
        <v>3.4588969823100897E-2</v>
      </c>
      <c r="I145" s="7">
        <v>1229.5</v>
      </c>
      <c r="J145" s="8">
        <v>1.0817405449369625E-2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ht="24">
      <c r="A146" s="4" t="s">
        <v>156</v>
      </c>
      <c r="B146" s="5">
        <v>3345.7206686999998</v>
      </c>
      <c r="C146" s="7">
        <v>717.5</v>
      </c>
      <c r="D146" s="7">
        <v>15.26</v>
      </c>
      <c r="E146" s="7">
        <v>815</v>
      </c>
      <c r="F146" s="8">
        <v>0.1196319018404908</v>
      </c>
      <c r="G146" s="7">
        <v>630.65</v>
      </c>
      <c r="H146" s="8">
        <v>0.13771505589471184</v>
      </c>
      <c r="I146" s="7">
        <v>724.95</v>
      </c>
      <c r="J146" s="8">
        <v>-1.0276570797986131E-2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ht="24">
      <c r="A147" s="4" t="s">
        <v>157</v>
      </c>
      <c r="B147" s="5">
        <v>3094.0985949999999</v>
      </c>
      <c r="C147" s="7">
        <v>276.7</v>
      </c>
      <c r="D147" s="7">
        <v>32.26</v>
      </c>
      <c r="E147" s="7">
        <v>354.9</v>
      </c>
      <c r="F147" s="8">
        <v>0.22034375880529725</v>
      </c>
      <c r="G147" s="7">
        <v>258.39999999999998</v>
      </c>
      <c r="H147" s="8">
        <v>7.0820433436532562E-2</v>
      </c>
      <c r="I147" s="7">
        <v>278.89999999999998</v>
      </c>
      <c r="J147" s="8">
        <v>-7.8881319469343448E-3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ht="24">
      <c r="A148" s="4" t="s">
        <v>158</v>
      </c>
      <c r="B148" s="5">
        <v>2618.5195810999999</v>
      </c>
      <c r="C148" s="7">
        <v>393.65</v>
      </c>
      <c r="D148" s="7">
        <v>19.149999999999999</v>
      </c>
      <c r="E148" s="7">
        <v>666</v>
      </c>
      <c r="F148" s="8">
        <v>0.40893393393393396</v>
      </c>
      <c r="G148" s="7">
        <v>372.4</v>
      </c>
      <c r="H148" s="8">
        <v>5.7062298603651994E-2</v>
      </c>
      <c r="I148" s="7">
        <v>394.45</v>
      </c>
      <c r="J148" s="8">
        <v>-2.028140448726103E-3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ht="24">
      <c r="A149" s="4" t="s">
        <v>159</v>
      </c>
      <c r="B149" s="5">
        <v>2664.2049999999999</v>
      </c>
      <c r="C149" s="7">
        <v>382.15</v>
      </c>
      <c r="D149" s="7">
        <v>17.489999999999998</v>
      </c>
      <c r="E149" s="7">
        <v>671</v>
      </c>
      <c r="F149" s="8">
        <v>0.43047690014903134</v>
      </c>
      <c r="G149" s="7">
        <v>320.85000000000002</v>
      </c>
      <c r="H149" s="8">
        <v>0.19105501012934378</v>
      </c>
      <c r="I149" s="7">
        <v>362.3</v>
      </c>
      <c r="J149" s="8">
        <v>5.4788849020148953E-2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ht="24">
      <c r="A150" s="4" t="s">
        <v>160</v>
      </c>
      <c r="B150" s="5">
        <v>2119.46</v>
      </c>
      <c r="C150" s="7">
        <v>85.4</v>
      </c>
      <c r="D150" s="7">
        <v>302.86</v>
      </c>
      <c r="E150" s="7">
        <v>204.45</v>
      </c>
      <c r="F150" s="8">
        <v>0.58229395940327699</v>
      </c>
      <c r="G150" s="7">
        <v>81.400000000000006</v>
      </c>
      <c r="H150" s="8">
        <v>4.9140049140049137E-2</v>
      </c>
      <c r="I150" s="7">
        <v>85.45</v>
      </c>
      <c r="J150" s="8">
        <v>-5.8513750731418557E-4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ht="24">
      <c r="A151" s="4" t="s">
        <v>161</v>
      </c>
      <c r="B151" s="5">
        <v>3279.6060000000002</v>
      </c>
      <c r="C151" s="7">
        <v>988.1</v>
      </c>
      <c r="D151" s="7">
        <v>41.73</v>
      </c>
      <c r="E151" s="7">
        <v>1057.8499999999999</v>
      </c>
      <c r="F151" s="8">
        <v>6.5935624143309446E-2</v>
      </c>
      <c r="G151" s="7">
        <v>648.04999999999995</v>
      </c>
      <c r="H151" s="8">
        <v>0.52472803024458003</v>
      </c>
      <c r="I151" s="7">
        <v>991.35</v>
      </c>
      <c r="J151" s="8">
        <v>-3.2783577949261106E-3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ht="24">
      <c r="A152" s="4" t="s">
        <v>162</v>
      </c>
      <c r="B152" s="5">
        <v>2676.336957</v>
      </c>
      <c r="C152" s="7">
        <v>10430</v>
      </c>
      <c r="D152" s="7">
        <v>139.72</v>
      </c>
      <c r="E152" s="7">
        <v>14131.25</v>
      </c>
      <c r="F152" s="8">
        <v>0.26191950464396285</v>
      </c>
      <c r="G152" s="7">
        <v>8050</v>
      </c>
      <c r="H152" s="8">
        <v>0.29565217391304349</v>
      </c>
      <c r="I152" s="7">
        <v>10411.1</v>
      </c>
      <c r="J152" s="8">
        <v>1.8153701337994673E-3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24">
      <c r="A153" s="4" t="s">
        <v>163</v>
      </c>
      <c r="B153" s="5">
        <v>1923.4465903</v>
      </c>
      <c r="C153" s="7">
        <v>481.35</v>
      </c>
      <c r="D153" s="7">
        <v>10.9</v>
      </c>
      <c r="E153" s="7">
        <v>744.15</v>
      </c>
      <c r="F153" s="8">
        <v>0.3531546059262245</v>
      </c>
      <c r="G153" s="7">
        <v>477.8</v>
      </c>
      <c r="H153" s="8">
        <v>7.429886982000861E-3</v>
      </c>
      <c r="I153" s="7">
        <v>481.85</v>
      </c>
      <c r="J153" s="8">
        <v>-1.0376673238559717E-3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ht="24">
      <c r="A154" s="4" t="s">
        <v>164</v>
      </c>
      <c r="B154" s="5">
        <v>2250.9146116000002</v>
      </c>
      <c r="C154" s="7">
        <v>577.79999999999995</v>
      </c>
      <c r="D154" s="7">
        <v>67.14</v>
      </c>
      <c r="E154" s="7">
        <v>811.35</v>
      </c>
      <c r="F154" s="8">
        <v>0.28785357737104833</v>
      </c>
      <c r="G154" s="7">
        <v>524.29999999999995</v>
      </c>
      <c r="H154" s="8">
        <v>0.10204081632653061</v>
      </c>
      <c r="I154" s="7">
        <v>583.75</v>
      </c>
      <c r="J154" s="8">
        <v>-1.0192719486081449E-2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ht="24">
      <c r="A155" s="4" t="s">
        <v>165</v>
      </c>
      <c r="B155" s="5">
        <v>2340.1280000000002</v>
      </c>
      <c r="C155" s="7">
        <v>386</v>
      </c>
      <c r="D155" s="7">
        <v>13.46</v>
      </c>
      <c r="E155" s="7">
        <v>519.54999999999995</v>
      </c>
      <c r="F155" s="8">
        <v>0.25704936964680969</v>
      </c>
      <c r="G155" s="7">
        <v>301.10000000000002</v>
      </c>
      <c r="H155" s="8">
        <v>0.28196612421122541</v>
      </c>
      <c r="I155" s="7">
        <v>381.5</v>
      </c>
      <c r="J155" s="8">
        <v>1.1795543905635648E-2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ht="48">
      <c r="A156" s="4" t="s">
        <v>166</v>
      </c>
      <c r="B156" s="5">
        <v>3335.191069</v>
      </c>
      <c r="C156" s="7">
        <v>462.25</v>
      </c>
      <c r="D156" s="7">
        <v>33.36</v>
      </c>
      <c r="E156" s="7">
        <v>480.4</v>
      </c>
      <c r="F156" s="8">
        <v>3.7781015820149831E-2</v>
      </c>
      <c r="G156" s="7">
        <v>258.95</v>
      </c>
      <c r="H156" s="8">
        <v>0.78509364742228238</v>
      </c>
      <c r="I156" s="7">
        <v>473.2</v>
      </c>
      <c r="J156" s="8">
        <v>-2.314032121724427E-2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ht="24">
      <c r="A157" s="4" t="s">
        <v>167</v>
      </c>
      <c r="B157" s="5">
        <v>1794.6404408000001</v>
      </c>
      <c r="C157" s="7">
        <v>411.45</v>
      </c>
      <c r="D157" s="7" t="s">
        <v>16</v>
      </c>
      <c r="E157" s="7">
        <v>528.35</v>
      </c>
      <c r="F157" s="8">
        <v>0.22125485000473177</v>
      </c>
      <c r="G157" s="7">
        <v>366.05</v>
      </c>
      <c r="H157" s="8">
        <v>0.1240267722988662</v>
      </c>
      <c r="I157" s="7">
        <v>412.2</v>
      </c>
      <c r="J157" s="8">
        <v>-1.8195050946142649E-3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ht="48">
      <c r="A158" s="4" t="s">
        <v>168</v>
      </c>
      <c r="B158" s="5">
        <v>1954.3679999999999</v>
      </c>
      <c r="C158" s="7">
        <v>118.6</v>
      </c>
      <c r="D158" s="7">
        <v>8.27</v>
      </c>
      <c r="E158" s="7">
        <v>182.4</v>
      </c>
      <c r="F158" s="8">
        <v>0.34978070175438603</v>
      </c>
      <c r="G158" s="7">
        <v>98</v>
      </c>
      <c r="H158" s="8">
        <v>0.210204081632653</v>
      </c>
      <c r="I158" s="7">
        <v>120.25</v>
      </c>
      <c r="J158" s="8">
        <v>-1.3721413721413769E-2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ht="24">
      <c r="A159" s="4" t="s">
        <v>169</v>
      </c>
      <c r="B159" s="5">
        <v>1991.1000154999999</v>
      </c>
      <c r="C159" s="7">
        <v>510</v>
      </c>
      <c r="D159" s="7">
        <v>64.75</v>
      </c>
      <c r="E159" s="7">
        <v>635.70000000000005</v>
      </c>
      <c r="F159" s="8">
        <v>0.1977347805568665</v>
      </c>
      <c r="G159" s="7">
        <v>395</v>
      </c>
      <c r="H159" s="8">
        <v>0.29113924050632911</v>
      </c>
      <c r="I159" s="7">
        <v>514.85</v>
      </c>
      <c r="J159" s="8">
        <v>-9.4202194814023942E-3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ht="24">
      <c r="A160" s="4" t="s">
        <v>170</v>
      </c>
      <c r="B160" s="5">
        <v>1482.0733620000001</v>
      </c>
      <c r="C160" s="7">
        <v>638.25</v>
      </c>
      <c r="D160" s="7" t="s">
        <v>16</v>
      </c>
      <c r="E160" s="7">
        <v>649.70000000000005</v>
      </c>
      <c r="F160" s="8">
        <v>1.7623518547021769E-2</v>
      </c>
      <c r="G160" s="7">
        <v>634.15</v>
      </c>
      <c r="H160" s="8">
        <v>6.4653473153039867E-3</v>
      </c>
      <c r="I160" s="7">
        <v>636.85</v>
      </c>
      <c r="J160" s="8">
        <v>2.198319855538945E-3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ht="48">
      <c r="A161" s="4" t="s">
        <v>171</v>
      </c>
      <c r="B161" s="5">
        <v>1059.9071153</v>
      </c>
      <c r="C161" s="7">
        <v>288.10000000000002</v>
      </c>
      <c r="D161" s="7">
        <v>15.51</v>
      </c>
      <c r="E161" s="7">
        <v>477.95</v>
      </c>
      <c r="F161" s="8">
        <v>0.39721728214248347</v>
      </c>
      <c r="G161" s="7">
        <v>261</v>
      </c>
      <c r="H161" s="8">
        <v>0.10383141762452117</v>
      </c>
      <c r="I161" s="7">
        <v>290.10000000000002</v>
      </c>
      <c r="J161" s="8">
        <v>-6.8941744226128912E-3</v>
      </c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ht="24">
      <c r="A162" s="4" t="s">
        <v>172</v>
      </c>
      <c r="B162" s="5">
        <v>404.80247370000001</v>
      </c>
      <c r="C162" s="7">
        <v>404.35</v>
      </c>
      <c r="D162" s="7" t="s">
        <v>16</v>
      </c>
      <c r="E162" s="7">
        <v>1936</v>
      </c>
      <c r="F162" s="8">
        <v>0.79114152892561984</v>
      </c>
      <c r="G162" s="7">
        <v>401</v>
      </c>
      <c r="H162" s="8">
        <v>8.3541147132170143E-3</v>
      </c>
      <c r="I162" s="7">
        <v>408.5</v>
      </c>
      <c r="J162" s="8">
        <v>-1.0159118727050128E-2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ht="24">
      <c r="A163" s="4" t="s">
        <v>173</v>
      </c>
      <c r="B163" s="5">
        <v>880.68924689999994</v>
      </c>
      <c r="C163" s="7">
        <v>4323.5</v>
      </c>
      <c r="D163" s="7">
        <v>23.13</v>
      </c>
      <c r="E163" s="7">
        <v>4759.6000000000004</v>
      </c>
      <c r="F163" s="8">
        <v>9.162534666778728E-2</v>
      </c>
      <c r="G163" s="7">
        <v>3654</v>
      </c>
      <c r="H163" s="8">
        <v>0.18322386425834702</v>
      </c>
      <c r="I163" s="7">
        <v>4310.6000000000004</v>
      </c>
      <c r="J163" s="8">
        <v>2.9926228367279811E-3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ht="24">
      <c r="A164" s="4" t="s">
        <v>174</v>
      </c>
      <c r="B164" s="5">
        <v>11060.0657861</v>
      </c>
      <c r="C164" s="7">
        <v>1601</v>
      </c>
      <c r="D164" s="7">
        <v>21.39</v>
      </c>
      <c r="E164" s="7">
        <v>1722.1</v>
      </c>
      <c r="F164" s="8">
        <v>7.0321119563323806E-2</v>
      </c>
      <c r="G164" s="7">
        <v>1271.5999999999999</v>
      </c>
      <c r="H164" s="8">
        <v>0.25904372444164842</v>
      </c>
      <c r="I164" s="7">
        <v>1599.4</v>
      </c>
      <c r="J164" s="8">
        <v>1.0003751406776973E-3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ht="24">
      <c r="A165" s="4" t="s">
        <v>175</v>
      </c>
      <c r="B165" s="5">
        <v>8463.6612353</v>
      </c>
      <c r="C165" s="7">
        <v>553.4</v>
      </c>
      <c r="D165" s="7">
        <v>15.6</v>
      </c>
      <c r="E165" s="7">
        <v>593.9</v>
      </c>
      <c r="F165" s="8">
        <v>6.8193298535106917E-2</v>
      </c>
      <c r="G165" s="7">
        <v>343.5</v>
      </c>
      <c r="H165" s="8">
        <v>0.61106259097525462</v>
      </c>
      <c r="I165" s="7">
        <v>539.85</v>
      </c>
      <c r="J165" s="8">
        <v>2.5099564693896369E-2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ht="24">
      <c r="A166" s="4" t="s">
        <v>176</v>
      </c>
      <c r="B166" s="5">
        <v>15766.33509</v>
      </c>
      <c r="C166" s="7">
        <v>252.6</v>
      </c>
      <c r="D166" s="7">
        <v>23.69</v>
      </c>
      <c r="E166" s="7">
        <v>375.2</v>
      </c>
      <c r="F166" s="8">
        <v>0.32675906183368869</v>
      </c>
      <c r="G166" s="7">
        <v>241.05</v>
      </c>
      <c r="H166" s="8">
        <v>4.7915370255133719E-2</v>
      </c>
      <c r="I166" s="7">
        <v>251.9</v>
      </c>
      <c r="J166" s="8">
        <v>2.778880508138105E-3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ht="24">
      <c r="A167" s="4" t="s">
        <v>177</v>
      </c>
      <c r="B167" s="5">
        <v>47348.12</v>
      </c>
      <c r="C167" s="7">
        <v>22241</v>
      </c>
      <c r="D167" s="7">
        <v>53.6</v>
      </c>
      <c r="E167" s="7">
        <v>22499</v>
      </c>
      <c r="F167" s="8">
        <v>1.1467176318947508E-2</v>
      </c>
      <c r="G167" s="7">
        <v>15514</v>
      </c>
      <c r="H167" s="8">
        <v>0.4336083537450045</v>
      </c>
      <c r="I167" s="7">
        <v>22162.55</v>
      </c>
      <c r="J167" s="8">
        <v>3.5397551274560343E-3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ht="24">
      <c r="A168" s="4" t="s">
        <v>178</v>
      </c>
      <c r="B168" s="5">
        <v>287213.2945283</v>
      </c>
      <c r="C168" s="7">
        <v>933.9</v>
      </c>
      <c r="D168" s="7">
        <v>15.67</v>
      </c>
      <c r="E168" s="7">
        <v>970</v>
      </c>
      <c r="F168" s="8">
        <v>3.7216494845360847E-2</v>
      </c>
      <c r="G168" s="7">
        <v>618.25</v>
      </c>
      <c r="H168" s="8">
        <v>0.51055398301657906</v>
      </c>
      <c r="I168" s="7">
        <v>935.55</v>
      </c>
      <c r="J168" s="8">
        <v>-1.7636684303350728E-3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ht="24">
      <c r="A169" s="4" t="s">
        <v>179</v>
      </c>
      <c r="B169" s="5">
        <v>95565.8761753</v>
      </c>
      <c r="C169" s="7">
        <v>184.9</v>
      </c>
      <c r="D169" s="7">
        <v>9.7200000000000006</v>
      </c>
      <c r="E169" s="7">
        <v>197.2</v>
      </c>
      <c r="F169" s="8">
        <v>6.2373225152129737E-2</v>
      </c>
      <c r="G169" s="7">
        <v>89.9</v>
      </c>
      <c r="H169" s="8">
        <v>1.0567296996662958</v>
      </c>
      <c r="I169" s="7">
        <v>181.8</v>
      </c>
      <c r="J169" s="8">
        <v>1.7051705170517021E-2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ht="24">
      <c r="A170" s="4" t="s">
        <v>180</v>
      </c>
      <c r="B170" s="5">
        <v>535431.32466749998</v>
      </c>
      <c r="C170" s="7">
        <v>600.04999999999995</v>
      </c>
      <c r="D170" s="7">
        <v>13</v>
      </c>
      <c r="E170" s="7">
        <v>629.65</v>
      </c>
      <c r="F170" s="8">
        <v>4.7010243786230484E-2</v>
      </c>
      <c r="G170" s="7">
        <v>425</v>
      </c>
      <c r="H170" s="8">
        <v>0.41188235294117637</v>
      </c>
      <c r="I170" s="7">
        <v>595</v>
      </c>
      <c r="J170" s="8">
        <v>8.487394957983117E-3</v>
      </c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ht="24">
      <c r="A171" s="4" t="s">
        <v>181</v>
      </c>
      <c r="B171" s="5">
        <v>29278.4915846</v>
      </c>
      <c r="C171" s="7">
        <v>138.44999999999999</v>
      </c>
      <c r="D171" s="7">
        <v>11.78</v>
      </c>
      <c r="E171" s="7">
        <v>142.25</v>
      </c>
      <c r="F171" s="8">
        <v>2.67135325131811E-2</v>
      </c>
      <c r="G171" s="7">
        <v>82.5</v>
      </c>
      <c r="H171" s="8">
        <v>0.678181818181818</v>
      </c>
      <c r="I171" s="7">
        <v>135.05000000000001</v>
      </c>
      <c r="J171" s="8">
        <v>2.5175860792298978E-2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ht="24">
      <c r="A172" s="4" t="s">
        <v>182</v>
      </c>
      <c r="B172" s="5">
        <v>87098.03</v>
      </c>
      <c r="C172" s="7">
        <v>24025</v>
      </c>
      <c r="D172" s="7">
        <v>54.11</v>
      </c>
      <c r="E172" s="7">
        <v>27936.75</v>
      </c>
      <c r="F172" s="8">
        <v>0.14002165606235514</v>
      </c>
      <c r="G172" s="7">
        <v>17865.2</v>
      </c>
      <c r="H172" s="8">
        <v>0.34479322929494205</v>
      </c>
      <c r="I172" s="7">
        <v>23854.85</v>
      </c>
      <c r="J172" s="8">
        <v>7.1327214381981634E-3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ht="24">
      <c r="A173" s="4" t="s">
        <v>183</v>
      </c>
      <c r="B173" s="5">
        <v>7658.1331612000004</v>
      </c>
      <c r="C173" s="7">
        <v>1503.5</v>
      </c>
      <c r="D173" s="7">
        <v>27.61</v>
      </c>
      <c r="E173" s="7">
        <v>1953.7</v>
      </c>
      <c r="F173" s="8">
        <v>0.23043456006551674</v>
      </c>
      <c r="G173" s="7">
        <v>1355.5</v>
      </c>
      <c r="H173" s="8">
        <v>0.10918480265584656</v>
      </c>
      <c r="I173" s="7">
        <v>1480.55</v>
      </c>
      <c r="J173" s="8">
        <v>1.5500996251393095E-2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ht="24">
      <c r="A174" s="4" t="s">
        <v>184</v>
      </c>
      <c r="B174" s="5">
        <v>1620922.4391001</v>
      </c>
      <c r="C174" s="7">
        <v>2467.9</v>
      </c>
      <c r="D174" s="7">
        <v>25.09</v>
      </c>
      <c r="E174" s="7">
        <v>2856.15</v>
      </c>
      <c r="F174" s="8">
        <v>0.13593473732121911</v>
      </c>
      <c r="G174" s="7">
        <v>2180</v>
      </c>
      <c r="H174" s="8">
        <v>0.13206422018348629</v>
      </c>
      <c r="I174" s="7">
        <v>2471.6</v>
      </c>
      <c r="J174" s="8">
        <v>-1.4970059880238785E-3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ht="48">
      <c r="A175" s="4" t="s">
        <v>185</v>
      </c>
      <c r="B175" s="5">
        <v>5515.5150000000003</v>
      </c>
      <c r="C175" s="7">
        <v>241.5</v>
      </c>
      <c r="D175" s="7">
        <v>12.67</v>
      </c>
      <c r="E175" s="7">
        <v>393.85</v>
      </c>
      <c r="F175" s="8">
        <v>0.38682239431255555</v>
      </c>
      <c r="G175" s="7">
        <v>169.25</v>
      </c>
      <c r="H175" s="8">
        <v>0.42688330871491875</v>
      </c>
      <c r="I175" s="7">
        <v>236.7</v>
      </c>
      <c r="J175" s="8">
        <v>2.0278833967046942E-2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ht="24">
      <c r="A176" s="4" t="s">
        <v>186</v>
      </c>
      <c r="B176" s="5">
        <v>1191.3508850000001</v>
      </c>
      <c r="C176" s="7">
        <v>446.8</v>
      </c>
      <c r="D176" s="7" t="s">
        <v>16</v>
      </c>
      <c r="E176" s="7">
        <v>455.95</v>
      </c>
      <c r="F176" s="8">
        <v>2.0067989911174422E-2</v>
      </c>
      <c r="G176" s="7">
        <v>444</v>
      </c>
      <c r="H176" s="8">
        <v>6.3063063063063321E-3</v>
      </c>
      <c r="I176" s="7">
        <v>447.4</v>
      </c>
      <c r="J176" s="8">
        <v>-1.3410818059900892E-3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ht="24">
      <c r="A177" s="4" t="s">
        <v>187</v>
      </c>
      <c r="B177" s="5">
        <v>129917.6</v>
      </c>
      <c r="C177" s="7">
        <v>604</v>
      </c>
      <c r="D177" s="7">
        <v>85.12</v>
      </c>
      <c r="E177" s="7">
        <v>678.8</v>
      </c>
      <c r="F177" s="8">
        <v>0.11019446081319971</v>
      </c>
      <c r="G177" s="7">
        <v>497.05</v>
      </c>
      <c r="H177" s="8">
        <v>0.21516950005029672</v>
      </c>
      <c r="I177" s="7">
        <v>598.4</v>
      </c>
      <c r="J177" s="8">
        <v>9.3582887700535151E-3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ht="24">
      <c r="A178" s="4" t="s">
        <v>188</v>
      </c>
      <c r="B178" s="5">
        <v>22430.59</v>
      </c>
      <c r="C178" s="7">
        <v>2900.45</v>
      </c>
      <c r="D178" s="7">
        <v>36.07</v>
      </c>
      <c r="E178" s="7">
        <v>3646.25</v>
      </c>
      <c r="F178" s="8">
        <v>0.2045389098388756</v>
      </c>
      <c r="G178" s="7">
        <v>2005</v>
      </c>
      <c r="H178" s="8">
        <v>0.44660847880299243</v>
      </c>
      <c r="I178" s="7">
        <v>2905.9</v>
      </c>
      <c r="J178" s="8">
        <v>-1.8754946832307625E-3</v>
      </c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ht="48">
      <c r="A179" s="4" t="s">
        <v>189</v>
      </c>
      <c r="B179" s="5">
        <v>67468.319877200003</v>
      </c>
      <c r="C179" s="7">
        <v>468.9</v>
      </c>
      <c r="D179" s="7">
        <v>78.92</v>
      </c>
      <c r="E179" s="7">
        <v>648.85</v>
      </c>
      <c r="F179" s="8">
        <v>0.27733682669338067</v>
      </c>
      <c r="G179" s="7">
        <v>430</v>
      </c>
      <c r="H179" s="8">
        <v>9.046511627906971E-2</v>
      </c>
      <c r="I179" s="7">
        <v>464.7</v>
      </c>
      <c r="J179" s="8">
        <v>9.0380890897352895E-3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ht="24">
      <c r="A180" s="4" t="s">
        <v>190</v>
      </c>
      <c r="B180" s="5">
        <v>214719.00671829999</v>
      </c>
      <c r="C180" s="7">
        <v>2417.65</v>
      </c>
      <c r="D180" s="7">
        <v>68.59</v>
      </c>
      <c r="E180" s="7">
        <v>2790</v>
      </c>
      <c r="F180" s="8">
        <v>0.13345878136200715</v>
      </c>
      <c r="G180" s="7">
        <v>1827.15</v>
      </c>
      <c r="H180" s="8">
        <v>0.32318091016063266</v>
      </c>
      <c r="I180" s="7">
        <v>2445.65</v>
      </c>
      <c r="J180" s="8">
        <v>-1.1448899065688058E-2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ht="48">
      <c r="A181" s="4" t="s">
        <v>191</v>
      </c>
      <c r="B181" s="5">
        <v>1794.8020805000001</v>
      </c>
      <c r="C181" s="7">
        <v>165.55</v>
      </c>
      <c r="D181" s="7">
        <v>17.829999999999998</v>
      </c>
      <c r="E181" s="7">
        <v>209.41</v>
      </c>
      <c r="F181" s="8">
        <v>0.20944558521560569</v>
      </c>
      <c r="G181" s="7">
        <v>116.75</v>
      </c>
      <c r="H181" s="8">
        <v>0.41798715203426134</v>
      </c>
      <c r="I181" s="7">
        <v>165.4</v>
      </c>
      <c r="J181" s="8">
        <v>9.0689238210402471E-4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ht="24">
      <c r="A182" s="4" t="s">
        <v>192</v>
      </c>
      <c r="B182" s="5">
        <v>61484.386680000003</v>
      </c>
      <c r="C182" s="7">
        <v>846.75</v>
      </c>
      <c r="D182" s="7">
        <v>46.19</v>
      </c>
      <c r="E182" s="7">
        <v>958</v>
      </c>
      <c r="F182" s="8">
        <v>0.11612734864300626</v>
      </c>
      <c r="G182" s="7">
        <v>712</v>
      </c>
      <c r="H182" s="8">
        <v>0.1892556179775281</v>
      </c>
      <c r="I182" s="7">
        <v>857.75</v>
      </c>
      <c r="J182" s="8">
        <v>-1.2824249489944622E-2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ht="24">
      <c r="A183" s="4" t="s">
        <v>193</v>
      </c>
      <c r="B183" s="5">
        <v>3951.357</v>
      </c>
      <c r="C183" s="7">
        <v>717</v>
      </c>
      <c r="D183" s="7">
        <v>39.869999999999997</v>
      </c>
      <c r="E183" s="7">
        <v>1375</v>
      </c>
      <c r="F183" s="8">
        <v>0.47854545454545455</v>
      </c>
      <c r="G183" s="7">
        <v>675</v>
      </c>
      <c r="H183" s="8">
        <v>6.222222222222222E-2</v>
      </c>
      <c r="I183" s="7">
        <v>726.2</v>
      </c>
      <c r="J183" s="8">
        <v>-1.2668686312310721E-2</v>
      </c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ht="24">
      <c r="A184" s="4" t="s">
        <v>194</v>
      </c>
      <c r="B184" s="5">
        <v>22276.241535000001</v>
      </c>
      <c r="C184" s="7">
        <v>415</v>
      </c>
      <c r="D184" s="7">
        <v>52.87</v>
      </c>
      <c r="E184" s="7">
        <v>624</v>
      </c>
      <c r="F184" s="8">
        <v>0.33493589743589741</v>
      </c>
      <c r="G184" s="7">
        <v>358.15</v>
      </c>
      <c r="H184" s="8">
        <v>0.15873237470333668</v>
      </c>
      <c r="I184" s="7">
        <v>413.05</v>
      </c>
      <c r="J184" s="8">
        <v>4.7209780898196064E-3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ht="24">
      <c r="A185" s="4" t="s">
        <v>195</v>
      </c>
      <c r="B185" s="5">
        <v>26702.296517899998</v>
      </c>
      <c r="C185" s="7">
        <v>805.9</v>
      </c>
      <c r="D185" s="7">
        <v>70.099999999999994</v>
      </c>
      <c r="E185" s="7">
        <v>1347.75</v>
      </c>
      <c r="F185" s="8">
        <v>0.40204043776664811</v>
      </c>
      <c r="G185" s="7">
        <v>770.55</v>
      </c>
      <c r="H185" s="8">
        <v>4.5876322107585521E-2</v>
      </c>
      <c r="I185" s="7">
        <v>808.15</v>
      </c>
      <c r="J185" s="8">
        <v>-2.7841366083029141E-3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ht="24">
      <c r="A186" s="4" t="s">
        <v>196</v>
      </c>
      <c r="B186" s="5">
        <v>6945.4358365999997</v>
      </c>
      <c r="C186" s="7">
        <v>439.9</v>
      </c>
      <c r="D186" s="7" t="s">
        <v>16</v>
      </c>
      <c r="E186" s="7">
        <v>684.55</v>
      </c>
      <c r="F186" s="8">
        <v>0.35738806515228982</v>
      </c>
      <c r="G186" s="7">
        <v>357.7</v>
      </c>
      <c r="H186" s="8">
        <v>0.22980150964495386</v>
      </c>
      <c r="I186" s="7">
        <v>425.8</v>
      </c>
      <c r="J186" s="8">
        <v>3.311413809300133E-2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ht="24">
      <c r="A187" s="4" t="s">
        <v>197</v>
      </c>
      <c r="B187" s="5">
        <v>36421.231512999999</v>
      </c>
      <c r="C187" s="7">
        <v>3446.95</v>
      </c>
      <c r="D187" s="7">
        <v>34.130000000000003</v>
      </c>
      <c r="E187" s="7">
        <v>5714</v>
      </c>
      <c r="F187" s="8">
        <v>0.39675358767938401</v>
      </c>
      <c r="G187" s="7">
        <v>2923.35</v>
      </c>
      <c r="H187" s="8">
        <v>0.17910958318367623</v>
      </c>
      <c r="I187" s="7">
        <v>3640.5</v>
      </c>
      <c r="J187" s="8">
        <v>-5.316577393215223E-2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ht="24">
      <c r="A188" s="4" t="s">
        <v>198</v>
      </c>
      <c r="B188" s="5">
        <v>57937.938703100001</v>
      </c>
      <c r="C188" s="7">
        <v>20.149999999999999</v>
      </c>
      <c r="D188" s="7">
        <v>45.52</v>
      </c>
      <c r="E188" s="7">
        <v>24.75</v>
      </c>
      <c r="F188" s="8">
        <v>0.18585858585858592</v>
      </c>
      <c r="G188" s="7">
        <v>12.11</v>
      </c>
      <c r="H188" s="8">
        <v>0.66391412056151933</v>
      </c>
      <c r="I188" s="7">
        <v>19.899999999999999</v>
      </c>
      <c r="J188" s="8">
        <v>1.2562814070351759E-2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ht="24">
      <c r="A189" s="4" t="s">
        <v>199</v>
      </c>
      <c r="B189" s="5">
        <v>23948.971371200001</v>
      </c>
      <c r="C189" s="7">
        <v>1453.65</v>
      </c>
      <c r="D189" s="7">
        <v>23.28</v>
      </c>
      <c r="E189" s="7">
        <v>3773.95</v>
      </c>
      <c r="F189" s="8">
        <v>0.61482001616343618</v>
      </c>
      <c r="G189" s="7">
        <v>1450</v>
      </c>
      <c r="H189" s="8">
        <v>2.5172413793104077E-3</v>
      </c>
      <c r="I189" s="7">
        <v>1497.85</v>
      </c>
      <c r="J189" s="8">
        <v>-2.9508962846746884E-2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ht="24">
      <c r="A190" s="4" t="s">
        <v>200</v>
      </c>
      <c r="B190" s="5">
        <v>3273.1570000000002</v>
      </c>
      <c r="C190" s="7">
        <v>6195</v>
      </c>
      <c r="D190" s="7">
        <v>34.69</v>
      </c>
      <c r="E190" s="7">
        <v>6572.75</v>
      </c>
      <c r="F190" s="8">
        <v>5.7472138754706935E-2</v>
      </c>
      <c r="G190" s="7">
        <v>4932.05</v>
      </c>
      <c r="H190" s="8">
        <v>0.25606999118013801</v>
      </c>
      <c r="I190" s="7">
        <v>6169.85</v>
      </c>
      <c r="J190" s="8">
        <v>4.0762741395657326E-3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ht="24">
      <c r="A191" s="4" t="s">
        <v>201</v>
      </c>
      <c r="B191" s="5">
        <v>5182.9892300000001</v>
      </c>
      <c r="C191" s="7">
        <v>1688.15</v>
      </c>
      <c r="D191" s="7">
        <v>70.16</v>
      </c>
      <c r="E191" s="7">
        <v>2409.15</v>
      </c>
      <c r="F191" s="8">
        <v>0.29927567814374362</v>
      </c>
      <c r="G191" s="7">
        <v>1211.8499999999999</v>
      </c>
      <c r="H191" s="8">
        <v>0.39303544168007609</v>
      </c>
      <c r="I191" s="7">
        <v>1670.5</v>
      </c>
      <c r="J191" s="8">
        <v>1.0565698892547196E-2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ht="24">
      <c r="A192" s="4" t="s">
        <v>202</v>
      </c>
      <c r="B192" s="5">
        <v>4927.6934199999996</v>
      </c>
      <c r="C192" s="7">
        <v>299</v>
      </c>
      <c r="D192" s="7">
        <v>35.85</v>
      </c>
      <c r="E192" s="7">
        <v>566.5</v>
      </c>
      <c r="F192" s="8">
        <v>0.47219770520741394</v>
      </c>
      <c r="G192" s="7">
        <v>288</v>
      </c>
      <c r="H192" s="8">
        <v>3.8194444444444448E-2</v>
      </c>
      <c r="I192" s="7">
        <v>297.35000000000002</v>
      </c>
      <c r="J192" s="8">
        <v>5.5490163107448365E-3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ht="24">
      <c r="A193" s="4" t="s">
        <v>203</v>
      </c>
      <c r="B193" s="5">
        <v>22715.5217056</v>
      </c>
      <c r="C193" s="7">
        <v>7701.2</v>
      </c>
      <c r="D193" s="7">
        <v>37.5</v>
      </c>
      <c r="E193" s="7">
        <v>10859</v>
      </c>
      <c r="F193" s="8">
        <v>0.29080025785063085</v>
      </c>
      <c r="G193" s="7">
        <v>7602.15</v>
      </c>
      <c r="H193" s="8">
        <v>1.3029208842235445E-2</v>
      </c>
      <c r="I193" s="7">
        <v>7679.85</v>
      </c>
      <c r="J193" s="8">
        <v>2.7800022135848297E-3</v>
      </c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ht="24">
      <c r="A194" s="4" t="s">
        <v>204</v>
      </c>
      <c r="B194" s="5">
        <v>5752.7067024999997</v>
      </c>
      <c r="C194" s="7">
        <v>1071.5</v>
      </c>
      <c r="D194" s="7">
        <v>65.239999999999995</v>
      </c>
      <c r="E194" s="7">
        <v>1918.35</v>
      </c>
      <c r="F194" s="8">
        <v>0.44144707691505719</v>
      </c>
      <c r="G194" s="7">
        <v>1023.2</v>
      </c>
      <c r="H194" s="8">
        <v>4.7204847537138342E-2</v>
      </c>
      <c r="I194" s="7">
        <v>1069.9000000000001</v>
      </c>
      <c r="J194" s="8">
        <v>1.4954668660621636E-3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ht="24">
      <c r="A195" s="4" t="s">
        <v>205</v>
      </c>
      <c r="B195" s="5">
        <v>247191.65080199999</v>
      </c>
      <c r="C195" s="7">
        <v>1031.05</v>
      </c>
      <c r="D195" s="7">
        <v>60.4</v>
      </c>
      <c r="E195" s="7">
        <v>1070.95</v>
      </c>
      <c r="F195" s="8">
        <v>3.7256641299780652E-2</v>
      </c>
      <c r="G195" s="7">
        <v>784.8</v>
      </c>
      <c r="H195" s="8">
        <v>0.31377420998980632</v>
      </c>
      <c r="I195" s="7">
        <v>1032.8499999999999</v>
      </c>
      <c r="J195" s="8">
        <v>-1.7427506414290116E-3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ht="24">
      <c r="A196" s="4" t="s">
        <v>206</v>
      </c>
      <c r="B196" s="5" t="s">
        <v>16</v>
      </c>
      <c r="C196" s="7" t="s">
        <v>16</v>
      </c>
      <c r="D196" s="7" t="s">
        <v>16</v>
      </c>
      <c r="E196" s="7" t="s">
        <v>16</v>
      </c>
      <c r="F196" s="8" t="s">
        <v>16</v>
      </c>
      <c r="G196" s="7" t="s">
        <v>16</v>
      </c>
      <c r="H196" s="8" t="s">
        <v>16</v>
      </c>
      <c r="I196" s="7" t="s">
        <v>16</v>
      </c>
      <c r="J196" s="8" t="s">
        <v>16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ht="24">
      <c r="A197" s="4" t="s">
        <v>207</v>
      </c>
      <c r="B197" s="5">
        <v>9606.1540999999997</v>
      </c>
      <c r="C197" s="7">
        <v>876</v>
      </c>
      <c r="D197" s="7">
        <v>19.98</v>
      </c>
      <c r="E197" s="7">
        <v>1051.8499999999999</v>
      </c>
      <c r="F197" s="8">
        <v>0.16718163236202874</v>
      </c>
      <c r="G197" s="7">
        <v>720</v>
      </c>
      <c r="H197" s="8">
        <v>0.21666666666666667</v>
      </c>
      <c r="I197" s="7">
        <v>883.3</v>
      </c>
      <c r="J197" s="8">
        <v>-8.2644628099173036E-3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ht="24">
      <c r="A198" s="4" t="s">
        <v>208</v>
      </c>
      <c r="B198" s="5">
        <v>73698.477067</v>
      </c>
      <c r="C198" s="7">
        <v>1134.8</v>
      </c>
      <c r="D198" s="7">
        <v>51.22</v>
      </c>
      <c r="E198" s="7">
        <v>1432.05</v>
      </c>
      <c r="F198" s="8">
        <v>0.20756956810167243</v>
      </c>
      <c r="G198" s="7">
        <v>557.23</v>
      </c>
      <c r="H198" s="8">
        <v>1.0365019830231681</v>
      </c>
      <c r="I198" s="7">
        <v>1187.3</v>
      </c>
      <c r="J198" s="8">
        <v>-4.4217973553440579E-2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ht="24">
      <c r="A199" s="4" t="s">
        <v>209</v>
      </c>
      <c r="B199" s="5">
        <v>6524.2338449999997</v>
      </c>
      <c r="C199" s="7">
        <v>590.70000000000005</v>
      </c>
      <c r="D199" s="7">
        <v>44.19</v>
      </c>
      <c r="E199" s="7">
        <v>748</v>
      </c>
      <c r="F199" s="8">
        <v>0.21029411764705877</v>
      </c>
      <c r="G199" s="7">
        <v>513.1</v>
      </c>
      <c r="H199" s="8">
        <v>0.1512375755213409</v>
      </c>
      <c r="I199" s="7">
        <v>575.29999999999995</v>
      </c>
      <c r="J199" s="8">
        <v>2.6768642447418899E-2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ht="24">
      <c r="A200" s="4" t="s">
        <v>210</v>
      </c>
      <c r="B200" s="5">
        <v>32766.278689899998</v>
      </c>
      <c r="C200" s="7">
        <v>498.25</v>
      </c>
      <c r="D200" s="7">
        <v>69.25</v>
      </c>
      <c r="E200" s="7">
        <v>806.4</v>
      </c>
      <c r="F200" s="8">
        <v>0.38213045634920634</v>
      </c>
      <c r="G200" s="7">
        <v>451.2</v>
      </c>
      <c r="H200" s="8">
        <v>0.10427748226950358</v>
      </c>
      <c r="I200" s="7">
        <v>488.55</v>
      </c>
      <c r="J200" s="8">
        <v>1.9854671988537485E-2</v>
      </c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ht="24">
      <c r="A201" s="4" t="s">
        <v>211</v>
      </c>
      <c r="B201" s="5">
        <v>13811.7</v>
      </c>
      <c r="C201" s="7">
        <v>2714.9</v>
      </c>
      <c r="D201" s="7">
        <v>61.31</v>
      </c>
      <c r="E201" s="7">
        <v>3797.6</v>
      </c>
      <c r="F201" s="8">
        <v>0.28510111649462816</v>
      </c>
      <c r="G201" s="7">
        <v>2506.1999999999998</v>
      </c>
      <c r="H201" s="8">
        <v>8.3273481765222368E-2</v>
      </c>
      <c r="I201" s="7">
        <v>2750.75</v>
      </c>
      <c r="J201" s="8">
        <v>-1.3032809233845281E-2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ht="24">
      <c r="A202" s="4" t="s">
        <v>212</v>
      </c>
      <c r="B202" s="5">
        <v>478914.7</v>
      </c>
      <c r="C202" s="7">
        <v>2619.25</v>
      </c>
      <c r="D202" s="7">
        <v>19.809999999999999</v>
      </c>
      <c r="E202" s="7">
        <v>2933.8</v>
      </c>
      <c r="F202" s="8">
        <v>0.10721589747085697</v>
      </c>
      <c r="G202" s="7">
        <v>2026</v>
      </c>
      <c r="H202" s="8">
        <v>0.29281836130306022</v>
      </c>
      <c r="I202" s="7">
        <v>2612.8000000000002</v>
      </c>
      <c r="J202" s="8">
        <v>2.4686160440905609E-3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ht="24">
      <c r="A203" s="4" t="s">
        <v>213</v>
      </c>
      <c r="B203" s="5">
        <v>41307.128006400002</v>
      </c>
      <c r="C203" s="7">
        <v>619</v>
      </c>
      <c r="D203" s="7">
        <v>31.44</v>
      </c>
      <c r="E203" s="7">
        <v>732.98</v>
      </c>
      <c r="F203" s="8">
        <v>0.15550219651286531</v>
      </c>
      <c r="G203" s="7">
        <v>525</v>
      </c>
      <c r="H203" s="8">
        <v>0.17904761904761904</v>
      </c>
      <c r="I203" s="7">
        <v>628.15</v>
      </c>
      <c r="J203" s="8">
        <v>-1.4566584414550629E-2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ht="24">
      <c r="A204" s="4" t="s">
        <v>214</v>
      </c>
      <c r="B204" s="5">
        <v>6502.4350000000004</v>
      </c>
      <c r="C204" s="7">
        <v>578.04999999999995</v>
      </c>
      <c r="D204" s="7">
        <v>114.36</v>
      </c>
      <c r="E204" s="7">
        <v>749.15</v>
      </c>
      <c r="F204" s="8">
        <v>0.22839217780150842</v>
      </c>
      <c r="G204" s="7">
        <v>328.73</v>
      </c>
      <c r="H204" s="8">
        <v>0.75843397316947014</v>
      </c>
      <c r="I204" s="7">
        <v>580</v>
      </c>
      <c r="J204" s="8">
        <v>-3.3620689655173199E-3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ht="24">
      <c r="A205" s="4" t="s">
        <v>215</v>
      </c>
      <c r="B205" s="5">
        <v>38859.14</v>
      </c>
      <c r="C205" s="7">
        <v>4338</v>
      </c>
      <c r="D205" s="7">
        <v>63.66</v>
      </c>
      <c r="E205" s="7">
        <v>4535.95</v>
      </c>
      <c r="F205" s="8">
        <v>4.3640251766443594E-2</v>
      </c>
      <c r="G205" s="7">
        <v>2160.0500000000002</v>
      </c>
      <c r="H205" s="8">
        <v>1.0082868452119162</v>
      </c>
      <c r="I205" s="7">
        <v>4340.1499999999996</v>
      </c>
      <c r="J205" s="8">
        <v>-4.9537458382766409E-4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ht="24">
      <c r="A206" s="4" t="s">
        <v>216</v>
      </c>
      <c r="B206" s="5">
        <v>354002.53595559997</v>
      </c>
      <c r="C206" s="7">
        <v>1780.5</v>
      </c>
      <c r="D206" s="7">
        <v>25.87</v>
      </c>
      <c r="E206" s="7">
        <v>1997.55</v>
      </c>
      <c r="F206" s="8">
        <v>0.10865810618007056</v>
      </c>
      <c r="G206" s="7">
        <v>1631</v>
      </c>
      <c r="H206" s="8">
        <v>9.1661557326793375E-2</v>
      </c>
      <c r="I206" s="7">
        <v>1779.5</v>
      </c>
      <c r="J206" s="8">
        <v>5.6195560550716497E-4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ht="24">
      <c r="A207" s="4" t="s">
        <v>217</v>
      </c>
      <c r="B207" s="5">
        <v>1639.2763729999999</v>
      </c>
      <c r="C207" s="7">
        <v>498.5</v>
      </c>
      <c r="D207" s="7">
        <v>30.76</v>
      </c>
      <c r="E207" s="7">
        <v>1000</v>
      </c>
      <c r="F207" s="8">
        <v>0.50149999999999995</v>
      </c>
      <c r="G207" s="7">
        <v>472.2</v>
      </c>
      <c r="H207" s="8">
        <v>5.5696738670055083E-2</v>
      </c>
      <c r="I207" s="7">
        <v>503.15</v>
      </c>
      <c r="J207" s="8">
        <v>-9.2417768061213903E-3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ht="24">
      <c r="A208" s="4" t="s">
        <v>218</v>
      </c>
      <c r="B208" s="5">
        <v>93678.861999999994</v>
      </c>
      <c r="C208" s="7">
        <v>916.75</v>
      </c>
      <c r="D208" s="7">
        <v>58.81</v>
      </c>
      <c r="E208" s="7">
        <v>955.65</v>
      </c>
      <c r="F208" s="8">
        <v>4.0705279129388351E-2</v>
      </c>
      <c r="G208" s="7">
        <v>660.2</v>
      </c>
      <c r="H208" s="8">
        <v>0.38859436534383512</v>
      </c>
      <c r="I208" s="7">
        <v>914.9</v>
      </c>
      <c r="J208" s="8">
        <v>2.02207891572852E-3</v>
      </c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ht="24">
      <c r="A209" s="4" t="s">
        <v>219</v>
      </c>
      <c r="B209" s="5">
        <v>1528.0408124999999</v>
      </c>
      <c r="C209" s="7">
        <v>423</v>
      </c>
      <c r="D209" s="7" t="s">
        <v>16</v>
      </c>
      <c r="E209" s="7">
        <v>1156.3499999999999</v>
      </c>
      <c r="F209" s="8">
        <v>0.63419379945518217</v>
      </c>
      <c r="G209" s="7">
        <v>323.64999999999998</v>
      </c>
      <c r="H209" s="8">
        <v>0.30696740305885994</v>
      </c>
      <c r="I209" s="7">
        <v>427.8</v>
      </c>
      <c r="J209" s="8">
        <v>-1.1220196353436211E-2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ht="24">
      <c r="A210" s="4" t="s">
        <v>220</v>
      </c>
      <c r="B210" s="5">
        <v>17802.193500000001</v>
      </c>
      <c r="C210" s="7">
        <v>1118</v>
      </c>
      <c r="D210" s="7">
        <v>46.87</v>
      </c>
      <c r="E210" s="7">
        <v>1374.55</v>
      </c>
      <c r="F210" s="8">
        <v>0.186642901313157</v>
      </c>
      <c r="G210" s="7">
        <v>885.3</v>
      </c>
      <c r="H210" s="8">
        <v>0.26284875183553602</v>
      </c>
      <c r="I210" s="7">
        <v>1112.5</v>
      </c>
      <c r="J210" s="8">
        <v>4.9438202247191008E-3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ht="24">
      <c r="A211" s="4" t="s">
        <v>221</v>
      </c>
      <c r="B211" s="5">
        <v>1347.5935652000001</v>
      </c>
      <c r="C211" s="7">
        <v>429.35</v>
      </c>
      <c r="D211" s="7">
        <v>20.29</v>
      </c>
      <c r="E211" s="7">
        <v>778</v>
      </c>
      <c r="F211" s="8">
        <v>0.44813624678663239</v>
      </c>
      <c r="G211" s="7">
        <v>428.9</v>
      </c>
      <c r="H211" s="8">
        <v>1.049195616693974E-3</v>
      </c>
      <c r="I211" s="7">
        <v>436.85</v>
      </c>
      <c r="J211" s="8">
        <v>-1.7168364427148905E-2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ht="48">
      <c r="A212" s="4" t="s">
        <v>222</v>
      </c>
      <c r="B212" s="5">
        <v>7063.23</v>
      </c>
      <c r="C212" s="7">
        <v>1380.05</v>
      </c>
      <c r="D212" s="7">
        <v>45.85</v>
      </c>
      <c r="E212" s="7">
        <v>3142</v>
      </c>
      <c r="F212" s="8">
        <v>0.56077339274347549</v>
      </c>
      <c r="G212" s="7">
        <v>1267.05</v>
      </c>
      <c r="H212" s="8">
        <v>8.9183536561303817E-2</v>
      </c>
      <c r="I212" s="7">
        <v>1382.35</v>
      </c>
      <c r="J212" s="8">
        <v>-1.6638333273049188E-3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ht="24">
      <c r="A213" s="4" t="s">
        <v>223</v>
      </c>
      <c r="B213" s="5">
        <v>21081.42</v>
      </c>
      <c r="C213" s="7">
        <v>581.79999999999995</v>
      </c>
      <c r="D213" s="7">
        <v>17.2</v>
      </c>
      <c r="E213" s="7">
        <v>1118</v>
      </c>
      <c r="F213" s="8">
        <v>0.47960644007155639</v>
      </c>
      <c r="G213" s="7">
        <v>579</v>
      </c>
      <c r="H213" s="8">
        <v>4.8359240069083846E-3</v>
      </c>
      <c r="I213" s="7">
        <v>592.4</v>
      </c>
      <c r="J213" s="8">
        <v>-1.7893315327481469E-2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ht="24">
      <c r="A214" s="4" t="s">
        <v>224</v>
      </c>
      <c r="B214" s="5">
        <v>1992.0121939000001</v>
      </c>
      <c r="C214" s="7">
        <v>36.200000000000003</v>
      </c>
      <c r="D214" s="7">
        <v>593.92999999999995</v>
      </c>
      <c r="E214" s="7">
        <v>54.5</v>
      </c>
      <c r="F214" s="8">
        <v>0.33577981651376143</v>
      </c>
      <c r="G214" s="7">
        <v>18.7</v>
      </c>
      <c r="H214" s="8">
        <v>0.93582887700534778</v>
      </c>
      <c r="I214" s="7">
        <v>36.049999999999997</v>
      </c>
      <c r="J214" s="8">
        <v>4.1608876560334448E-3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ht="24">
      <c r="A215" s="4" t="s">
        <v>225</v>
      </c>
      <c r="B215" s="5">
        <v>22166.9</v>
      </c>
      <c r="C215" s="7">
        <v>3020</v>
      </c>
      <c r="D215" s="7">
        <v>38.36</v>
      </c>
      <c r="E215" s="7">
        <v>3863.55</v>
      </c>
      <c r="F215" s="8">
        <v>0.21833546867518219</v>
      </c>
      <c r="G215" s="7">
        <v>2540</v>
      </c>
      <c r="H215" s="8">
        <v>0.1889763779527559</v>
      </c>
      <c r="I215" s="7">
        <v>3044.5</v>
      </c>
      <c r="J215" s="8">
        <v>-8.0472984069633758E-3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ht="24">
      <c r="A216" s="4" t="s">
        <v>226</v>
      </c>
      <c r="B216" s="5">
        <v>4564.43</v>
      </c>
      <c r="C216" s="7">
        <v>1524.7</v>
      </c>
      <c r="D216" s="7">
        <v>17.12</v>
      </c>
      <c r="E216" s="7">
        <v>3925</v>
      </c>
      <c r="F216" s="8">
        <v>0.61154140127388534</v>
      </c>
      <c r="G216" s="7">
        <v>1515.1</v>
      </c>
      <c r="H216" s="8">
        <v>6.3362154313247555E-3</v>
      </c>
      <c r="I216" s="7">
        <v>1526.65</v>
      </c>
      <c r="J216" s="8">
        <v>-1.2773065208135756E-3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ht="24">
      <c r="A217" s="4" t="s">
        <v>227</v>
      </c>
      <c r="B217" s="5">
        <v>450686.75702929997</v>
      </c>
      <c r="C217" s="7">
        <v>712.7</v>
      </c>
      <c r="D217" s="7">
        <v>23.63</v>
      </c>
      <c r="E217" s="7">
        <v>920</v>
      </c>
      <c r="F217" s="8">
        <v>0.22532608695652168</v>
      </c>
      <c r="G217" s="7">
        <v>588</v>
      </c>
      <c r="H217" s="8">
        <v>0.21207482993197288</v>
      </c>
      <c r="I217" s="7">
        <v>705.55</v>
      </c>
      <c r="J217" s="8">
        <v>1.0133938062504559E-2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</sheetData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C2:C217">
    <cfRule type="notContainsBlanks" dxfId="6" priority="4">
      <formula>LEN(TRIM(C2))&gt;0</formula>
    </cfRule>
  </conditionalFormatting>
  <conditionalFormatting sqref="E2:E217">
    <cfRule type="notContainsBlanks" dxfId="5" priority="5">
      <formula>LEN(TRIM(E2))&gt;0</formula>
    </cfRule>
  </conditionalFormatting>
  <conditionalFormatting sqref="G2:G217">
    <cfRule type="notContainsBlanks" dxfId="4" priority="6">
      <formula>LEN(TRIM(G2))&gt;0</formula>
    </cfRule>
  </conditionalFormatting>
  <conditionalFormatting sqref="J1:J217">
    <cfRule type="cellIs" dxfId="3" priority="2" operator="lessThan">
      <formula>0</formula>
    </cfRule>
    <cfRule type="cellIs" dxfId="2" priority="3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C220"/>
  <sheetViews>
    <sheetView showGridLines="0" workbookViewId="0"/>
  </sheetViews>
  <sheetFormatPr defaultColWidth="12.6640625" defaultRowHeight="15.75" customHeight="1"/>
  <cols>
    <col min="1" max="1" width="24.33203125" customWidth="1"/>
    <col min="2" max="2" width="21.6640625" customWidth="1"/>
    <col min="3" max="3" width="27.88671875" customWidth="1"/>
  </cols>
  <sheetData>
    <row r="1" spans="1:3" ht="54.75" customHeight="1">
      <c r="A1" s="43" t="s">
        <v>228</v>
      </c>
      <c r="B1" s="44"/>
      <c r="C1" s="45"/>
    </row>
    <row r="2" spans="1:3" ht="42.75" customHeight="1">
      <c r="A2" s="13"/>
      <c r="B2" s="13"/>
      <c r="C2" s="13"/>
    </row>
    <row r="3" spans="1:3" ht="42.75" customHeight="1">
      <c r="A3" s="14" t="s">
        <v>0</v>
      </c>
      <c r="B3" s="14" t="s">
        <v>229</v>
      </c>
      <c r="C3" s="14" t="s">
        <v>230</v>
      </c>
    </row>
    <row r="4" spans="1:3" ht="24">
      <c r="A4" s="7" t="s">
        <v>10</v>
      </c>
      <c r="B4" s="7" t="s">
        <v>231</v>
      </c>
      <c r="C4" s="7" t="s">
        <v>232</v>
      </c>
    </row>
    <row r="5" spans="1:3" ht="24">
      <c r="A5" s="7" t="s">
        <v>11</v>
      </c>
      <c r="B5" s="7" t="s">
        <v>233</v>
      </c>
      <c r="C5" s="7" t="s">
        <v>234</v>
      </c>
    </row>
    <row r="6" spans="1:3" ht="24">
      <c r="A6" s="7" t="s">
        <v>12</v>
      </c>
      <c r="B6" s="7" t="s">
        <v>235</v>
      </c>
      <c r="C6" s="7" t="s">
        <v>236</v>
      </c>
    </row>
    <row r="7" spans="1:3" ht="24">
      <c r="A7" s="7" t="s">
        <v>13</v>
      </c>
      <c r="B7" s="7" t="s">
        <v>237</v>
      </c>
      <c r="C7" s="7" t="s">
        <v>238</v>
      </c>
    </row>
    <row r="8" spans="1:3" ht="24">
      <c r="A8" s="7" t="s">
        <v>14</v>
      </c>
      <c r="B8" s="7" t="s">
        <v>239</v>
      </c>
      <c r="C8" s="7" t="s">
        <v>240</v>
      </c>
    </row>
    <row r="9" spans="1:3" ht="24">
      <c r="A9" s="7" t="s">
        <v>15</v>
      </c>
      <c r="B9" s="7" t="s">
        <v>231</v>
      </c>
      <c r="C9" s="7" t="s">
        <v>241</v>
      </c>
    </row>
    <row r="10" spans="1:3" ht="24">
      <c r="A10" s="7" t="s">
        <v>17</v>
      </c>
      <c r="B10" s="7" t="s">
        <v>242</v>
      </c>
      <c r="C10" s="7" t="s">
        <v>243</v>
      </c>
    </row>
    <row r="11" spans="1:3" ht="24">
      <c r="A11" s="7" t="s">
        <v>18</v>
      </c>
      <c r="B11" s="7" t="s">
        <v>244</v>
      </c>
      <c r="C11" s="7" t="s">
        <v>245</v>
      </c>
    </row>
    <row r="12" spans="1:3" ht="24">
      <c r="A12" s="7" t="s">
        <v>19</v>
      </c>
      <c r="B12" s="7" t="s">
        <v>246</v>
      </c>
      <c r="C12" s="7" t="s">
        <v>247</v>
      </c>
    </row>
    <row r="13" spans="1:3" ht="24">
      <c r="A13" s="7" t="s">
        <v>20</v>
      </c>
      <c r="B13" s="7" t="s">
        <v>248</v>
      </c>
      <c r="C13" s="7" t="s">
        <v>249</v>
      </c>
    </row>
    <row r="14" spans="1:3" ht="24">
      <c r="A14" s="7" t="s">
        <v>21</v>
      </c>
      <c r="B14" s="7" t="s">
        <v>233</v>
      </c>
      <c r="C14" s="7" t="s">
        <v>250</v>
      </c>
    </row>
    <row r="15" spans="1:3" ht="24">
      <c r="A15" s="7" t="s">
        <v>22</v>
      </c>
      <c r="B15" s="7" t="s">
        <v>251</v>
      </c>
      <c r="C15" s="7" t="s">
        <v>252</v>
      </c>
    </row>
    <row r="16" spans="1:3" ht="24">
      <c r="A16" s="7" t="s">
        <v>23</v>
      </c>
      <c r="B16" s="7" t="s">
        <v>242</v>
      </c>
      <c r="C16" s="7" t="s">
        <v>23</v>
      </c>
    </row>
    <row r="17" spans="1:3" ht="24">
      <c r="A17" s="7" t="s">
        <v>24</v>
      </c>
      <c r="B17" s="7" t="s">
        <v>242</v>
      </c>
      <c r="C17" s="7" t="s">
        <v>253</v>
      </c>
    </row>
    <row r="18" spans="1:3" ht="24">
      <c r="A18" s="7" t="s">
        <v>25</v>
      </c>
      <c r="B18" s="7" t="s">
        <v>254</v>
      </c>
      <c r="C18" s="7" t="s">
        <v>255</v>
      </c>
    </row>
    <row r="19" spans="1:3" ht="24">
      <c r="A19" s="7" t="s">
        <v>26</v>
      </c>
      <c r="B19" s="7" t="s">
        <v>256</v>
      </c>
      <c r="C19" s="7" t="s">
        <v>257</v>
      </c>
    </row>
    <row r="20" spans="1:3" ht="24">
      <c r="A20" s="7" t="s">
        <v>27</v>
      </c>
      <c r="B20" s="7" t="s">
        <v>246</v>
      </c>
      <c r="C20" s="7" t="s">
        <v>258</v>
      </c>
    </row>
    <row r="21" spans="1:3" ht="24">
      <c r="A21" s="7" t="s">
        <v>28</v>
      </c>
      <c r="B21" s="7" t="s">
        <v>259</v>
      </c>
      <c r="C21" s="7" t="s">
        <v>260</v>
      </c>
    </row>
    <row r="22" spans="1:3" ht="24">
      <c r="A22" s="7" t="s">
        <v>29</v>
      </c>
      <c r="B22" s="7" t="s">
        <v>231</v>
      </c>
      <c r="C22" s="7" t="s">
        <v>261</v>
      </c>
    </row>
    <row r="23" spans="1:3" ht="24">
      <c r="A23" s="7" t="s">
        <v>30</v>
      </c>
      <c r="B23" s="7" t="s">
        <v>233</v>
      </c>
      <c r="C23" s="7" t="s">
        <v>262</v>
      </c>
    </row>
    <row r="24" spans="1:3" ht="24">
      <c r="A24" s="7" t="s">
        <v>31</v>
      </c>
      <c r="B24" s="7" t="s">
        <v>233</v>
      </c>
      <c r="C24" s="7" t="s">
        <v>263</v>
      </c>
    </row>
    <row r="25" spans="1:3" ht="24">
      <c r="A25" s="7" t="s">
        <v>32</v>
      </c>
      <c r="B25" s="7" t="s">
        <v>242</v>
      </c>
      <c r="C25" s="7" t="s">
        <v>264</v>
      </c>
    </row>
    <row r="26" spans="1:3" ht="24">
      <c r="A26" s="7" t="s">
        <v>33</v>
      </c>
      <c r="B26" s="7" t="s">
        <v>259</v>
      </c>
      <c r="C26" s="7" t="s">
        <v>265</v>
      </c>
    </row>
    <row r="27" spans="1:3" ht="24">
      <c r="A27" s="7" t="s">
        <v>34</v>
      </c>
      <c r="B27" s="7" t="s">
        <v>251</v>
      </c>
      <c r="C27" s="7" t="s">
        <v>266</v>
      </c>
    </row>
    <row r="28" spans="1:3" ht="24">
      <c r="A28" s="7" t="s">
        <v>35</v>
      </c>
      <c r="B28" s="7" t="s">
        <v>248</v>
      </c>
      <c r="C28" s="7" t="s">
        <v>267</v>
      </c>
    </row>
    <row r="29" spans="1:3" ht="24">
      <c r="A29" s="7" t="s">
        <v>36</v>
      </c>
      <c r="B29" s="7" t="s">
        <v>231</v>
      </c>
      <c r="C29" s="7" t="s">
        <v>268</v>
      </c>
    </row>
    <row r="30" spans="1:3" ht="48">
      <c r="A30" s="7" t="s">
        <v>37</v>
      </c>
      <c r="B30" s="7" t="s">
        <v>269</v>
      </c>
      <c r="C30" s="7" t="s">
        <v>270</v>
      </c>
    </row>
    <row r="31" spans="1:3" ht="24">
      <c r="A31" s="7" t="s">
        <v>38</v>
      </c>
      <c r="B31" s="7" t="s">
        <v>271</v>
      </c>
      <c r="C31" s="7" t="s">
        <v>272</v>
      </c>
    </row>
    <row r="32" spans="1:3" ht="48">
      <c r="A32" s="7" t="s">
        <v>39</v>
      </c>
      <c r="B32" s="7" t="s">
        <v>233</v>
      </c>
      <c r="C32" s="7" t="s">
        <v>273</v>
      </c>
    </row>
    <row r="33" spans="1:3" ht="24">
      <c r="A33" s="7" t="s">
        <v>40</v>
      </c>
      <c r="B33" s="7" t="s">
        <v>246</v>
      </c>
      <c r="C33" s="7" t="s">
        <v>274</v>
      </c>
    </row>
    <row r="34" spans="1:3" ht="24">
      <c r="A34" s="7" t="s">
        <v>41</v>
      </c>
      <c r="B34" s="7" t="s">
        <v>233</v>
      </c>
      <c r="C34" s="7" t="s">
        <v>275</v>
      </c>
    </row>
    <row r="35" spans="1:3" ht="24">
      <c r="A35" s="7" t="s">
        <v>42</v>
      </c>
      <c r="B35" s="7" t="s">
        <v>239</v>
      </c>
      <c r="C35" s="7" t="s">
        <v>276</v>
      </c>
    </row>
    <row r="36" spans="1:3" ht="48">
      <c r="A36" s="7" t="s">
        <v>43</v>
      </c>
      <c r="B36" s="7" t="s">
        <v>277</v>
      </c>
      <c r="C36" s="7" t="s">
        <v>278</v>
      </c>
    </row>
    <row r="37" spans="1:3" ht="24">
      <c r="A37" s="7" t="s">
        <v>44</v>
      </c>
      <c r="B37" s="7" t="s">
        <v>242</v>
      </c>
      <c r="C37" s="7" t="s">
        <v>279</v>
      </c>
    </row>
    <row r="38" spans="1:3" ht="24">
      <c r="A38" s="7" t="s">
        <v>45</v>
      </c>
      <c r="B38" s="7" t="s">
        <v>271</v>
      </c>
      <c r="C38" s="7" t="s">
        <v>280</v>
      </c>
    </row>
    <row r="39" spans="1:3" ht="24">
      <c r="A39" s="7" t="s">
        <v>46</v>
      </c>
      <c r="B39" s="7" t="s">
        <v>271</v>
      </c>
      <c r="C39" s="7" t="s">
        <v>281</v>
      </c>
    </row>
    <row r="40" spans="1:3" ht="24">
      <c r="A40" s="7" t="s">
        <v>47</v>
      </c>
      <c r="B40" s="7" t="s">
        <v>282</v>
      </c>
      <c r="C40" s="7" t="s">
        <v>283</v>
      </c>
    </row>
    <row r="41" spans="1:3" ht="24">
      <c r="A41" s="7" t="s">
        <v>48</v>
      </c>
      <c r="B41" s="7" t="s">
        <v>284</v>
      </c>
      <c r="C41" s="7" t="s">
        <v>285</v>
      </c>
    </row>
    <row r="42" spans="1:3" ht="24">
      <c r="A42" s="7" t="s">
        <v>49</v>
      </c>
      <c r="B42" s="7" t="s">
        <v>286</v>
      </c>
      <c r="C42" s="7" t="s">
        <v>49</v>
      </c>
    </row>
    <row r="43" spans="1:3" ht="24">
      <c r="A43" s="7" t="s">
        <v>50</v>
      </c>
      <c r="B43" s="7" t="s">
        <v>287</v>
      </c>
      <c r="C43" s="7" t="s">
        <v>288</v>
      </c>
    </row>
    <row r="44" spans="1:3" ht="24">
      <c r="A44" s="7" t="s">
        <v>51</v>
      </c>
      <c r="B44" s="7" t="s">
        <v>289</v>
      </c>
      <c r="C44" s="7" t="s">
        <v>290</v>
      </c>
    </row>
    <row r="45" spans="1:3" ht="24">
      <c r="A45" s="7" t="s">
        <v>52</v>
      </c>
      <c r="B45" s="7" t="s">
        <v>259</v>
      </c>
      <c r="C45" s="7" t="s">
        <v>291</v>
      </c>
    </row>
    <row r="46" spans="1:3" ht="24">
      <c r="A46" s="7" t="s">
        <v>53</v>
      </c>
      <c r="B46" s="7" t="s">
        <v>231</v>
      </c>
      <c r="C46" s="7" t="s">
        <v>292</v>
      </c>
    </row>
    <row r="47" spans="1:3" ht="24">
      <c r="A47" s="7" t="s">
        <v>54</v>
      </c>
      <c r="B47" s="7" t="s">
        <v>271</v>
      </c>
      <c r="C47" s="7" t="s">
        <v>293</v>
      </c>
    </row>
    <row r="48" spans="1:3" ht="24">
      <c r="A48" s="7" t="s">
        <v>55</v>
      </c>
      <c r="B48" s="7" t="s">
        <v>294</v>
      </c>
      <c r="C48" s="7" t="s">
        <v>295</v>
      </c>
    </row>
    <row r="49" spans="1:3" ht="24">
      <c r="A49" s="7" t="s">
        <v>56</v>
      </c>
      <c r="B49" s="7" t="s">
        <v>242</v>
      </c>
      <c r="C49" s="7" t="s">
        <v>296</v>
      </c>
    </row>
    <row r="50" spans="1:3" ht="24">
      <c r="A50" s="7" t="s">
        <v>57</v>
      </c>
      <c r="B50" s="7" t="s">
        <v>237</v>
      </c>
      <c r="C50" s="7" t="s">
        <v>297</v>
      </c>
    </row>
    <row r="51" spans="1:3" ht="24">
      <c r="A51" s="7" t="s">
        <v>58</v>
      </c>
      <c r="B51" s="7" t="s">
        <v>298</v>
      </c>
      <c r="C51" s="7" t="s">
        <v>299</v>
      </c>
    </row>
    <row r="52" spans="1:3" ht="24">
      <c r="A52" s="7" t="s">
        <v>59</v>
      </c>
      <c r="B52" s="7" t="s">
        <v>300</v>
      </c>
      <c r="C52" s="7" t="s">
        <v>301</v>
      </c>
    </row>
    <row r="53" spans="1:3" ht="24">
      <c r="A53" s="7" t="s">
        <v>60</v>
      </c>
      <c r="B53" s="7" t="s">
        <v>284</v>
      </c>
      <c r="C53" s="7" t="s">
        <v>302</v>
      </c>
    </row>
    <row r="54" spans="1:3" ht="24">
      <c r="A54" s="7" t="s">
        <v>61</v>
      </c>
      <c r="B54" s="7" t="s">
        <v>242</v>
      </c>
      <c r="C54" s="7" t="s">
        <v>303</v>
      </c>
    </row>
    <row r="55" spans="1:3" ht="24">
      <c r="A55" s="7" t="s">
        <v>62</v>
      </c>
      <c r="B55" s="7" t="s">
        <v>244</v>
      </c>
      <c r="C55" s="7" t="s">
        <v>304</v>
      </c>
    </row>
    <row r="56" spans="1:3" ht="24">
      <c r="A56" s="7" t="s">
        <v>63</v>
      </c>
      <c r="B56" s="7" t="s">
        <v>305</v>
      </c>
      <c r="C56" s="7" t="s">
        <v>306</v>
      </c>
    </row>
    <row r="57" spans="1:3" ht="24">
      <c r="A57" s="7" t="s">
        <v>64</v>
      </c>
      <c r="B57" s="7" t="s">
        <v>307</v>
      </c>
      <c r="C57" s="7" t="s">
        <v>308</v>
      </c>
    </row>
    <row r="58" spans="1:3" ht="48">
      <c r="A58" s="7" t="s">
        <v>65</v>
      </c>
      <c r="B58" s="7" t="s">
        <v>269</v>
      </c>
      <c r="C58" s="7" t="s">
        <v>309</v>
      </c>
    </row>
    <row r="59" spans="1:3" ht="24">
      <c r="A59" s="7" t="s">
        <v>66</v>
      </c>
      <c r="B59" s="7" t="s">
        <v>259</v>
      </c>
      <c r="C59" s="7" t="s">
        <v>310</v>
      </c>
    </row>
    <row r="60" spans="1:3" ht="48">
      <c r="A60" s="7" t="s">
        <v>67</v>
      </c>
      <c r="B60" s="7" t="s">
        <v>277</v>
      </c>
      <c r="C60" s="7" t="s">
        <v>311</v>
      </c>
    </row>
    <row r="61" spans="1:3" ht="24">
      <c r="A61" s="7" t="s">
        <v>68</v>
      </c>
      <c r="B61" s="7" t="s">
        <v>294</v>
      </c>
      <c r="C61" s="7" t="s">
        <v>312</v>
      </c>
    </row>
    <row r="62" spans="1:3" ht="48">
      <c r="A62" s="7" t="s">
        <v>69</v>
      </c>
      <c r="B62" s="7" t="s">
        <v>313</v>
      </c>
      <c r="C62" s="7" t="s">
        <v>314</v>
      </c>
    </row>
    <row r="63" spans="1:3" ht="24">
      <c r="A63" s="7" t="s">
        <v>70</v>
      </c>
      <c r="B63" s="7" t="s">
        <v>315</v>
      </c>
      <c r="C63" s="7" t="s">
        <v>316</v>
      </c>
    </row>
    <row r="64" spans="1:3" ht="24">
      <c r="A64" s="7" t="s">
        <v>71</v>
      </c>
      <c r="B64" s="7" t="s">
        <v>248</v>
      </c>
      <c r="C64" s="7" t="s">
        <v>317</v>
      </c>
    </row>
    <row r="65" spans="1:3" ht="48">
      <c r="A65" s="7" t="s">
        <v>72</v>
      </c>
      <c r="B65" s="7" t="s">
        <v>284</v>
      </c>
      <c r="C65" s="7" t="s">
        <v>318</v>
      </c>
    </row>
    <row r="66" spans="1:3" ht="24">
      <c r="A66" s="7" t="s">
        <v>73</v>
      </c>
      <c r="B66" s="7" t="s">
        <v>271</v>
      </c>
      <c r="C66" s="7" t="s">
        <v>319</v>
      </c>
    </row>
    <row r="67" spans="1:3" ht="24">
      <c r="A67" s="7" t="s">
        <v>74</v>
      </c>
      <c r="B67" s="7" t="s">
        <v>315</v>
      </c>
      <c r="C67" s="7" t="s">
        <v>320</v>
      </c>
    </row>
    <row r="68" spans="1:3" ht="24">
      <c r="A68" s="7" t="s">
        <v>75</v>
      </c>
      <c r="B68" s="7" t="s">
        <v>259</v>
      </c>
      <c r="C68" s="7" t="s">
        <v>321</v>
      </c>
    </row>
    <row r="69" spans="1:3" ht="24">
      <c r="A69" s="7" t="s">
        <v>76</v>
      </c>
      <c r="B69" s="7" t="s">
        <v>254</v>
      </c>
      <c r="C69" s="7" t="s">
        <v>322</v>
      </c>
    </row>
    <row r="70" spans="1:3" ht="24">
      <c r="A70" s="7" t="s">
        <v>77</v>
      </c>
      <c r="B70" s="7" t="s">
        <v>323</v>
      </c>
      <c r="C70" s="7" t="s">
        <v>324</v>
      </c>
    </row>
    <row r="71" spans="1:3" ht="24">
      <c r="A71" s="7" t="s">
        <v>78</v>
      </c>
      <c r="B71" s="7" t="s">
        <v>231</v>
      </c>
      <c r="C71" s="7" t="s">
        <v>325</v>
      </c>
    </row>
    <row r="72" spans="1:3" ht="24">
      <c r="A72" s="7" t="s">
        <v>79</v>
      </c>
      <c r="B72" s="7" t="s">
        <v>271</v>
      </c>
      <c r="C72" s="7" t="s">
        <v>326</v>
      </c>
    </row>
    <row r="73" spans="1:3" ht="24">
      <c r="A73" s="7" t="s">
        <v>80</v>
      </c>
      <c r="B73" s="7" t="s">
        <v>259</v>
      </c>
      <c r="C73" s="7" t="s">
        <v>327</v>
      </c>
    </row>
    <row r="74" spans="1:3" ht="24">
      <c r="A74" s="7" t="s">
        <v>81</v>
      </c>
      <c r="B74" s="7" t="s">
        <v>323</v>
      </c>
      <c r="C74" s="7" t="s">
        <v>328</v>
      </c>
    </row>
    <row r="75" spans="1:3" ht="24">
      <c r="A75" s="7" t="s">
        <v>82</v>
      </c>
      <c r="B75" s="7" t="s">
        <v>271</v>
      </c>
      <c r="C75" s="7" t="s">
        <v>329</v>
      </c>
    </row>
    <row r="76" spans="1:3" ht="24">
      <c r="A76" s="7" t="s">
        <v>83</v>
      </c>
      <c r="B76" s="7" t="s">
        <v>330</v>
      </c>
      <c r="C76" s="7" t="s">
        <v>331</v>
      </c>
    </row>
    <row r="77" spans="1:3" ht="48">
      <c r="A77" s="7" t="s">
        <v>84</v>
      </c>
      <c r="B77" s="7" t="s">
        <v>269</v>
      </c>
      <c r="C77" s="7" t="s">
        <v>332</v>
      </c>
    </row>
    <row r="78" spans="1:3" ht="24">
      <c r="A78" s="7" t="s">
        <v>85</v>
      </c>
      <c r="B78" s="7" t="s">
        <v>333</v>
      </c>
      <c r="C78" s="7" t="s">
        <v>334</v>
      </c>
    </row>
    <row r="79" spans="1:3" ht="24">
      <c r="A79" s="7" t="s">
        <v>86</v>
      </c>
      <c r="B79" s="7" t="s">
        <v>284</v>
      </c>
      <c r="C79" s="7" t="s">
        <v>335</v>
      </c>
    </row>
    <row r="80" spans="1:3" ht="48">
      <c r="A80" s="7" t="s">
        <v>87</v>
      </c>
      <c r="B80" s="7" t="s">
        <v>284</v>
      </c>
      <c r="C80" s="7" t="s">
        <v>336</v>
      </c>
    </row>
    <row r="81" spans="1:3" ht="24">
      <c r="A81" s="7" t="s">
        <v>88</v>
      </c>
      <c r="B81" s="7" t="s">
        <v>337</v>
      </c>
      <c r="C81" s="7" t="s">
        <v>338</v>
      </c>
    </row>
    <row r="82" spans="1:3" ht="24">
      <c r="A82" s="7" t="s">
        <v>89</v>
      </c>
      <c r="B82" s="7" t="s">
        <v>254</v>
      </c>
      <c r="C82" s="7" t="s">
        <v>339</v>
      </c>
    </row>
    <row r="83" spans="1:3" ht="24">
      <c r="A83" s="7" t="s">
        <v>90</v>
      </c>
      <c r="B83" s="7" t="s">
        <v>254</v>
      </c>
      <c r="C83" s="7" t="s">
        <v>340</v>
      </c>
    </row>
    <row r="84" spans="1:3" ht="48">
      <c r="A84" s="7" t="s">
        <v>91</v>
      </c>
      <c r="B84" s="7" t="s">
        <v>269</v>
      </c>
      <c r="C84" s="7" t="s">
        <v>341</v>
      </c>
    </row>
    <row r="85" spans="1:3" ht="24">
      <c r="A85" s="7" t="s">
        <v>92</v>
      </c>
      <c r="B85" s="7" t="s">
        <v>287</v>
      </c>
      <c r="C85" s="7" t="s">
        <v>342</v>
      </c>
    </row>
    <row r="86" spans="1:3" ht="48">
      <c r="A86" s="7" t="s">
        <v>94</v>
      </c>
      <c r="B86" s="7" t="s">
        <v>277</v>
      </c>
      <c r="C86" s="7" t="s">
        <v>343</v>
      </c>
    </row>
    <row r="87" spans="1:3" ht="24">
      <c r="A87" s="7" t="s">
        <v>95</v>
      </c>
      <c r="B87" s="7" t="s">
        <v>259</v>
      </c>
      <c r="C87" s="7" t="s">
        <v>344</v>
      </c>
    </row>
    <row r="88" spans="1:3" ht="24">
      <c r="A88" s="7" t="s">
        <v>96</v>
      </c>
      <c r="B88" s="7" t="s">
        <v>289</v>
      </c>
      <c r="C88" s="7" t="s">
        <v>345</v>
      </c>
    </row>
    <row r="89" spans="1:3" ht="24">
      <c r="A89" s="7" t="s">
        <v>97</v>
      </c>
      <c r="B89" s="7" t="s">
        <v>254</v>
      </c>
      <c r="C89" s="7" t="s">
        <v>346</v>
      </c>
    </row>
    <row r="90" spans="1:3" ht="24">
      <c r="A90" s="7" t="s">
        <v>98</v>
      </c>
      <c r="B90" s="7" t="s">
        <v>237</v>
      </c>
      <c r="C90" s="7" t="s">
        <v>347</v>
      </c>
    </row>
    <row r="91" spans="1:3" ht="24">
      <c r="A91" s="7" t="s">
        <v>99</v>
      </c>
      <c r="B91" s="7" t="s">
        <v>348</v>
      </c>
      <c r="C91" s="7" t="s">
        <v>349</v>
      </c>
    </row>
    <row r="92" spans="1:3" ht="24">
      <c r="A92" s="7" t="s">
        <v>100</v>
      </c>
      <c r="B92" s="7" t="s">
        <v>271</v>
      </c>
      <c r="C92" s="7" t="s">
        <v>350</v>
      </c>
    </row>
    <row r="93" spans="1:3" ht="24">
      <c r="A93" s="7" t="s">
        <v>101</v>
      </c>
      <c r="B93" s="7" t="s">
        <v>254</v>
      </c>
      <c r="C93" s="7" t="s">
        <v>351</v>
      </c>
    </row>
    <row r="94" spans="1:3" ht="24">
      <c r="A94" s="7" t="s">
        <v>102</v>
      </c>
      <c r="B94" s="7" t="s">
        <v>254</v>
      </c>
      <c r="C94" s="7" t="s">
        <v>352</v>
      </c>
    </row>
    <row r="95" spans="1:3" ht="24">
      <c r="A95" s="7" t="s">
        <v>103</v>
      </c>
      <c r="B95" s="7" t="s">
        <v>259</v>
      </c>
      <c r="C95" s="7" t="s">
        <v>353</v>
      </c>
    </row>
    <row r="96" spans="1:3" ht="24">
      <c r="A96" s="7" t="s">
        <v>104</v>
      </c>
      <c r="B96" s="7" t="s">
        <v>271</v>
      </c>
      <c r="C96" s="7" t="s">
        <v>354</v>
      </c>
    </row>
    <row r="97" spans="1:3" ht="24">
      <c r="A97" s="7" t="s">
        <v>105</v>
      </c>
      <c r="B97" s="7" t="s">
        <v>271</v>
      </c>
      <c r="C97" s="7" t="s">
        <v>355</v>
      </c>
    </row>
    <row r="98" spans="1:3" ht="24">
      <c r="A98" s="7" t="s">
        <v>106</v>
      </c>
      <c r="B98" s="7" t="s">
        <v>231</v>
      </c>
      <c r="C98" s="7" t="s">
        <v>356</v>
      </c>
    </row>
    <row r="99" spans="1:3" ht="24">
      <c r="A99" s="7" t="s">
        <v>107</v>
      </c>
      <c r="B99" s="7" t="s">
        <v>357</v>
      </c>
      <c r="C99" s="7" t="s">
        <v>358</v>
      </c>
    </row>
    <row r="100" spans="1:3" ht="24">
      <c r="A100" s="7" t="s">
        <v>108</v>
      </c>
      <c r="B100" s="7" t="s">
        <v>271</v>
      </c>
      <c r="C100" s="7" t="s">
        <v>359</v>
      </c>
    </row>
    <row r="101" spans="1:3" ht="24">
      <c r="A101" s="7" t="s">
        <v>109</v>
      </c>
      <c r="B101" s="7" t="s">
        <v>231</v>
      </c>
      <c r="C101" s="7" t="s">
        <v>360</v>
      </c>
    </row>
    <row r="102" spans="1:3" ht="24">
      <c r="A102" s="7" t="s">
        <v>110</v>
      </c>
      <c r="B102" s="7" t="s">
        <v>271</v>
      </c>
      <c r="C102" s="7" t="s">
        <v>110</v>
      </c>
    </row>
    <row r="103" spans="1:3" ht="48">
      <c r="A103" s="7" t="s">
        <v>111</v>
      </c>
      <c r="B103" s="7" t="s">
        <v>277</v>
      </c>
      <c r="C103" s="7" t="s">
        <v>361</v>
      </c>
    </row>
    <row r="104" spans="1:3" ht="24">
      <c r="A104" s="7" t="s">
        <v>112</v>
      </c>
      <c r="B104" s="7" t="s">
        <v>362</v>
      </c>
      <c r="C104" s="7" t="s">
        <v>363</v>
      </c>
    </row>
    <row r="105" spans="1:3" ht="48">
      <c r="A105" s="7" t="s">
        <v>113</v>
      </c>
      <c r="B105" s="7" t="s">
        <v>269</v>
      </c>
      <c r="C105" s="7" t="s">
        <v>364</v>
      </c>
    </row>
    <row r="106" spans="1:3" ht="24">
      <c r="A106" s="7" t="s">
        <v>114</v>
      </c>
      <c r="B106" s="7" t="s">
        <v>271</v>
      </c>
      <c r="C106" s="7" t="s">
        <v>365</v>
      </c>
    </row>
    <row r="107" spans="1:3" ht="24">
      <c r="A107" s="7" t="s">
        <v>115</v>
      </c>
      <c r="B107" s="7" t="s">
        <v>298</v>
      </c>
      <c r="C107" s="7" t="s">
        <v>366</v>
      </c>
    </row>
    <row r="108" spans="1:3" ht="48">
      <c r="A108" s="7" t="s">
        <v>116</v>
      </c>
      <c r="B108" s="7" t="s">
        <v>269</v>
      </c>
      <c r="C108" s="7" t="s">
        <v>367</v>
      </c>
    </row>
    <row r="109" spans="1:3" ht="24">
      <c r="A109" s="7" t="s">
        <v>117</v>
      </c>
      <c r="B109" s="7" t="s">
        <v>254</v>
      </c>
      <c r="C109" s="7" t="s">
        <v>368</v>
      </c>
    </row>
    <row r="110" spans="1:3" ht="24">
      <c r="A110" s="7" t="s">
        <v>118</v>
      </c>
      <c r="B110" s="7" t="s">
        <v>231</v>
      </c>
      <c r="C110" s="7" t="s">
        <v>369</v>
      </c>
    </row>
    <row r="111" spans="1:3" ht="24">
      <c r="A111" s="7" t="s">
        <v>119</v>
      </c>
      <c r="B111" s="7" t="s">
        <v>254</v>
      </c>
      <c r="C111" s="7" t="s">
        <v>370</v>
      </c>
    </row>
    <row r="112" spans="1:3" ht="24">
      <c r="A112" s="7" t="s">
        <v>120</v>
      </c>
      <c r="B112" s="7" t="s">
        <v>244</v>
      </c>
      <c r="C112" s="7" t="s">
        <v>371</v>
      </c>
    </row>
    <row r="113" spans="1:3" ht="24">
      <c r="A113" s="7" t="s">
        <v>121</v>
      </c>
      <c r="B113" s="7" t="s">
        <v>307</v>
      </c>
      <c r="C113" s="7" t="s">
        <v>372</v>
      </c>
    </row>
    <row r="114" spans="1:3" ht="24">
      <c r="A114" s="7" t="s">
        <v>122</v>
      </c>
      <c r="B114" s="7" t="s">
        <v>337</v>
      </c>
      <c r="C114" s="7" t="s">
        <v>373</v>
      </c>
    </row>
    <row r="115" spans="1:3" ht="24">
      <c r="A115" s="7" t="s">
        <v>123</v>
      </c>
      <c r="B115" s="7" t="s">
        <v>300</v>
      </c>
      <c r="C115" s="7" t="s">
        <v>374</v>
      </c>
    </row>
    <row r="116" spans="1:3" ht="48">
      <c r="A116" s="7" t="s">
        <v>124</v>
      </c>
      <c r="B116" s="7" t="s">
        <v>277</v>
      </c>
      <c r="C116" s="7" t="s">
        <v>375</v>
      </c>
    </row>
    <row r="117" spans="1:3" ht="24">
      <c r="A117" s="7" t="s">
        <v>125</v>
      </c>
      <c r="B117" s="7" t="s">
        <v>271</v>
      </c>
      <c r="C117" s="7" t="s">
        <v>376</v>
      </c>
    </row>
    <row r="118" spans="1:3" ht="24">
      <c r="A118" s="7" t="s">
        <v>126</v>
      </c>
      <c r="B118" s="7" t="s">
        <v>254</v>
      </c>
      <c r="C118" s="7" t="s">
        <v>377</v>
      </c>
    </row>
    <row r="119" spans="1:3" ht="24">
      <c r="A119" s="7" t="s">
        <v>127</v>
      </c>
      <c r="B119" s="7" t="s">
        <v>235</v>
      </c>
      <c r="C119" s="7" t="s">
        <v>378</v>
      </c>
    </row>
    <row r="120" spans="1:3" ht="24">
      <c r="A120" s="7" t="s">
        <v>128</v>
      </c>
      <c r="B120" s="7" t="s">
        <v>315</v>
      </c>
      <c r="C120" s="7" t="s">
        <v>379</v>
      </c>
    </row>
    <row r="121" spans="1:3" ht="48">
      <c r="A121" s="7" t="s">
        <v>129</v>
      </c>
      <c r="B121" s="7" t="s">
        <v>237</v>
      </c>
      <c r="C121" s="7" t="s">
        <v>380</v>
      </c>
    </row>
    <row r="122" spans="1:3" ht="24">
      <c r="A122" s="7" t="s">
        <v>130</v>
      </c>
      <c r="B122" s="7" t="s">
        <v>337</v>
      </c>
      <c r="C122" s="7" t="s">
        <v>381</v>
      </c>
    </row>
    <row r="123" spans="1:3" ht="24">
      <c r="A123" s="7" t="s">
        <v>131</v>
      </c>
      <c r="B123" s="7" t="s">
        <v>348</v>
      </c>
      <c r="C123" s="7" t="s">
        <v>382</v>
      </c>
    </row>
    <row r="124" spans="1:3" ht="48">
      <c r="A124" s="7" t="s">
        <v>132</v>
      </c>
      <c r="B124" s="7" t="s">
        <v>383</v>
      </c>
      <c r="C124" s="7" t="s">
        <v>384</v>
      </c>
    </row>
    <row r="125" spans="1:3" ht="24">
      <c r="A125" s="7" t="s">
        <v>133</v>
      </c>
      <c r="B125" s="7" t="s">
        <v>282</v>
      </c>
      <c r="C125" s="7" t="s">
        <v>385</v>
      </c>
    </row>
    <row r="126" spans="1:3" ht="24">
      <c r="A126" s="7" t="s">
        <v>134</v>
      </c>
      <c r="B126" s="7" t="s">
        <v>259</v>
      </c>
      <c r="C126" s="7" t="s">
        <v>386</v>
      </c>
    </row>
    <row r="127" spans="1:3" ht="24">
      <c r="A127" s="7" t="s">
        <v>135</v>
      </c>
      <c r="B127" s="7" t="s">
        <v>231</v>
      </c>
      <c r="C127" s="7" t="s">
        <v>387</v>
      </c>
    </row>
    <row r="128" spans="1:3" ht="24">
      <c r="A128" s="7" t="s">
        <v>136</v>
      </c>
      <c r="B128" s="7" t="s">
        <v>337</v>
      </c>
      <c r="C128" s="7" t="s">
        <v>388</v>
      </c>
    </row>
    <row r="129" spans="1:3" ht="24">
      <c r="A129" s="7" t="s">
        <v>137</v>
      </c>
      <c r="B129" s="7" t="s">
        <v>287</v>
      </c>
      <c r="C129" s="7" t="s">
        <v>389</v>
      </c>
    </row>
    <row r="130" spans="1:3" ht="24">
      <c r="A130" s="7" t="s">
        <v>138</v>
      </c>
      <c r="B130" s="7" t="s">
        <v>259</v>
      </c>
      <c r="C130" s="7" t="s">
        <v>390</v>
      </c>
    </row>
    <row r="131" spans="1:3" ht="24">
      <c r="A131" s="7" t="s">
        <v>139</v>
      </c>
      <c r="B131" s="7" t="s">
        <v>391</v>
      </c>
      <c r="C131" s="7" t="s">
        <v>392</v>
      </c>
    </row>
    <row r="132" spans="1:3" ht="24">
      <c r="A132" s="7" t="s">
        <v>140</v>
      </c>
      <c r="B132" s="7" t="s">
        <v>231</v>
      </c>
      <c r="C132" s="7" t="s">
        <v>393</v>
      </c>
    </row>
    <row r="133" spans="1:3" ht="24">
      <c r="A133" s="7" t="s">
        <v>141</v>
      </c>
      <c r="B133" s="7" t="s">
        <v>231</v>
      </c>
      <c r="C133" s="7" t="s">
        <v>394</v>
      </c>
    </row>
    <row r="134" spans="1:3" ht="24">
      <c r="A134" s="7" t="s">
        <v>142</v>
      </c>
      <c r="B134" s="7" t="s">
        <v>289</v>
      </c>
      <c r="C134" s="7" t="s">
        <v>395</v>
      </c>
    </row>
    <row r="135" spans="1:3" ht="24">
      <c r="A135" s="7" t="s">
        <v>143</v>
      </c>
      <c r="B135" s="7" t="s">
        <v>337</v>
      </c>
      <c r="C135" s="7" t="s">
        <v>396</v>
      </c>
    </row>
    <row r="136" spans="1:3" ht="24">
      <c r="A136" s="7" t="s">
        <v>144</v>
      </c>
      <c r="B136" s="7" t="s">
        <v>235</v>
      </c>
      <c r="C136" s="7" t="s">
        <v>397</v>
      </c>
    </row>
    <row r="137" spans="1:3" ht="48">
      <c r="A137" s="7" t="s">
        <v>145</v>
      </c>
      <c r="B137" s="7" t="s">
        <v>269</v>
      </c>
      <c r="C137" s="7" t="s">
        <v>398</v>
      </c>
    </row>
    <row r="138" spans="1:3" ht="24">
      <c r="A138" s="7" t="s">
        <v>146</v>
      </c>
      <c r="B138" s="7" t="s">
        <v>399</v>
      </c>
      <c r="C138" s="7" t="s">
        <v>400</v>
      </c>
    </row>
    <row r="139" spans="1:3" ht="24">
      <c r="A139" s="7" t="s">
        <v>147</v>
      </c>
      <c r="B139" s="7" t="s">
        <v>401</v>
      </c>
      <c r="C139" s="7" t="s">
        <v>402</v>
      </c>
    </row>
    <row r="140" spans="1:3" ht="48">
      <c r="A140" s="7" t="s">
        <v>148</v>
      </c>
      <c r="B140" s="7" t="s">
        <v>305</v>
      </c>
      <c r="C140" s="7" t="s">
        <v>403</v>
      </c>
    </row>
    <row r="141" spans="1:3" ht="24">
      <c r="A141" s="7" t="s">
        <v>149</v>
      </c>
      <c r="B141" s="7" t="s">
        <v>284</v>
      </c>
      <c r="C141" s="7" t="s">
        <v>404</v>
      </c>
    </row>
    <row r="142" spans="1:3" ht="24">
      <c r="A142" s="7" t="s">
        <v>150</v>
      </c>
      <c r="B142" s="7" t="s">
        <v>251</v>
      </c>
      <c r="C142" s="7" t="s">
        <v>405</v>
      </c>
    </row>
    <row r="143" spans="1:3" ht="24">
      <c r="A143" s="7" t="s">
        <v>151</v>
      </c>
      <c r="B143" s="7" t="s">
        <v>259</v>
      </c>
      <c r="C143" s="7" t="s">
        <v>406</v>
      </c>
    </row>
    <row r="144" spans="1:3" ht="24">
      <c r="A144" s="7" t="s">
        <v>152</v>
      </c>
      <c r="B144" s="7" t="s">
        <v>259</v>
      </c>
      <c r="C144" s="7" t="s">
        <v>407</v>
      </c>
    </row>
    <row r="145" spans="1:3" ht="24">
      <c r="A145" s="7" t="s">
        <v>153</v>
      </c>
      <c r="B145" s="7" t="s">
        <v>271</v>
      </c>
      <c r="C145" s="7" t="s">
        <v>408</v>
      </c>
    </row>
    <row r="146" spans="1:3" ht="24">
      <c r="A146" s="7" t="s">
        <v>154</v>
      </c>
      <c r="B146" s="7" t="s">
        <v>348</v>
      </c>
      <c r="C146" s="7" t="s">
        <v>409</v>
      </c>
    </row>
    <row r="147" spans="1:3" ht="24">
      <c r="A147" s="7" t="s">
        <v>155</v>
      </c>
      <c r="B147" s="7" t="s">
        <v>254</v>
      </c>
      <c r="C147" s="7" t="s">
        <v>410</v>
      </c>
    </row>
    <row r="148" spans="1:3" ht="24">
      <c r="A148" s="7" t="s">
        <v>156</v>
      </c>
      <c r="B148" s="7" t="s">
        <v>284</v>
      </c>
      <c r="C148" s="7" t="s">
        <v>411</v>
      </c>
    </row>
    <row r="149" spans="1:3" ht="24">
      <c r="A149" s="7" t="s">
        <v>157</v>
      </c>
      <c r="B149" s="7" t="s">
        <v>254</v>
      </c>
      <c r="C149" s="7" t="s">
        <v>412</v>
      </c>
    </row>
    <row r="150" spans="1:3" ht="24">
      <c r="A150" s="7" t="s">
        <v>158</v>
      </c>
      <c r="B150" s="7" t="s">
        <v>231</v>
      </c>
      <c r="C150" s="7" t="s">
        <v>413</v>
      </c>
    </row>
    <row r="151" spans="1:3" ht="24">
      <c r="A151" s="7" t="s">
        <v>159</v>
      </c>
      <c r="B151" s="7" t="s">
        <v>231</v>
      </c>
      <c r="C151" s="7" t="s">
        <v>414</v>
      </c>
    </row>
    <row r="152" spans="1:3" ht="24">
      <c r="A152" s="7" t="s">
        <v>160</v>
      </c>
      <c r="B152" s="7" t="s">
        <v>259</v>
      </c>
      <c r="C152" s="7" t="s">
        <v>415</v>
      </c>
    </row>
    <row r="153" spans="1:3" ht="24">
      <c r="A153" s="7" t="s">
        <v>161</v>
      </c>
      <c r="B153" s="7"/>
      <c r="C153" s="7" t="s">
        <v>416</v>
      </c>
    </row>
    <row r="154" spans="1:3" ht="24">
      <c r="A154" s="7" t="s">
        <v>162</v>
      </c>
      <c r="B154" s="7" t="s">
        <v>399</v>
      </c>
      <c r="C154" s="7" t="s">
        <v>417</v>
      </c>
    </row>
    <row r="155" spans="1:3" ht="24">
      <c r="A155" s="7" t="s">
        <v>163</v>
      </c>
      <c r="B155" s="7" t="s">
        <v>284</v>
      </c>
      <c r="C155" s="7" t="s">
        <v>418</v>
      </c>
    </row>
    <row r="156" spans="1:3" ht="24">
      <c r="A156" s="7" t="s">
        <v>164</v>
      </c>
      <c r="B156" s="7" t="s">
        <v>419</v>
      </c>
      <c r="C156" s="7" t="s">
        <v>420</v>
      </c>
    </row>
    <row r="157" spans="1:3" ht="24">
      <c r="A157" s="7" t="s">
        <v>165</v>
      </c>
      <c r="B157" s="7"/>
      <c r="C157" s="7" t="s">
        <v>421</v>
      </c>
    </row>
    <row r="158" spans="1:3" ht="48">
      <c r="A158" s="7" t="s">
        <v>166</v>
      </c>
      <c r="B158" s="7" t="s">
        <v>422</v>
      </c>
      <c r="C158" s="7" t="s">
        <v>423</v>
      </c>
    </row>
    <row r="159" spans="1:3" ht="24">
      <c r="A159" s="7" t="s">
        <v>167</v>
      </c>
      <c r="B159" s="7" t="s">
        <v>242</v>
      </c>
      <c r="C159" s="7" t="s">
        <v>424</v>
      </c>
    </row>
    <row r="160" spans="1:3" ht="48">
      <c r="A160" s="7" t="s">
        <v>168</v>
      </c>
      <c r="B160" s="7"/>
      <c r="C160" s="7" t="s">
        <v>425</v>
      </c>
    </row>
    <row r="161" spans="1:3" ht="24">
      <c r="A161" s="7" t="s">
        <v>169</v>
      </c>
      <c r="B161" s="7" t="s">
        <v>307</v>
      </c>
      <c r="C161" s="7" t="s">
        <v>426</v>
      </c>
    </row>
    <row r="162" spans="1:3" ht="24">
      <c r="A162" s="7" t="s">
        <v>170</v>
      </c>
      <c r="B162" s="7" t="s">
        <v>289</v>
      </c>
      <c r="C162" s="7" t="s">
        <v>427</v>
      </c>
    </row>
    <row r="163" spans="1:3" ht="48">
      <c r="A163" s="7" t="s">
        <v>171</v>
      </c>
      <c r="B163" s="7" t="s">
        <v>254</v>
      </c>
      <c r="C163" s="7" t="s">
        <v>428</v>
      </c>
    </row>
    <row r="164" spans="1:3" ht="24">
      <c r="A164" s="7" t="s">
        <v>172</v>
      </c>
      <c r="B164" s="7" t="s">
        <v>259</v>
      </c>
      <c r="C164" s="7" t="s">
        <v>429</v>
      </c>
    </row>
    <row r="165" spans="1:3" ht="24">
      <c r="A165" s="7" t="s">
        <v>173</v>
      </c>
      <c r="B165" s="7" t="s">
        <v>259</v>
      </c>
      <c r="C165" s="7" t="s">
        <v>430</v>
      </c>
    </row>
    <row r="166" spans="1:3" ht="24">
      <c r="A166" s="7" t="s">
        <v>174</v>
      </c>
      <c r="B166" s="7" t="s">
        <v>287</v>
      </c>
      <c r="C166" s="7" t="s">
        <v>431</v>
      </c>
    </row>
    <row r="167" spans="1:3" ht="48">
      <c r="A167" s="7" t="s">
        <v>175</v>
      </c>
      <c r="B167" s="7" t="s">
        <v>269</v>
      </c>
      <c r="C167" s="7" t="s">
        <v>432</v>
      </c>
    </row>
    <row r="168" spans="1:3" ht="24">
      <c r="A168" s="7" t="s">
        <v>176</v>
      </c>
      <c r="B168" s="7" t="s">
        <v>300</v>
      </c>
      <c r="C168" s="7" t="s">
        <v>433</v>
      </c>
    </row>
    <row r="169" spans="1:3" ht="24">
      <c r="A169" s="7" t="s">
        <v>177</v>
      </c>
      <c r="B169" s="7" t="s">
        <v>259</v>
      </c>
      <c r="C169" s="7" t="s">
        <v>434</v>
      </c>
    </row>
    <row r="170" spans="1:3" ht="24">
      <c r="A170" s="7" t="s">
        <v>178</v>
      </c>
      <c r="B170" s="7" t="s">
        <v>287</v>
      </c>
      <c r="C170" s="7" t="s">
        <v>435</v>
      </c>
    </row>
    <row r="171" spans="1:3" ht="24">
      <c r="A171" s="7" t="s">
        <v>179</v>
      </c>
      <c r="B171" s="7" t="s">
        <v>287</v>
      </c>
      <c r="C171" s="7" t="s">
        <v>436</v>
      </c>
    </row>
    <row r="172" spans="1:3" ht="24">
      <c r="A172" s="7" t="s">
        <v>180</v>
      </c>
      <c r="B172" s="7" t="s">
        <v>287</v>
      </c>
      <c r="C172" s="7" t="s">
        <v>437</v>
      </c>
    </row>
    <row r="173" spans="1:3" ht="24">
      <c r="A173" s="7" t="s">
        <v>181</v>
      </c>
      <c r="B173" s="7" t="s">
        <v>287</v>
      </c>
      <c r="C173" s="7" t="s">
        <v>438</v>
      </c>
    </row>
    <row r="174" spans="1:3" ht="24">
      <c r="A174" s="7" t="s">
        <v>182</v>
      </c>
      <c r="B174" s="7" t="s">
        <v>251</v>
      </c>
      <c r="C174" s="7" t="s">
        <v>439</v>
      </c>
    </row>
    <row r="175" spans="1:3" ht="24">
      <c r="A175" s="7" t="s">
        <v>183</v>
      </c>
      <c r="B175" s="7" t="s">
        <v>231</v>
      </c>
      <c r="C175" s="7" t="s">
        <v>440</v>
      </c>
    </row>
    <row r="176" spans="1:3" ht="24">
      <c r="A176" s="7" t="s">
        <v>184</v>
      </c>
      <c r="B176" s="7" t="s">
        <v>441</v>
      </c>
      <c r="C176" s="7" t="s">
        <v>442</v>
      </c>
    </row>
    <row r="177" spans="1:3" ht="48">
      <c r="A177" s="7" t="s">
        <v>185</v>
      </c>
      <c r="B177" s="7"/>
      <c r="C177" s="7" t="s">
        <v>443</v>
      </c>
    </row>
    <row r="178" spans="1:3" ht="24">
      <c r="A178" s="7" t="s">
        <v>186</v>
      </c>
      <c r="B178" s="7" t="s">
        <v>337</v>
      </c>
      <c r="C178" s="7" t="s">
        <v>444</v>
      </c>
    </row>
    <row r="179" spans="1:3" ht="24">
      <c r="A179" s="7" t="s">
        <v>187</v>
      </c>
      <c r="B179" s="7" t="s">
        <v>256</v>
      </c>
      <c r="C179" s="7" t="s">
        <v>445</v>
      </c>
    </row>
    <row r="180" spans="1:3" ht="24">
      <c r="A180" s="7" t="s">
        <v>188</v>
      </c>
      <c r="B180" s="7" t="s">
        <v>251</v>
      </c>
      <c r="C180" s="7" t="s">
        <v>446</v>
      </c>
    </row>
    <row r="181" spans="1:3" ht="48">
      <c r="A181" s="7" t="s">
        <v>189</v>
      </c>
      <c r="B181" s="7" t="s">
        <v>256</v>
      </c>
      <c r="C181" s="7" t="s">
        <v>447</v>
      </c>
    </row>
    <row r="182" spans="1:3" ht="24">
      <c r="A182" s="7" t="s">
        <v>190</v>
      </c>
      <c r="B182" s="7" t="s">
        <v>244</v>
      </c>
      <c r="C182" s="7" t="s">
        <v>448</v>
      </c>
    </row>
    <row r="183" spans="1:3" ht="48">
      <c r="A183" s="7" t="s">
        <v>191</v>
      </c>
      <c r="B183" s="7" t="s">
        <v>244</v>
      </c>
      <c r="C183" s="7" t="s">
        <v>449</v>
      </c>
    </row>
    <row r="184" spans="1:3" ht="24">
      <c r="A184" s="7" t="s">
        <v>192</v>
      </c>
      <c r="B184" s="7" t="s">
        <v>298</v>
      </c>
      <c r="C184" s="7" t="s">
        <v>450</v>
      </c>
    </row>
    <row r="185" spans="1:3" ht="24">
      <c r="A185" s="7" t="s">
        <v>193</v>
      </c>
      <c r="B185" s="7" t="s">
        <v>254</v>
      </c>
      <c r="C185" s="7" t="s">
        <v>451</v>
      </c>
    </row>
    <row r="186" spans="1:3" ht="24">
      <c r="A186" s="7" t="s">
        <v>194</v>
      </c>
      <c r="B186" s="7" t="s">
        <v>239</v>
      </c>
      <c r="C186" s="7" t="s">
        <v>452</v>
      </c>
    </row>
    <row r="187" spans="1:3" ht="48">
      <c r="A187" s="7" t="s">
        <v>195</v>
      </c>
      <c r="B187" s="7" t="s">
        <v>269</v>
      </c>
      <c r="C187" s="7" t="s">
        <v>453</v>
      </c>
    </row>
    <row r="188" spans="1:3" ht="24">
      <c r="A188" s="7" t="s">
        <v>196</v>
      </c>
      <c r="B188" s="7"/>
      <c r="C188" s="7" t="s">
        <v>454</v>
      </c>
    </row>
    <row r="189" spans="1:3" ht="24">
      <c r="A189" s="7" t="s">
        <v>197</v>
      </c>
      <c r="B189" s="7" t="s">
        <v>271</v>
      </c>
      <c r="C189" s="7" t="s">
        <v>455</v>
      </c>
    </row>
    <row r="190" spans="1:3" ht="24">
      <c r="A190" s="7" t="s">
        <v>198</v>
      </c>
      <c r="B190" s="7" t="s">
        <v>287</v>
      </c>
      <c r="C190" s="7" t="s">
        <v>456</v>
      </c>
    </row>
    <row r="191" spans="1:3" ht="24">
      <c r="A191" s="7" t="s">
        <v>199</v>
      </c>
      <c r="B191" s="7" t="s">
        <v>259</v>
      </c>
      <c r="C191" s="7" t="s">
        <v>457</v>
      </c>
    </row>
    <row r="192" spans="1:3" ht="48">
      <c r="A192" s="7" t="s">
        <v>200</v>
      </c>
      <c r="B192" s="7" t="s">
        <v>269</v>
      </c>
      <c r="C192" s="7" t="s">
        <v>458</v>
      </c>
    </row>
    <row r="193" spans="1:3" ht="24">
      <c r="A193" s="7" t="s">
        <v>201</v>
      </c>
      <c r="B193" s="7" t="s">
        <v>419</v>
      </c>
      <c r="C193" s="7" t="s">
        <v>459</v>
      </c>
    </row>
    <row r="194" spans="1:3" ht="24">
      <c r="A194" s="7" t="s">
        <v>202</v>
      </c>
      <c r="B194" s="7" t="s">
        <v>244</v>
      </c>
      <c r="C194" s="7" t="s">
        <v>460</v>
      </c>
    </row>
    <row r="195" spans="1:3" ht="24">
      <c r="A195" s="7" t="s">
        <v>203</v>
      </c>
      <c r="B195" s="7" t="s">
        <v>254</v>
      </c>
      <c r="C195" s="7" t="s">
        <v>461</v>
      </c>
    </row>
    <row r="196" spans="1:3" ht="24">
      <c r="A196" s="7" t="s">
        <v>204</v>
      </c>
      <c r="B196" s="7" t="s">
        <v>271</v>
      </c>
      <c r="C196" s="7" t="s">
        <v>462</v>
      </c>
    </row>
    <row r="197" spans="1:3" ht="24">
      <c r="A197" s="7" t="s">
        <v>205</v>
      </c>
      <c r="B197" s="7" t="s">
        <v>259</v>
      </c>
      <c r="C197" s="7" t="s">
        <v>463</v>
      </c>
    </row>
    <row r="198" spans="1:3" ht="24">
      <c r="A198" s="7" t="s">
        <v>206</v>
      </c>
      <c r="B198" s="7" t="s">
        <v>259</v>
      </c>
      <c r="C198" s="7" t="s">
        <v>464</v>
      </c>
    </row>
    <row r="199" spans="1:3" ht="24">
      <c r="A199" s="7" t="s">
        <v>207</v>
      </c>
      <c r="B199" s="7" t="s">
        <v>282</v>
      </c>
      <c r="C199" s="7" t="s">
        <v>465</v>
      </c>
    </row>
    <row r="200" spans="1:3" ht="24">
      <c r="A200" s="7" t="s">
        <v>208</v>
      </c>
      <c r="B200" s="7" t="s">
        <v>399</v>
      </c>
      <c r="C200" s="7" t="s">
        <v>466</v>
      </c>
    </row>
    <row r="201" spans="1:3" ht="24">
      <c r="A201" s="7" t="s">
        <v>209</v>
      </c>
      <c r="B201" s="7" t="s">
        <v>307</v>
      </c>
      <c r="C201" s="7" t="s">
        <v>467</v>
      </c>
    </row>
    <row r="202" spans="1:3" ht="24">
      <c r="A202" s="7" t="s">
        <v>210</v>
      </c>
      <c r="B202" s="7" t="s">
        <v>399</v>
      </c>
      <c r="C202" s="7" t="s">
        <v>468</v>
      </c>
    </row>
    <row r="203" spans="1:3" ht="24">
      <c r="A203" s="7" t="s">
        <v>211</v>
      </c>
      <c r="B203" s="7" t="s">
        <v>254</v>
      </c>
      <c r="C203" s="7" t="s">
        <v>469</v>
      </c>
    </row>
    <row r="204" spans="1:3" ht="24">
      <c r="A204" s="7" t="s">
        <v>212</v>
      </c>
      <c r="B204" s="7" t="s">
        <v>248</v>
      </c>
      <c r="C204" s="7" t="s">
        <v>212</v>
      </c>
    </row>
    <row r="205" spans="1:3" ht="24">
      <c r="A205" s="7" t="s">
        <v>213</v>
      </c>
      <c r="B205" s="7" t="s">
        <v>470</v>
      </c>
      <c r="C205" s="7" t="s">
        <v>471</v>
      </c>
    </row>
    <row r="206" spans="1:3" ht="24">
      <c r="A206" s="7" t="s">
        <v>214</v>
      </c>
      <c r="B206" s="7" t="s">
        <v>233</v>
      </c>
      <c r="C206" s="7" t="s">
        <v>472</v>
      </c>
    </row>
    <row r="207" spans="1:3" ht="24">
      <c r="A207" s="7" t="s">
        <v>215</v>
      </c>
      <c r="B207" s="7" t="s">
        <v>419</v>
      </c>
      <c r="C207" s="7" t="s">
        <v>473</v>
      </c>
    </row>
    <row r="208" spans="1:3" ht="24">
      <c r="A208" s="7" t="s">
        <v>216</v>
      </c>
      <c r="B208" s="7" t="s">
        <v>287</v>
      </c>
      <c r="C208" s="7" t="s">
        <v>474</v>
      </c>
    </row>
    <row r="209" spans="1:3" ht="24">
      <c r="A209" s="7" t="s">
        <v>217</v>
      </c>
      <c r="B209" s="7" t="s">
        <v>475</v>
      </c>
      <c r="C209" s="7" t="s">
        <v>476</v>
      </c>
    </row>
    <row r="210" spans="1:3" ht="24">
      <c r="A210" s="7" t="s">
        <v>218</v>
      </c>
      <c r="B210" s="7" t="s">
        <v>233</v>
      </c>
      <c r="C210" s="7" t="s">
        <v>477</v>
      </c>
    </row>
    <row r="211" spans="1:3" ht="24">
      <c r="A211" s="7" t="s">
        <v>219</v>
      </c>
      <c r="B211" s="7" t="s">
        <v>259</v>
      </c>
      <c r="C211" s="7" t="s">
        <v>478</v>
      </c>
    </row>
    <row r="212" spans="1:3" ht="24">
      <c r="A212" s="7" t="s">
        <v>220</v>
      </c>
      <c r="B212" s="7" t="s">
        <v>479</v>
      </c>
      <c r="C212" s="7" t="s">
        <v>480</v>
      </c>
    </row>
    <row r="213" spans="1:3" ht="24">
      <c r="A213" s="7" t="s">
        <v>221</v>
      </c>
      <c r="B213" s="7"/>
      <c r="C213" s="7" t="s">
        <v>481</v>
      </c>
    </row>
    <row r="214" spans="1:3" ht="48">
      <c r="A214" s="7" t="s">
        <v>222</v>
      </c>
      <c r="B214" s="7" t="s">
        <v>348</v>
      </c>
      <c r="C214" s="7" t="s">
        <v>482</v>
      </c>
    </row>
    <row r="215" spans="1:3" ht="24">
      <c r="A215" s="7" t="s">
        <v>223</v>
      </c>
      <c r="B215" s="7" t="s">
        <v>254</v>
      </c>
      <c r="C215" s="7" t="s">
        <v>483</v>
      </c>
    </row>
    <row r="216" spans="1:3" ht="24">
      <c r="A216" s="7" t="s">
        <v>224</v>
      </c>
      <c r="B216" s="7" t="s">
        <v>271</v>
      </c>
      <c r="C216" s="7" t="s">
        <v>484</v>
      </c>
    </row>
    <row r="217" spans="1:3" ht="24">
      <c r="A217" s="7" t="s">
        <v>225</v>
      </c>
      <c r="B217" s="7" t="s">
        <v>485</v>
      </c>
      <c r="C217" s="7" t="s">
        <v>486</v>
      </c>
    </row>
    <row r="218" spans="1:3" ht="24">
      <c r="A218" s="7" t="s">
        <v>226</v>
      </c>
      <c r="B218" s="7" t="s">
        <v>289</v>
      </c>
      <c r="C218" s="7" t="s">
        <v>487</v>
      </c>
    </row>
    <row r="219" spans="1:3" ht="24">
      <c r="A219" s="7" t="s">
        <v>227</v>
      </c>
      <c r="B219" s="7" t="s">
        <v>256</v>
      </c>
      <c r="C219" s="7" t="s">
        <v>488</v>
      </c>
    </row>
    <row r="220" spans="1:3" ht="13.2">
      <c r="A220" s="15"/>
      <c r="B220" s="15"/>
      <c r="C220" s="15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  <pageSetUpPr fitToPage="1"/>
  </sheetPr>
  <dimension ref="A1:AB220"/>
  <sheetViews>
    <sheetView workbookViewId="0"/>
  </sheetViews>
  <sheetFormatPr defaultColWidth="12.6640625" defaultRowHeight="15.75" customHeight="1"/>
  <cols>
    <col min="1" max="1" width="24.33203125" customWidth="1"/>
    <col min="2" max="2" width="17" customWidth="1"/>
    <col min="6" max="6" width="17.6640625" customWidth="1"/>
    <col min="8" max="8" width="18.33203125" customWidth="1"/>
    <col min="9" max="9" width="20" customWidth="1"/>
    <col min="10" max="10" width="10.33203125" customWidth="1"/>
    <col min="11" max="11" width="28" customWidth="1"/>
    <col min="12" max="12" width="30.44140625" customWidth="1"/>
    <col min="13" max="13" width="19.6640625" customWidth="1"/>
    <col min="14" max="14" width="18.77734375" customWidth="1"/>
    <col min="15" max="15" width="22.44140625" customWidth="1"/>
    <col min="16" max="16" width="23.109375" customWidth="1"/>
    <col min="17" max="28" width="19.6640625" customWidth="1"/>
  </cols>
  <sheetData>
    <row r="1" spans="1:28">
      <c r="A1" s="16" t="str">
        <f ca="1">IFERROR(__xludf.DUMMYFUNCTION("QUERY('Data Set'!A1:J220, ""SELECT * WHERE Col4 IS NOT NULL AND Col4 &lt; 100 ORDER BY Col2 DESC"",1)
"),"Stock")</f>
        <v>Stock</v>
      </c>
      <c r="B1" s="17" t="str">
        <f ca="1">IFERROR(__xludf.DUMMYFUNCTION("""COMPUTED_VALUE"""),"Market cap (in Rs Cr.)")</f>
        <v>Market cap (in Rs Cr.)</v>
      </c>
      <c r="C1" s="16" t="str">
        <f ca="1">IFERROR(__xludf.DUMMYFUNCTION("""COMPUTED_VALUE"""),"Current price")</f>
        <v>Current price</v>
      </c>
      <c r="D1" s="16" t="str">
        <f ca="1">IFERROR(__xludf.DUMMYFUNCTION("""COMPUTED_VALUE"""),"PE Ratio")</f>
        <v>PE Ratio</v>
      </c>
      <c r="E1" s="16" t="str">
        <f ca="1">IFERROR(__xludf.DUMMYFUNCTION("""COMPUTED_VALUE"""),"52 Week High")</f>
        <v>52 Week High</v>
      </c>
      <c r="F1" s="18" t="str">
        <f ca="1">IFERROR(__xludf.DUMMYFUNCTION("""COMPUTED_VALUE"""),"% Below 52 week high")</f>
        <v>% Below 52 week high</v>
      </c>
      <c r="G1" s="16" t="str">
        <f ca="1">IFERROR(__xludf.DUMMYFUNCTION("""COMPUTED_VALUE"""),"52 Week Low")</f>
        <v>52 Week Low</v>
      </c>
      <c r="H1" s="18" t="str">
        <f ca="1">IFERROR(__xludf.DUMMYFUNCTION("""COMPUTED_VALUE"""),"% Above 52 Week low")</f>
        <v>% Above 52 Week low</v>
      </c>
      <c r="I1" s="16" t="str">
        <f ca="1">IFERROR(__xludf.DUMMYFUNCTION("""COMPUTED_VALUE"""),"Yesterday Closing Price")</f>
        <v>Yesterday Closing Price</v>
      </c>
      <c r="J1" s="18" t="str">
        <f ca="1">IFERROR(__xludf.DUMMYFUNCTION("""COMPUTED_VALUE"""),"% Change")</f>
        <v>% Change</v>
      </c>
      <c r="K1" s="16" t="s">
        <v>229</v>
      </c>
      <c r="L1" s="16" t="s">
        <v>230</v>
      </c>
      <c r="M1" s="16" t="s">
        <v>489</v>
      </c>
      <c r="N1" s="16" t="s">
        <v>490</v>
      </c>
      <c r="O1" s="16" t="s">
        <v>491</v>
      </c>
      <c r="P1" s="16" t="s">
        <v>492</v>
      </c>
      <c r="Q1" s="19"/>
      <c r="R1" s="19"/>
      <c r="S1" s="19"/>
      <c r="T1" s="19"/>
      <c r="U1" s="19"/>
      <c r="V1" s="19"/>
      <c r="W1" s="19"/>
      <c r="X1" s="19"/>
      <c r="Y1" s="19"/>
      <c r="Z1" s="20"/>
      <c r="AA1" s="19"/>
      <c r="AB1" s="19"/>
    </row>
    <row r="2" spans="1:28">
      <c r="A2" s="21" t="str">
        <f ca="1">IFERROR(__xludf.DUMMYFUNCTION("""COMPUTED_VALUE"""),"Reliance")</f>
        <v>Reliance</v>
      </c>
      <c r="B2" s="22">
        <f ca="1">IFERROR(__xludf.DUMMYFUNCTION("""COMPUTED_VALUE"""),1620922.4391001)</f>
        <v>1620922.4391001</v>
      </c>
      <c r="C2" s="23">
        <f ca="1">IFERROR(__xludf.DUMMYFUNCTION("""COMPUTED_VALUE"""),2467.9)</f>
        <v>2467.9</v>
      </c>
      <c r="D2" s="21">
        <f ca="1">IFERROR(__xludf.DUMMYFUNCTION("""COMPUTED_VALUE"""),25.09)</f>
        <v>25.09</v>
      </c>
      <c r="E2" s="23">
        <f ca="1">IFERROR(__xludf.DUMMYFUNCTION("""COMPUTED_VALUE"""),2856.15)</f>
        <v>2856.15</v>
      </c>
      <c r="F2" s="24">
        <f ca="1">IFERROR(__xludf.DUMMYFUNCTION("""COMPUTED_VALUE"""),0.135934737321219)</f>
        <v>0.135934737321219</v>
      </c>
      <c r="G2" s="21">
        <f ca="1">IFERROR(__xludf.DUMMYFUNCTION("""COMPUTED_VALUE"""),2180)</f>
        <v>2180</v>
      </c>
      <c r="H2" s="24">
        <f ca="1">IFERROR(__xludf.DUMMYFUNCTION("""COMPUTED_VALUE"""),0.132064220183486)</f>
        <v>0.13206422018348599</v>
      </c>
      <c r="I2" s="21">
        <f ca="1">IFERROR(__xludf.DUMMYFUNCTION("""COMPUTED_VALUE"""),2471.6)</f>
        <v>2471.6</v>
      </c>
      <c r="J2" s="24">
        <f ca="1">IFERROR(__xludf.DUMMYFUNCTION("""COMPUTED_VALUE"""),-0.00149700598802387)</f>
        <v>-1.49700598802387E-3</v>
      </c>
      <c r="K2" s="21" t="str">
        <f t="array" ref="K2:K220" ca="1">IF(A2:A220&lt;&gt;"", VLOOKUP(A2:A220,'NSEBSE Code'!A4:C220,2,0),"")</f>
        <v>Telecom and oil</v>
      </c>
      <c r="L2" s="24" t="str">
        <f t="array" ref="L2:L220" ca="1">IF(A2:A220&lt;&gt;"",VLOOKUP(A2:A220,'NSEBSE Code'!A4:C220,3,0),"")</f>
        <v>RELIANCE</v>
      </c>
      <c r="M2" s="24" t="str">
        <f t="array" ref="M2:M220" ca="1">IFERROR(((IF((1 - (C2:C220/E2:E220)) &gt; 0.3, "Yes", "No"))), "")</f>
        <v>No</v>
      </c>
      <c r="N2" s="24" t="str">
        <f t="array" ref="N2:N220" ca="1">IFERROR(IF(((C2:C220/G2:G220)-1)&lt;0.3, "Yes", "No"), "")</f>
        <v>Yes</v>
      </c>
      <c r="O2" s="25" t="str">
        <f t="array" aca="1" ref="O2" ca="1">IF(AND(D2&lt;65,M2="No", N2="No"),"Good Stock","")</f>
        <v/>
      </c>
      <c r="P2" s="24" t="str">
        <f t="array" aca="1" ref="P2" ca="1">IF(B2 &gt;= $Q$196, "Large Cap", IF(AND(B2 &gt;= $Q$197, B2 &lt; $Q$196), "Medium Cap", "Low Cap"))</f>
        <v>Large Cap</v>
      </c>
      <c r="Q2" s="26"/>
      <c r="R2" s="26"/>
      <c r="S2" s="26"/>
      <c r="T2" s="26"/>
      <c r="U2" s="26"/>
      <c r="V2" s="26"/>
      <c r="W2" s="26"/>
      <c r="X2" s="26"/>
      <c r="Y2" s="26"/>
      <c r="Z2" s="27"/>
      <c r="AA2" s="26"/>
      <c r="AB2" s="26"/>
    </row>
    <row r="3" spans="1:28">
      <c r="A3" s="21" t="str">
        <f ca="1">IFERROR(__xludf.DUMMYFUNCTION("""COMPUTED_VALUE"""),"TCS")</f>
        <v>TCS</v>
      </c>
      <c r="B3" s="22">
        <f ca="1">IFERROR(__xludf.DUMMYFUNCTION("""COMPUTED_VALUE"""),1234544.5174748)</f>
        <v>1234544.5174748001</v>
      </c>
      <c r="C3" s="21">
        <f ca="1">IFERROR(__xludf.DUMMYFUNCTION("""COMPUTED_VALUE"""),3374.2)</f>
        <v>3374.2</v>
      </c>
      <c r="D3" s="21">
        <f ca="1">IFERROR(__xludf.DUMMYFUNCTION("""COMPUTED_VALUE"""),30.43)</f>
        <v>30.43</v>
      </c>
      <c r="E3" s="21">
        <f ca="1">IFERROR(__xludf.DUMMYFUNCTION("""COMPUTED_VALUE"""),4045.5)</f>
        <v>4045.5</v>
      </c>
      <c r="F3" s="24">
        <f ca="1">IFERROR(__xludf.DUMMYFUNCTION("""COMPUTED_VALUE"""),0.165937461376838)</f>
        <v>0.16593746137683801</v>
      </c>
      <c r="G3" s="21">
        <f ca="1">IFERROR(__xludf.DUMMYFUNCTION("""COMPUTED_VALUE"""),2926)</f>
        <v>2926</v>
      </c>
      <c r="H3" s="24">
        <f ca="1">IFERROR(__xludf.DUMMYFUNCTION("""COMPUTED_VALUE"""),0.153178400546821)</f>
        <v>0.153178400546821</v>
      </c>
      <c r="I3" s="21">
        <f ca="1">IFERROR(__xludf.DUMMYFUNCTION("""COMPUTED_VALUE"""),3334.6)</f>
        <v>3334.6</v>
      </c>
      <c r="J3" s="24">
        <f ca="1">IFERROR(__xludf.DUMMYFUNCTION("""COMPUTED_VALUE"""),0.0118754873148203)</f>
        <v>1.1875487314820301E-2</v>
      </c>
      <c r="K3" s="24" t="str">
        <f ca="1"/>
        <v>IT</v>
      </c>
      <c r="L3" s="24" t="str">
        <f ca="1"/>
        <v>BOM:532540</v>
      </c>
      <c r="M3" s="24" t="str">
        <f ca="1"/>
        <v>No</v>
      </c>
      <c r="N3" s="24" t="str">
        <f ca="1"/>
        <v>Yes</v>
      </c>
      <c r="O3" s="25" t="str">
        <f t="array" aca="1" ref="O3" ca="1">IF(AND(D3&lt;65,M3="No", N3="No"),"Good Stock","")</f>
        <v/>
      </c>
      <c r="P3" s="24" t="str">
        <f t="shared" ref="P3:P191" ca="1" si="0">IF(B3 &gt;= $Q$196, "Large Cap", IF(AND(B3 &gt;= $Q$197, B3 &lt; $Q$196), "Medium Cap", "Low Cap"))</f>
        <v>Large Cap</v>
      </c>
      <c r="Q3" s="26"/>
      <c r="R3" s="26"/>
      <c r="S3" s="26"/>
      <c r="T3" s="26"/>
      <c r="U3" s="26"/>
      <c r="V3" s="26"/>
      <c r="W3" s="26"/>
      <c r="X3" s="26"/>
      <c r="Y3" s="26"/>
      <c r="Z3" s="27"/>
      <c r="AA3" s="26"/>
      <c r="AB3" s="26"/>
    </row>
    <row r="4" spans="1:28">
      <c r="A4" s="21" t="str">
        <f ca="1">IFERROR(__xludf.DUMMYFUNCTION("""COMPUTED_VALUE"""),"HUL")</f>
        <v>HUL</v>
      </c>
      <c r="B4" s="22">
        <f ca="1">IFERROR(__xludf.DUMMYFUNCTION("""COMPUTED_VALUE"""),616301.326875)</f>
        <v>616301.32687500003</v>
      </c>
      <c r="C4" s="21">
        <f ca="1">IFERROR(__xludf.DUMMYFUNCTION("""COMPUTED_VALUE"""),2620.6)</f>
        <v>2620.6</v>
      </c>
      <c r="D4" s="21">
        <f ca="1">IFERROR(__xludf.DUMMYFUNCTION("""COMPUTED_VALUE"""),63.81)</f>
        <v>63.81</v>
      </c>
      <c r="E4" s="21">
        <f ca="1">IFERROR(__xludf.DUMMYFUNCTION("""COMPUTED_VALUE"""),2741.6)</f>
        <v>2741.6</v>
      </c>
      <c r="F4" s="24">
        <f ca="1">IFERROR(__xludf.DUMMYFUNCTION("""COMPUTED_VALUE"""),0.0441348117887365)</f>
        <v>4.4134811788736503E-2</v>
      </c>
      <c r="G4" s="21">
        <f ca="1">IFERROR(__xludf.DUMMYFUNCTION("""COMPUTED_VALUE"""),1901.55)</f>
        <v>1901.55</v>
      </c>
      <c r="H4" s="24">
        <f ca="1">IFERROR(__xludf.DUMMYFUNCTION("""COMPUTED_VALUE"""),0.378138886697693)</f>
        <v>0.37813888669769302</v>
      </c>
      <c r="I4" s="21">
        <f ca="1">IFERROR(__xludf.DUMMYFUNCTION("""COMPUTED_VALUE"""),2590.05)</f>
        <v>2590.0500000000002</v>
      </c>
      <c r="J4" s="24">
        <f ca="1">IFERROR(__xludf.DUMMYFUNCTION("""COMPUTED_VALUE"""),0.0117951390899788)</f>
        <v>1.17951390899788E-2</v>
      </c>
      <c r="K4" s="24" t="str">
        <f ca="1"/>
        <v>FMCG</v>
      </c>
      <c r="L4" s="24" t="str">
        <f ca="1"/>
        <v>HINDUNILVR</v>
      </c>
      <c r="M4" s="24" t="str">
        <f ca="1"/>
        <v>No</v>
      </c>
      <c r="N4" s="24" t="str">
        <f ca="1"/>
        <v>No</v>
      </c>
      <c r="O4" s="25" t="str">
        <f t="array" aca="1" ref="O4" ca="1">IF(AND(D4&lt;65,M4="No", N4="No"),"Good Stock","")</f>
        <v>Good Stock</v>
      </c>
      <c r="P4" s="24" t="str">
        <f t="shared" ca="1" si="0"/>
        <v>Low Cap</v>
      </c>
      <c r="Q4" s="26"/>
      <c r="R4" s="26"/>
      <c r="S4" s="26"/>
      <c r="T4" s="26"/>
      <c r="U4" s="26"/>
      <c r="V4" s="26"/>
      <c r="W4" s="26"/>
      <c r="X4" s="26"/>
      <c r="Y4" s="26"/>
      <c r="Z4" s="27"/>
      <c r="AA4" s="26"/>
      <c r="AB4" s="26"/>
    </row>
    <row r="5" spans="1:28">
      <c r="A5" s="21" t="str">
        <f ca="1">IFERROR(__xludf.DUMMYFUNCTION("""COMPUTED_VALUE"""),"SBI Bank")</f>
        <v>SBI Bank</v>
      </c>
      <c r="B5" s="22">
        <f ca="1">IFERROR(__xludf.DUMMYFUNCTION("""COMPUTED_VALUE"""),535431.3246675)</f>
        <v>535431.32466749998</v>
      </c>
      <c r="C5" s="21">
        <f ca="1">IFERROR(__xludf.DUMMYFUNCTION("""COMPUTED_VALUE"""),600.05)</f>
        <v>600.04999999999995</v>
      </c>
      <c r="D5" s="21">
        <f ca="1">IFERROR(__xludf.DUMMYFUNCTION("""COMPUTED_VALUE"""),13)</f>
        <v>13</v>
      </c>
      <c r="E5" s="21">
        <f ca="1">IFERROR(__xludf.DUMMYFUNCTION("""COMPUTED_VALUE"""),629.65)</f>
        <v>629.65</v>
      </c>
      <c r="F5" s="24">
        <f ca="1">IFERROR(__xludf.DUMMYFUNCTION("""COMPUTED_VALUE"""),0.0470102437862304)</f>
        <v>4.70102437862304E-2</v>
      </c>
      <c r="G5" s="21">
        <f ca="1">IFERROR(__xludf.DUMMYFUNCTION("""COMPUTED_VALUE"""),425)</f>
        <v>425</v>
      </c>
      <c r="H5" s="24">
        <f ca="1">IFERROR(__xludf.DUMMYFUNCTION("""COMPUTED_VALUE"""),0.411882352941176)</f>
        <v>0.41188235294117598</v>
      </c>
      <c r="I5" s="21">
        <f ca="1">IFERROR(__xludf.DUMMYFUNCTION("""COMPUTED_VALUE"""),595)</f>
        <v>595</v>
      </c>
      <c r="J5" s="24">
        <f ca="1">IFERROR(__xludf.DUMMYFUNCTION("""COMPUTED_VALUE"""),0.00848739495798311)</f>
        <v>8.48739495798311E-3</v>
      </c>
      <c r="K5" s="24" t="str">
        <f ca="1"/>
        <v>Bank</v>
      </c>
      <c r="L5" s="24" t="str">
        <f ca="1"/>
        <v>BOM:500112</v>
      </c>
      <c r="M5" s="24" t="str">
        <f ca="1"/>
        <v>No</v>
      </c>
      <c r="N5" s="24" t="str">
        <f ca="1"/>
        <v>No</v>
      </c>
      <c r="O5" s="25" t="str">
        <f t="array" aca="1" ref="O5" ca="1">IF(AND(D5&lt;65,M5="No", N5="No"),"Good Stock","")</f>
        <v>Good Stock</v>
      </c>
      <c r="P5" s="24" t="str">
        <f t="shared" ca="1" si="0"/>
        <v>Low Cap</v>
      </c>
      <c r="Q5" s="26"/>
      <c r="R5" s="26"/>
      <c r="S5" s="26"/>
      <c r="T5" s="26"/>
      <c r="U5" s="26"/>
      <c r="V5" s="26"/>
      <c r="W5" s="26"/>
      <c r="X5" s="26"/>
      <c r="Y5" s="26"/>
      <c r="Z5" s="27"/>
      <c r="AA5" s="26"/>
      <c r="AB5" s="26"/>
    </row>
    <row r="6" spans="1:28">
      <c r="A6" s="21" t="str">
        <f ca="1">IFERROR(__xludf.DUMMYFUNCTION("""COMPUTED_VALUE"""),"HDFC")</f>
        <v>HDFC</v>
      </c>
      <c r="B6" s="22">
        <f ca="1">IFERROR(__xludf.DUMMYFUNCTION("""COMPUTED_VALUE"""),478914.7)</f>
        <v>478914.7</v>
      </c>
      <c r="C6" s="21">
        <f ca="1">IFERROR(__xludf.DUMMYFUNCTION("""COMPUTED_VALUE"""),2619.25)</f>
        <v>2619.25</v>
      </c>
      <c r="D6" s="21">
        <f ca="1">IFERROR(__xludf.DUMMYFUNCTION("""COMPUTED_VALUE"""),19.81)</f>
        <v>19.809999999999999</v>
      </c>
      <c r="E6" s="21">
        <f ca="1">IFERROR(__xludf.DUMMYFUNCTION("""COMPUTED_VALUE"""),2933.8)</f>
        <v>2933.8</v>
      </c>
      <c r="F6" s="24">
        <f ca="1">IFERROR(__xludf.DUMMYFUNCTION("""COMPUTED_VALUE"""),0.107215897470856)</f>
        <v>0.107215897470856</v>
      </c>
      <c r="G6" s="21">
        <f ca="1">IFERROR(__xludf.DUMMYFUNCTION("""COMPUTED_VALUE"""),2026)</f>
        <v>2026</v>
      </c>
      <c r="H6" s="24">
        <f ca="1">IFERROR(__xludf.DUMMYFUNCTION("""COMPUTED_VALUE"""),0.29281836130306)</f>
        <v>0.29281836130305999</v>
      </c>
      <c r="I6" s="21">
        <f ca="1">IFERROR(__xludf.DUMMYFUNCTION("""COMPUTED_VALUE"""),2612.8)</f>
        <v>2612.8000000000002</v>
      </c>
      <c r="J6" s="24">
        <f ca="1">IFERROR(__xludf.DUMMYFUNCTION("""COMPUTED_VALUE"""),0.00246861604409056)</f>
        <v>2.4686160440905601E-3</v>
      </c>
      <c r="K6" s="24" t="str">
        <f ca="1"/>
        <v>Financial Servcies</v>
      </c>
      <c r="L6" s="24" t="str">
        <f ca="1"/>
        <v>HDFC</v>
      </c>
      <c r="M6" s="24" t="str">
        <f ca="1"/>
        <v>No</v>
      </c>
      <c r="N6" s="24" t="str">
        <f ca="1"/>
        <v>Yes</v>
      </c>
      <c r="O6" s="25" t="str">
        <f t="array" aca="1" ref="O6" ca="1">IF(AND(D6&lt;65,M6="No", N6="No"),"Good Stock","")</f>
        <v/>
      </c>
      <c r="P6" s="24" t="str">
        <f t="shared" ca="1" si="0"/>
        <v>Low Cap</v>
      </c>
      <c r="Q6" s="26"/>
      <c r="R6" s="26"/>
      <c r="S6" s="26"/>
      <c r="T6" s="26"/>
      <c r="U6" s="26"/>
      <c r="V6" s="26"/>
      <c r="W6" s="26"/>
      <c r="X6" s="26"/>
      <c r="Y6" s="26"/>
      <c r="Z6" s="27"/>
      <c r="AA6" s="26"/>
      <c r="AB6" s="26"/>
    </row>
    <row r="7" spans="1:28">
      <c r="A7" s="21" t="str">
        <f ca="1">IFERROR(__xludf.DUMMYFUNCTION("""COMPUTED_VALUE"""),"LIC")</f>
        <v>LIC</v>
      </c>
      <c r="B7" s="22">
        <f ca="1">IFERROR(__xludf.DUMMYFUNCTION("""COMPUTED_VALUE"""),450686.7570293)</f>
        <v>450686.75702929997</v>
      </c>
      <c r="C7" s="21">
        <f ca="1">IFERROR(__xludf.DUMMYFUNCTION("""COMPUTED_VALUE"""),712.7)</f>
        <v>712.7</v>
      </c>
      <c r="D7" s="21">
        <f ca="1">IFERROR(__xludf.DUMMYFUNCTION("""COMPUTED_VALUE"""),23.63)</f>
        <v>23.63</v>
      </c>
      <c r="E7" s="21">
        <f ca="1">IFERROR(__xludf.DUMMYFUNCTION("""COMPUTED_VALUE"""),920)</f>
        <v>920</v>
      </c>
      <c r="F7" s="24">
        <f ca="1">IFERROR(__xludf.DUMMYFUNCTION("""COMPUTED_VALUE"""),0.225326086956521)</f>
        <v>0.22532608695652101</v>
      </c>
      <c r="G7" s="21">
        <f ca="1">IFERROR(__xludf.DUMMYFUNCTION("""COMPUTED_VALUE"""),588)</f>
        <v>588</v>
      </c>
      <c r="H7" s="24">
        <f ca="1">IFERROR(__xludf.DUMMYFUNCTION("""COMPUTED_VALUE"""),0.212074829931972)</f>
        <v>0.21207482993197199</v>
      </c>
      <c r="I7" s="21">
        <f ca="1">IFERROR(__xludf.DUMMYFUNCTION("""COMPUTED_VALUE"""),705.55)</f>
        <v>705.55</v>
      </c>
      <c r="J7" s="24">
        <f ca="1">IFERROR(__xludf.DUMMYFUNCTION("""COMPUTED_VALUE"""),0.0101339380625045)</f>
        <v>1.01339380625045E-2</v>
      </c>
      <c r="K7" s="24" t="str">
        <f ca="1"/>
        <v>Insurance</v>
      </c>
      <c r="L7" s="24" t="str">
        <f ca="1"/>
        <v>BOM:543526</v>
      </c>
      <c r="M7" s="24" t="str">
        <f ca="1"/>
        <v>No</v>
      </c>
      <c r="N7" s="24" t="str">
        <f ca="1"/>
        <v>Yes</v>
      </c>
      <c r="O7" s="25" t="str">
        <f t="array" aca="1" ref="O7" ca="1">IF(AND(D7&lt;65,M7="No", N7="No"),"Good Stock","")</f>
        <v/>
      </c>
      <c r="P7" s="24" t="str">
        <f t="shared" ca="1" si="0"/>
        <v>Low Cap</v>
      </c>
      <c r="Q7" s="26"/>
      <c r="R7" s="26"/>
      <c r="S7" s="26"/>
      <c r="T7" s="26"/>
      <c r="U7" s="26"/>
      <c r="V7" s="26"/>
      <c r="W7" s="26"/>
      <c r="X7" s="26"/>
      <c r="Y7" s="26"/>
      <c r="Z7" s="27"/>
      <c r="AA7" s="26"/>
      <c r="AB7" s="26"/>
    </row>
    <row r="8" spans="1:28">
      <c r="A8" s="21" t="str">
        <f ca="1">IFERROR(__xludf.DUMMYFUNCTION("""COMPUTED_VALUE"""),"Airtel")</f>
        <v>Airtel</v>
      </c>
      <c r="B8" s="22">
        <f ca="1">IFERROR(__xludf.DUMMYFUNCTION("""COMPUTED_VALUE"""),441027.3972459)</f>
        <v>441027.39724590001</v>
      </c>
      <c r="C8" s="21">
        <f ca="1">IFERROR(__xludf.DUMMYFUNCTION("""COMPUTED_VALUE"""),764.6)</f>
        <v>764.6</v>
      </c>
      <c r="D8" s="21">
        <f ca="1">IFERROR(__xludf.DUMMYFUNCTION("""COMPUTED_VALUE"""),65.86)</f>
        <v>65.86</v>
      </c>
      <c r="E8" s="21">
        <f ca="1">IFERROR(__xludf.DUMMYFUNCTION("""COMPUTED_VALUE"""),860.55)</f>
        <v>860.55</v>
      </c>
      <c r="F8" s="24">
        <f ca="1">IFERROR(__xludf.DUMMYFUNCTION("""COMPUTED_VALUE"""),0.111498460287025)</f>
        <v>0.11149846028702499</v>
      </c>
      <c r="G8" s="21">
        <f ca="1">IFERROR(__xludf.DUMMYFUNCTION("""COMPUTED_VALUE"""),628.75)</f>
        <v>628.75</v>
      </c>
      <c r="H8" s="24">
        <f ca="1">IFERROR(__xludf.DUMMYFUNCTION("""COMPUTED_VALUE"""),0.216063618290258)</f>
        <v>0.216063618290258</v>
      </c>
      <c r="I8" s="21">
        <f ca="1">IFERROR(__xludf.DUMMYFUNCTION("""COMPUTED_VALUE"""),756.9)</f>
        <v>756.9</v>
      </c>
      <c r="J8" s="24">
        <f ca="1">IFERROR(__xludf.DUMMYFUNCTION("""COMPUTED_VALUE"""),0.0101730743823491)</f>
        <v>1.0173074382349099E-2</v>
      </c>
      <c r="K8" s="24" t="str">
        <f ca="1"/>
        <v>Telecom</v>
      </c>
      <c r="L8" s="24" t="str">
        <f ca="1"/>
        <v>BHARTIARTL</v>
      </c>
      <c r="M8" s="24" t="str">
        <f ca="1"/>
        <v>No</v>
      </c>
      <c r="N8" s="24" t="str">
        <f ca="1"/>
        <v>Yes</v>
      </c>
      <c r="O8" s="25" t="str">
        <f t="array" aca="1" ref="O8" ca="1">IF(AND(D8&lt;65,M8="No", N8="No"),"Good Stock","")</f>
        <v/>
      </c>
      <c r="P8" s="24" t="str">
        <f t="shared" ca="1" si="0"/>
        <v>Low Cap</v>
      </c>
      <c r="Q8" s="26"/>
      <c r="R8" s="26"/>
      <c r="S8" s="26"/>
      <c r="T8" s="26"/>
      <c r="U8" s="26"/>
      <c r="V8" s="26"/>
      <c r="W8" s="26"/>
      <c r="X8" s="26"/>
      <c r="Y8" s="26"/>
      <c r="Z8" s="27"/>
      <c r="AA8" s="26"/>
      <c r="AB8" s="26"/>
    </row>
    <row r="9" spans="1:28">
      <c r="A9" s="21" t="str">
        <f ca="1">IFERROR(__xludf.DUMMYFUNCTION("""COMPUTED_VALUE"""),"Bajaj Finance")</f>
        <v>Bajaj Finance</v>
      </c>
      <c r="B9" s="22">
        <f ca="1">IFERROR(__xludf.DUMMYFUNCTION("""COMPUTED_VALUE"""),361172.6351402)</f>
        <v>361172.63514019997</v>
      </c>
      <c r="C9" s="21">
        <f ca="1">IFERROR(__xludf.DUMMYFUNCTION("""COMPUTED_VALUE"""),5977)</f>
        <v>5977</v>
      </c>
      <c r="D9" s="21">
        <f ca="1">IFERROR(__xludf.DUMMYFUNCTION("""COMPUTED_VALUE"""),36.52)</f>
        <v>36.520000000000003</v>
      </c>
      <c r="E9" s="21">
        <f ca="1">IFERROR(__xludf.DUMMYFUNCTION("""COMPUTED_VALUE"""),8045)</f>
        <v>8045</v>
      </c>
      <c r="F9" s="24">
        <f ca="1">IFERROR(__xludf.DUMMYFUNCTION("""COMPUTED_VALUE"""),0.25705407085146)</f>
        <v>0.25705407085145998</v>
      </c>
      <c r="G9" s="21">
        <f ca="1">IFERROR(__xludf.DUMMYFUNCTION("""COMPUTED_VALUE"""),5220)</f>
        <v>5220</v>
      </c>
      <c r="H9" s="24">
        <f ca="1">IFERROR(__xludf.DUMMYFUNCTION("""COMPUTED_VALUE"""),0.145019157088122)</f>
        <v>0.14501915708812199</v>
      </c>
      <c r="I9" s="21">
        <f ca="1">IFERROR(__xludf.DUMMYFUNCTION("""COMPUTED_VALUE"""),5898.4)</f>
        <v>5898.4</v>
      </c>
      <c r="J9" s="24">
        <f ca="1">IFERROR(__xludf.DUMMYFUNCTION("""COMPUTED_VALUE"""),0.0133256476332565)</f>
        <v>1.3325647633256501E-2</v>
      </c>
      <c r="K9" s="24" t="str">
        <f ca="1"/>
        <v>NBFC</v>
      </c>
      <c r="L9" s="24" t="str">
        <f ca="1"/>
        <v>BAJFINANCE</v>
      </c>
      <c r="M9" s="24" t="str">
        <f ca="1"/>
        <v>No</v>
      </c>
      <c r="N9" s="24" t="str">
        <f ca="1"/>
        <v>Yes</v>
      </c>
      <c r="O9" s="25" t="str">
        <f t="array" aca="1" ref="O9" ca="1">IF(AND(D9&lt;65,M9="No", N9="No"),"Good Stock","")</f>
        <v/>
      </c>
      <c r="P9" s="24" t="str">
        <f t="shared" ca="1" si="0"/>
        <v>Low Cap</v>
      </c>
      <c r="Q9" s="26"/>
      <c r="R9" s="26"/>
      <c r="S9" s="26"/>
      <c r="T9" s="26"/>
      <c r="U9" s="26"/>
      <c r="V9" s="26"/>
      <c r="W9" s="26"/>
      <c r="X9" s="26"/>
      <c r="Y9" s="26"/>
      <c r="Z9" s="27"/>
      <c r="AA9" s="26"/>
      <c r="AB9" s="26"/>
    </row>
    <row r="10" spans="1:28">
      <c r="A10" s="21" t="str">
        <f ca="1">IFERROR(__xludf.DUMMYFUNCTION("""COMPUTED_VALUE"""),"Kotak Bank")</f>
        <v>Kotak Bank</v>
      </c>
      <c r="B10" s="22">
        <f ca="1">IFERROR(__xludf.DUMMYFUNCTION("""COMPUTED_VALUE"""),354002.5359556)</f>
        <v>354002.53595559997</v>
      </c>
      <c r="C10" s="21">
        <f ca="1">IFERROR(__xludf.DUMMYFUNCTION("""COMPUTED_VALUE"""),1780.5)</f>
        <v>1780.5</v>
      </c>
      <c r="D10" s="21">
        <f ca="1">IFERROR(__xludf.DUMMYFUNCTION("""COMPUTED_VALUE"""),25.87)</f>
        <v>25.87</v>
      </c>
      <c r="E10" s="21">
        <f ca="1">IFERROR(__xludf.DUMMYFUNCTION("""COMPUTED_VALUE"""),1997.55)</f>
        <v>1997.55</v>
      </c>
      <c r="F10" s="24">
        <f ca="1">IFERROR(__xludf.DUMMYFUNCTION("""COMPUTED_VALUE"""),0.10865810618007)</f>
        <v>0.10865810618007</v>
      </c>
      <c r="G10" s="21">
        <f ca="1">IFERROR(__xludf.DUMMYFUNCTION("""COMPUTED_VALUE"""),1631)</f>
        <v>1631</v>
      </c>
      <c r="H10" s="24">
        <f ca="1">IFERROR(__xludf.DUMMYFUNCTION("""COMPUTED_VALUE"""),0.0916615573267933)</f>
        <v>9.1661557326793305E-2</v>
      </c>
      <c r="I10" s="21">
        <f ca="1">IFERROR(__xludf.DUMMYFUNCTION("""COMPUTED_VALUE"""),1779.5)</f>
        <v>1779.5</v>
      </c>
      <c r="J10" s="24">
        <f ca="1">IFERROR(__xludf.DUMMYFUNCTION("""COMPUTED_VALUE"""),0.000561955605507165)</f>
        <v>5.6195560550716497E-4</v>
      </c>
      <c r="K10" s="24" t="str">
        <f ca="1"/>
        <v>Bank</v>
      </c>
      <c r="L10" s="24" t="str">
        <f ca="1"/>
        <v>KOTAKBANK</v>
      </c>
      <c r="M10" s="24" t="str">
        <f ca="1"/>
        <v>No</v>
      </c>
      <c r="N10" s="24" t="str">
        <f ca="1"/>
        <v>Yes</v>
      </c>
      <c r="O10" s="25" t="str">
        <f t="array" aca="1" ref="O10" ca="1">IF(AND(D10&lt;65,M10="No", N10="No"),"Good Stock","")</f>
        <v/>
      </c>
      <c r="P10" s="24" t="str">
        <f t="shared" ca="1" si="0"/>
        <v>Low Cap</v>
      </c>
      <c r="Q10" s="26"/>
      <c r="R10" s="26"/>
      <c r="S10" s="26"/>
      <c r="T10" s="26"/>
      <c r="U10" s="26"/>
      <c r="V10" s="26"/>
      <c r="W10" s="26"/>
      <c r="X10" s="26"/>
      <c r="Y10" s="26"/>
      <c r="Z10" s="27"/>
      <c r="AA10" s="26"/>
      <c r="AB10" s="26"/>
    </row>
    <row r="11" spans="1:28">
      <c r="A11" s="21" t="str">
        <f ca="1">IFERROR(__xludf.DUMMYFUNCTION("""COMPUTED_VALUE"""),"L&amp;T")</f>
        <v>L&amp;T</v>
      </c>
      <c r="B11" s="22">
        <f ca="1">IFERROR(__xludf.DUMMYFUNCTION("""COMPUTED_VALUE"""),302617.166625)</f>
        <v>302617.16662500001</v>
      </c>
      <c r="C11" s="21">
        <f ca="1">IFERROR(__xludf.DUMMYFUNCTION("""COMPUTED_VALUE"""),2153.75)</f>
        <v>2153.75</v>
      </c>
      <c r="D11" s="21">
        <f ca="1">IFERROR(__xludf.DUMMYFUNCTION("""COMPUTED_VALUE"""),31.53)</f>
        <v>31.53</v>
      </c>
      <c r="E11" s="21">
        <f ca="1">IFERROR(__xludf.DUMMYFUNCTION("""COMPUTED_VALUE"""),2210.5)</f>
        <v>2210.5</v>
      </c>
      <c r="F11" s="24">
        <f ca="1">IFERROR(__xludf.DUMMYFUNCTION("""COMPUTED_VALUE"""),0.0256729246776747)</f>
        <v>2.5672924677674701E-2</v>
      </c>
      <c r="G11" s="21">
        <f ca="1">IFERROR(__xludf.DUMMYFUNCTION("""COMPUTED_VALUE"""),1456.8)</f>
        <v>1456.8</v>
      </c>
      <c r="H11" s="24">
        <f ca="1">IFERROR(__xludf.DUMMYFUNCTION("""COMPUTED_VALUE"""),0.478411587040087)</f>
        <v>0.47841158704008702</v>
      </c>
      <c r="I11" s="21">
        <f ca="1">IFERROR(__xludf.DUMMYFUNCTION("""COMPUTED_VALUE"""),2160.2)</f>
        <v>2160.1999999999998</v>
      </c>
      <c r="J11" s="24">
        <f ca="1">IFERROR(__xludf.DUMMYFUNCTION("""COMPUTED_VALUE"""),-0.00298583464494019)</f>
        <v>-2.9858346449401899E-3</v>
      </c>
      <c r="K11" s="24" t="str">
        <f ca="1"/>
        <v>Infrastructure</v>
      </c>
      <c r="L11" s="24" t="str">
        <f ca="1"/>
        <v>BOM:500510</v>
      </c>
      <c r="M11" s="24" t="str">
        <f ca="1"/>
        <v>No</v>
      </c>
      <c r="N11" s="24" t="str">
        <f ca="1"/>
        <v>No</v>
      </c>
      <c r="O11" s="25" t="str">
        <f t="array" aca="1" ref="O11" ca="1">IF(AND(D11&lt;65,M11="No", N11="No"),"Good Stock","")</f>
        <v>Good Stock</v>
      </c>
      <c r="P11" s="24" t="str">
        <f t="shared" ca="1" si="0"/>
        <v>Low Cap</v>
      </c>
      <c r="Q11" s="26"/>
      <c r="R11" s="26"/>
      <c r="S11" s="26"/>
      <c r="T11" s="26"/>
      <c r="U11" s="26"/>
      <c r="V11" s="26"/>
      <c r="W11" s="26"/>
      <c r="X11" s="26"/>
      <c r="Y11" s="26"/>
      <c r="Z11" s="27"/>
      <c r="AA11" s="26"/>
      <c r="AB11" s="26"/>
    </row>
    <row r="12" spans="1:28">
      <c r="A12" s="21" t="str">
        <f ca="1">IFERROR(__xludf.DUMMYFUNCTION("""COMPUTED_VALUE"""),"Axis Bank")</f>
        <v>Axis Bank</v>
      </c>
      <c r="B12" s="22">
        <f ca="1">IFERROR(__xludf.DUMMYFUNCTION("""COMPUTED_VALUE"""),287213.2945283)</f>
        <v>287213.2945283</v>
      </c>
      <c r="C12" s="21">
        <f ca="1">IFERROR(__xludf.DUMMYFUNCTION("""COMPUTED_VALUE"""),933.9)</f>
        <v>933.9</v>
      </c>
      <c r="D12" s="21">
        <f ca="1">IFERROR(__xludf.DUMMYFUNCTION("""COMPUTED_VALUE"""),15.67)</f>
        <v>15.67</v>
      </c>
      <c r="E12" s="21">
        <f ca="1">IFERROR(__xludf.DUMMYFUNCTION("""COMPUTED_VALUE"""),970)</f>
        <v>970</v>
      </c>
      <c r="F12" s="24">
        <f ca="1">IFERROR(__xludf.DUMMYFUNCTION("""COMPUTED_VALUE"""),0.0372164948453608)</f>
        <v>3.7216494845360798E-2</v>
      </c>
      <c r="G12" s="21">
        <f ca="1">IFERROR(__xludf.DUMMYFUNCTION("""COMPUTED_VALUE"""),618.25)</f>
        <v>618.25</v>
      </c>
      <c r="H12" s="24">
        <f ca="1">IFERROR(__xludf.DUMMYFUNCTION("""COMPUTED_VALUE"""),0.510553983016579)</f>
        <v>0.51055398301657895</v>
      </c>
      <c r="I12" s="21">
        <f ca="1">IFERROR(__xludf.DUMMYFUNCTION("""COMPUTED_VALUE"""),935.55)</f>
        <v>935.55</v>
      </c>
      <c r="J12" s="24">
        <f ca="1">IFERROR(__xludf.DUMMYFUNCTION("""COMPUTED_VALUE"""),-0.00176366843033507)</f>
        <v>-1.76366843033507E-3</v>
      </c>
      <c r="K12" s="24" t="str">
        <f ca="1"/>
        <v>Bank</v>
      </c>
      <c r="L12" s="24" t="str">
        <f ca="1"/>
        <v>AXISBANK</v>
      </c>
      <c r="M12" s="24" t="str">
        <f ca="1"/>
        <v>No</v>
      </c>
      <c r="N12" s="24" t="str">
        <f ca="1"/>
        <v>No</v>
      </c>
      <c r="O12" s="25" t="str">
        <f t="array" aca="1" ref="O12" ca="1">IF(AND(D12&lt;65,M12="No", N12="No"),"Good Stock","")</f>
        <v>Good Stock</v>
      </c>
      <c r="P12" s="24" t="str">
        <f t="shared" ca="1" si="0"/>
        <v>Low Cap</v>
      </c>
      <c r="Q12" s="26"/>
      <c r="R12" s="26"/>
      <c r="S12" s="26"/>
      <c r="T12" s="26"/>
      <c r="U12" s="26"/>
      <c r="V12" s="26"/>
      <c r="W12" s="26"/>
      <c r="X12" s="26"/>
      <c r="Y12" s="26"/>
      <c r="Z12" s="27"/>
      <c r="AA12" s="26"/>
      <c r="AB12" s="26"/>
    </row>
    <row r="13" spans="1:28">
      <c r="A13" s="21" t="str">
        <f ca="1">IFERROR(__xludf.DUMMYFUNCTION("""COMPUTED_VALUE"""),"Asian Paints")</f>
        <v>Asian Paints</v>
      </c>
      <c r="B13" s="22">
        <f ca="1">IFERROR(__xludf.DUMMYFUNCTION("""COMPUTED_VALUE"""),278960.0995659)</f>
        <v>278960.09956589999</v>
      </c>
      <c r="C13" s="21">
        <f ca="1">IFERROR(__xludf.DUMMYFUNCTION("""COMPUTED_VALUE"""),2912)</f>
        <v>2912</v>
      </c>
      <c r="D13" s="21">
        <f ca="1">IFERROR(__xludf.DUMMYFUNCTION("""COMPUTED_VALUE"""),76.19)</f>
        <v>76.19</v>
      </c>
      <c r="E13" s="21">
        <f ca="1">IFERROR(__xludf.DUMMYFUNCTION("""COMPUTED_VALUE"""),3582.9)</f>
        <v>3582.9</v>
      </c>
      <c r="F13" s="24">
        <f ca="1">IFERROR(__xludf.DUMMYFUNCTION("""COMPUTED_VALUE"""),0.187250551229451)</f>
        <v>0.187250551229451</v>
      </c>
      <c r="G13" s="21">
        <f ca="1">IFERROR(__xludf.DUMMYFUNCTION("""COMPUTED_VALUE"""),2560)</f>
        <v>2560</v>
      </c>
      <c r="H13" s="24">
        <f ca="1">IFERROR(__xludf.DUMMYFUNCTION("""COMPUTED_VALUE"""),0.1375)</f>
        <v>0.13750000000000001</v>
      </c>
      <c r="I13" s="21">
        <f ca="1">IFERROR(__xludf.DUMMYFUNCTION("""COMPUTED_VALUE"""),2915.95)</f>
        <v>2915.95</v>
      </c>
      <c r="J13" s="24">
        <f ca="1">IFERROR(__xludf.DUMMYFUNCTION("""COMPUTED_VALUE"""),-0.00135461856341837)</f>
        <v>-1.35461856341837E-3</v>
      </c>
      <c r="K13" s="24" t="str">
        <f ca="1"/>
        <v>Paint</v>
      </c>
      <c r="L13" s="24" t="str">
        <f ca="1"/>
        <v>ASIANPAINT</v>
      </c>
      <c r="M13" s="24" t="str">
        <f ca="1"/>
        <v>No</v>
      </c>
      <c r="N13" s="24" t="str">
        <f ca="1"/>
        <v>Yes</v>
      </c>
      <c r="O13" s="25" t="str">
        <f t="array" aca="1" ref="O13" ca="1">IF(AND(D13&lt;65,M13="No", N13="No"),"Good Stock","")</f>
        <v/>
      </c>
      <c r="P13" s="24" t="str">
        <f t="shared" ca="1" si="0"/>
        <v>Low Cap</v>
      </c>
      <c r="Q13" s="26"/>
      <c r="R13" s="26"/>
      <c r="S13" s="26"/>
      <c r="T13" s="26"/>
      <c r="U13" s="26"/>
      <c r="V13" s="26"/>
      <c r="W13" s="26"/>
      <c r="X13" s="26"/>
      <c r="Y13" s="26"/>
      <c r="Z13" s="27"/>
      <c r="AA13" s="26"/>
      <c r="AB13" s="26"/>
    </row>
    <row r="14" spans="1:28">
      <c r="A14" s="21" t="str">
        <f ca="1">IFERROR(__xludf.DUMMYFUNCTION("""COMPUTED_VALUE"""),"Maruti Suzuki")</f>
        <v>Maruti Suzuki</v>
      </c>
      <c r="B14" s="22">
        <f ca="1">IFERROR(__xludf.DUMMYFUNCTION("""COMPUTED_VALUE"""),255438.4185926)</f>
        <v>255438.41859260001</v>
      </c>
      <c r="C14" s="21">
        <f ca="1">IFERROR(__xludf.DUMMYFUNCTION("""COMPUTED_VALUE"""),8454.2)</f>
        <v>8454.2000000000007</v>
      </c>
      <c r="D14" s="21">
        <f ca="1">IFERROR(__xludf.DUMMYFUNCTION("""COMPUTED_VALUE"""),42.1)</f>
        <v>42.1</v>
      </c>
      <c r="E14" s="21">
        <f ca="1">IFERROR(__xludf.DUMMYFUNCTION("""COMPUTED_VALUE"""),9769)</f>
        <v>9769</v>
      </c>
      <c r="F14" s="24">
        <f ca="1">IFERROR(__xludf.DUMMYFUNCTION("""COMPUTED_VALUE"""),0.134589006039512)</f>
        <v>0.13458900603951199</v>
      </c>
      <c r="G14" s="21">
        <f ca="1">IFERROR(__xludf.DUMMYFUNCTION("""COMPUTED_VALUE"""),6536.55)</f>
        <v>6536.55</v>
      </c>
      <c r="H14" s="24">
        <f ca="1">IFERROR(__xludf.DUMMYFUNCTION("""COMPUTED_VALUE"""),0.293373415639748)</f>
        <v>0.293373415639748</v>
      </c>
      <c r="I14" s="21">
        <f ca="1">IFERROR(__xludf.DUMMYFUNCTION("""COMPUTED_VALUE"""),8369.2)</f>
        <v>8369.2000000000007</v>
      </c>
      <c r="J14" s="24">
        <f ca="1">IFERROR(__xludf.DUMMYFUNCTION("""COMPUTED_VALUE"""),0.0101562873392916)</f>
        <v>1.01562873392916E-2</v>
      </c>
      <c r="K14" s="24" t="str">
        <f ca="1"/>
        <v>Automobile</v>
      </c>
      <c r="L14" s="24" t="str">
        <f ca="1"/>
        <v>MARUTI</v>
      </c>
      <c r="M14" s="24" t="str">
        <f ca="1"/>
        <v>No</v>
      </c>
      <c r="N14" s="24" t="str">
        <f ca="1"/>
        <v>Yes</v>
      </c>
      <c r="O14" s="25" t="str">
        <f t="array" aca="1" ref="O14" ca="1">IF(AND(D14&lt;65,M14="No", N14="No"),"Good Stock","")</f>
        <v/>
      </c>
      <c r="P14" s="24" t="str">
        <f t="shared" ca="1" si="0"/>
        <v>Low Cap</v>
      </c>
      <c r="Q14" s="26"/>
      <c r="R14" s="26"/>
      <c r="S14" s="26"/>
      <c r="T14" s="26"/>
      <c r="U14" s="26"/>
      <c r="V14" s="26"/>
      <c r="W14" s="26"/>
      <c r="X14" s="26"/>
      <c r="Y14" s="26"/>
      <c r="Z14" s="27"/>
      <c r="AA14" s="26"/>
      <c r="AB14" s="26"/>
    </row>
    <row r="15" spans="1:28">
      <c r="A15" s="21" t="str">
        <f ca="1">IFERROR(__xludf.DUMMYFUNCTION("""COMPUTED_VALUE"""),"Sun pharma")</f>
        <v>Sun pharma</v>
      </c>
      <c r="B15" s="22">
        <f ca="1">IFERROR(__xludf.DUMMYFUNCTION("""COMPUTED_VALUE"""),247191.650802)</f>
        <v>247191.65080199999</v>
      </c>
      <c r="C15" s="21">
        <f ca="1">IFERROR(__xludf.DUMMYFUNCTION("""COMPUTED_VALUE"""),1031.05)</f>
        <v>1031.05</v>
      </c>
      <c r="D15" s="21">
        <f ca="1">IFERROR(__xludf.DUMMYFUNCTION("""COMPUTED_VALUE"""),60.4)</f>
        <v>60.4</v>
      </c>
      <c r="E15" s="21">
        <f ca="1">IFERROR(__xludf.DUMMYFUNCTION("""COMPUTED_VALUE"""),1070.95)</f>
        <v>1070.95</v>
      </c>
      <c r="F15" s="24">
        <f ca="1">IFERROR(__xludf.DUMMYFUNCTION("""COMPUTED_VALUE"""),0.0372566412997806)</f>
        <v>3.7256641299780603E-2</v>
      </c>
      <c r="G15" s="21">
        <f ca="1">IFERROR(__xludf.DUMMYFUNCTION("""COMPUTED_VALUE"""),784.8)</f>
        <v>784.8</v>
      </c>
      <c r="H15" s="24">
        <f ca="1">IFERROR(__xludf.DUMMYFUNCTION("""COMPUTED_VALUE"""),0.313774209989806)</f>
        <v>0.31377420998980599</v>
      </c>
      <c r="I15" s="21">
        <f ca="1">IFERROR(__xludf.DUMMYFUNCTION("""COMPUTED_VALUE"""),1032.85)</f>
        <v>1032.8499999999999</v>
      </c>
      <c r="J15" s="24">
        <f ca="1">IFERROR(__xludf.DUMMYFUNCTION("""COMPUTED_VALUE"""),-0.00174275064142901)</f>
        <v>-1.7427506414290101E-3</v>
      </c>
      <c r="K15" s="24" t="str">
        <f ca="1"/>
        <v>Pharma</v>
      </c>
      <c r="L15" s="24" t="str">
        <f ca="1"/>
        <v>SUNPHARMA</v>
      </c>
      <c r="M15" s="24" t="str">
        <f ca="1"/>
        <v>No</v>
      </c>
      <c r="N15" s="24" t="str">
        <f ca="1"/>
        <v>No</v>
      </c>
      <c r="O15" s="25" t="str">
        <f t="array" aca="1" ref="O15" ca="1">IF(AND(D15&lt;65,M15="No", N15="No"),"Good Stock","")</f>
        <v>Good Stock</v>
      </c>
      <c r="P15" s="24" t="str">
        <f t="shared" ca="1" si="0"/>
        <v>Low Cap</v>
      </c>
      <c r="Q15" s="26"/>
      <c r="R15" s="26"/>
      <c r="S15" s="26"/>
      <c r="T15" s="26"/>
      <c r="U15" s="26"/>
      <c r="V15" s="26"/>
      <c r="W15" s="26"/>
      <c r="X15" s="26"/>
      <c r="Y15" s="26"/>
      <c r="Z15" s="27"/>
      <c r="AA15" s="26"/>
      <c r="AB15" s="26"/>
    </row>
    <row r="16" spans="1:28">
      <c r="A16" s="21" t="str">
        <f ca="1">IFERROR(__xludf.DUMMYFUNCTION("""COMPUTED_VALUE"""),"Bajaj Finserv")</f>
        <v>Bajaj Finserv</v>
      </c>
      <c r="B16" s="22">
        <f ca="1">IFERROR(__xludf.DUMMYFUNCTION("""COMPUTED_VALUE"""),221292.5064376)</f>
        <v>221292.50643760001</v>
      </c>
      <c r="C16" s="21">
        <f ca="1">IFERROR(__xludf.DUMMYFUNCTION("""COMPUTED_VALUE"""),1391)</f>
        <v>1391</v>
      </c>
      <c r="D16" s="21">
        <f ca="1">IFERROR(__xludf.DUMMYFUNCTION("""COMPUTED_VALUE"""),40.48)</f>
        <v>40.479999999999997</v>
      </c>
      <c r="E16" s="21">
        <f ca="1">IFERROR(__xludf.DUMMYFUNCTION("""COMPUTED_VALUE"""),3724.2)</f>
        <v>3724.2</v>
      </c>
      <c r="F16" s="24">
        <f ca="1">IFERROR(__xludf.DUMMYFUNCTION("""COMPUTED_VALUE"""),0.62649696579131)</f>
        <v>0.62649696579130998</v>
      </c>
      <c r="G16" s="21">
        <f ca="1">IFERROR(__xludf.DUMMYFUNCTION("""COMPUTED_VALUE"""),1374.35)</f>
        <v>1374.35</v>
      </c>
      <c r="H16" s="24">
        <f ca="1">IFERROR(__xludf.DUMMYFUNCTION("""COMPUTED_VALUE"""),0.012114817913923)</f>
        <v>1.2114817913923E-2</v>
      </c>
      <c r="I16" s="21">
        <f ca="1">IFERROR(__xludf.DUMMYFUNCTION("""COMPUTED_VALUE"""),1387.8)</f>
        <v>1387.8</v>
      </c>
      <c r="J16" s="24">
        <f ca="1">IFERROR(__xludf.DUMMYFUNCTION("""COMPUTED_VALUE"""),0.0023058077532786)</f>
        <v>2.3058077532786001E-3</v>
      </c>
      <c r="K16" s="24" t="str">
        <f ca="1"/>
        <v>Financial Servcies</v>
      </c>
      <c r="L16" s="24" t="str">
        <f ca="1"/>
        <v>BAJAJFINSV</v>
      </c>
      <c r="M16" s="24" t="str">
        <f ca="1"/>
        <v>Yes</v>
      </c>
      <c r="N16" s="24" t="str">
        <f ca="1"/>
        <v>Yes</v>
      </c>
      <c r="O16" s="25" t="str">
        <f t="array" aca="1" ref="O16" ca="1">IF(AND(D16&lt;65,M16="No", N16="No"),"Good Stock","")</f>
        <v/>
      </c>
      <c r="P16" s="24" t="str">
        <f t="shared" ca="1" si="0"/>
        <v>Low Cap</v>
      </c>
      <c r="Q16" s="26"/>
      <c r="R16" s="26"/>
      <c r="S16" s="26"/>
      <c r="T16" s="26"/>
      <c r="U16" s="26"/>
      <c r="V16" s="26"/>
      <c r="W16" s="26"/>
      <c r="X16" s="26"/>
      <c r="Y16" s="26"/>
      <c r="Z16" s="27"/>
      <c r="AA16" s="26"/>
      <c r="AB16" s="26"/>
    </row>
    <row r="17" spans="1:28">
      <c r="A17" s="21" t="str">
        <f ca="1">IFERROR(__xludf.DUMMYFUNCTION("""COMPUTED_VALUE"""),"Titan")</f>
        <v>Titan</v>
      </c>
      <c r="B17" s="22">
        <f ca="1">IFERROR(__xludf.DUMMYFUNCTION("""COMPUTED_VALUE"""),214719.0067183)</f>
        <v>214719.00671829999</v>
      </c>
      <c r="C17" s="21">
        <f ca="1">IFERROR(__xludf.DUMMYFUNCTION("""COMPUTED_VALUE"""),2417.65)</f>
        <v>2417.65</v>
      </c>
      <c r="D17" s="21">
        <f ca="1">IFERROR(__xludf.DUMMYFUNCTION("""COMPUTED_VALUE"""),68.59)</f>
        <v>68.59</v>
      </c>
      <c r="E17" s="21">
        <f ca="1">IFERROR(__xludf.DUMMYFUNCTION("""COMPUTED_VALUE"""),2790)</f>
        <v>2790</v>
      </c>
      <c r="F17" s="24">
        <f ca="1">IFERROR(__xludf.DUMMYFUNCTION("""COMPUTED_VALUE"""),0.133458781362007)</f>
        <v>0.13345878136200701</v>
      </c>
      <c r="G17" s="21">
        <f ca="1">IFERROR(__xludf.DUMMYFUNCTION("""COMPUTED_VALUE"""),1827.15)</f>
        <v>1827.15</v>
      </c>
      <c r="H17" s="24">
        <f ca="1">IFERROR(__xludf.DUMMYFUNCTION("""COMPUTED_VALUE"""),0.323180910160632)</f>
        <v>0.323180910160632</v>
      </c>
      <c r="I17" s="21">
        <f ca="1">IFERROR(__xludf.DUMMYFUNCTION("""COMPUTED_VALUE"""),2445.65)</f>
        <v>2445.65</v>
      </c>
      <c r="J17" s="24">
        <f ca="1">IFERROR(__xludf.DUMMYFUNCTION("""COMPUTED_VALUE"""),-0.011448899065688)</f>
        <v>-1.1448899065688E-2</v>
      </c>
      <c r="K17" s="24" t="str">
        <f ca="1"/>
        <v>Retail</v>
      </c>
      <c r="L17" s="24" t="str">
        <f ca="1"/>
        <v>BOM:500114</v>
      </c>
      <c r="M17" s="24" t="str">
        <f ca="1"/>
        <v>No</v>
      </c>
      <c r="N17" s="24" t="str">
        <f ca="1"/>
        <v>No</v>
      </c>
      <c r="O17" s="25" t="str">
        <f t="array" aca="1" ref="O17" ca="1">IF(AND(D17&lt;65,M17="No", N17="No"),"Good Stock","")</f>
        <v/>
      </c>
      <c r="P17" s="24" t="str">
        <f t="shared" ca="1" si="0"/>
        <v>Low Cap</v>
      </c>
      <c r="Q17" s="26"/>
      <c r="R17" s="26"/>
      <c r="S17" s="26"/>
      <c r="T17" s="26"/>
      <c r="U17" s="26"/>
      <c r="V17" s="26"/>
      <c r="W17" s="26"/>
      <c r="X17" s="26"/>
      <c r="Y17" s="26"/>
      <c r="Z17" s="27"/>
      <c r="AA17" s="26"/>
      <c r="AB17" s="26"/>
    </row>
    <row r="18" spans="1:28">
      <c r="A18" s="21" t="str">
        <f ca="1">IFERROR(__xludf.DUMMYFUNCTION("""COMPUTED_VALUE"""),"Ultratech Cement")</f>
        <v>Ultratech Cement</v>
      </c>
      <c r="B18" s="22">
        <f ca="1">IFERROR(__xludf.DUMMYFUNCTION("""COMPUTED_VALUE"""),208975.8)</f>
        <v>208975.8</v>
      </c>
      <c r="C18" s="21">
        <f ca="1">IFERROR(__xludf.DUMMYFUNCTION("""COMPUTED_VALUE"""),7244.95)</f>
        <v>7244.95</v>
      </c>
      <c r="D18" s="21">
        <f ca="1">IFERROR(__xludf.DUMMYFUNCTION("""COMPUTED_VALUE"""),31.35)</f>
        <v>31.35</v>
      </c>
      <c r="E18" s="21">
        <f ca="1">IFERROR(__xludf.DUMMYFUNCTION("""COMPUTED_VALUE"""),7946)</f>
        <v>7946</v>
      </c>
      <c r="F18" s="24">
        <f ca="1">IFERROR(__xludf.DUMMYFUNCTION("""COMPUTED_VALUE"""),0.0882267807701988)</f>
        <v>8.8226780770198798E-2</v>
      </c>
      <c r="G18" s="21">
        <f ca="1">IFERROR(__xludf.DUMMYFUNCTION("""COMPUTED_VALUE"""),5157.05)</f>
        <v>5157.05</v>
      </c>
      <c r="H18" s="24">
        <f ca="1">IFERROR(__xludf.DUMMYFUNCTION("""COMPUTED_VALUE"""),0.404863245460098)</f>
        <v>0.404863245460098</v>
      </c>
      <c r="I18" s="21">
        <f ca="1">IFERROR(__xludf.DUMMYFUNCTION("""COMPUTED_VALUE"""),7153.35)</f>
        <v>7153.35</v>
      </c>
      <c r="J18" s="24">
        <f ca="1">IFERROR(__xludf.DUMMYFUNCTION("""COMPUTED_VALUE"""),0.0128051891770987)</f>
        <v>1.28051891770987E-2</v>
      </c>
      <c r="K18" s="24" t="str">
        <f ca="1"/>
        <v>Cement</v>
      </c>
      <c r="L18" s="24" t="str">
        <f ca="1"/>
        <v>ULTRACEMCO</v>
      </c>
      <c r="M18" s="24" t="str">
        <f ca="1"/>
        <v>No</v>
      </c>
      <c r="N18" s="24" t="str">
        <f ca="1"/>
        <v>No</v>
      </c>
      <c r="O18" s="25" t="str">
        <f t="array" aca="1" ref="O18" ca="1">IF(AND(D18&lt;65,M18="No", N18="No"),"Good Stock","")</f>
        <v>Good Stock</v>
      </c>
      <c r="P18" s="24" t="str">
        <f t="shared" ca="1" si="0"/>
        <v>Low Cap</v>
      </c>
      <c r="Q18" s="26"/>
      <c r="R18" s="26"/>
      <c r="S18" s="26"/>
      <c r="T18" s="26"/>
      <c r="U18" s="26"/>
      <c r="V18" s="26"/>
      <c r="W18" s="26"/>
      <c r="X18" s="26"/>
      <c r="Y18" s="26"/>
      <c r="Z18" s="27"/>
      <c r="AA18" s="26"/>
      <c r="AB18" s="26"/>
    </row>
    <row r="19" spans="1:28">
      <c r="A19" s="21" t="str">
        <f ca="1">IFERROR(__xludf.DUMMYFUNCTION("""COMPUTED_VALUE"""),"Nestle")</f>
        <v>Nestle</v>
      </c>
      <c r="B19" s="22">
        <f ca="1">IFERROR(__xludf.DUMMYFUNCTION("""COMPUTED_VALUE"""),190752.2)</f>
        <v>190752.2</v>
      </c>
      <c r="C19" s="21">
        <f ca="1">IFERROR(__xludf.DUMMYFUNCTION("""COMPUTED_VALUE"""),19782.3)</f>
        <v>19782.3</v>
      </c>
      <c r="D19" s="21">
        <f ca="1">IFERROR(__xludf.DUMMYFUNCTION("""COMPUTED_VALUE"""),88.1)</f>
        <v>88.1</v>
      </c>
      <c r="E19" s="21">
        <f ca="1">IFERROR(__xludf.DUMMYFUNCTION("""COMPUTED_VALUE"""),21050)</f>
        <v>21050</v>
      </c>
      <c r="F19" s="24">
        <f ca="1">IFERROR(__xludf.DUMMYFUNCTION("""COMPUTED_VALUE"""),0.0602232779097387)</f>
        <v>6.02232779097387E-2</v>
      </c>
      <c r="G19" s="21">
        <f ca="1">IFERROR(__xludf.DUMMYFUNCTION("""COMPUTED_VALUE"""),16000)</f>
        <v>16000</v>
      </c>
      <c r="H19" s="24">
        <f ca="1">IFERROR(__xludf.DUMMYFUNCTION("""COMPUTED_VALUE"""),0.236393749999999)</f>
        <v>0.23639374999999899</v>
      </c>
      <c r="I19" s="21">
        <f ca="1">IFERROR(__xludf.DUMMYFUNCTION("""COMPUTED_VALUE"""),19873.25)</f>
        <v>19873.25</v>
      </c>
      <c r="J19" s="24">
        <f ca="1">IFERROR(__xludf.DUMMYFUNCTION("""COMPUTED_VALUE"""),-0.00457650359151123)</f>
        <v>-4.5765035915112297E-3</v>
      </c>
      <c r="K19" s="24" t="str">
        <f ca="1"/>
        <v>FMCG</v>
      </c>
      <c r="L19" s="24" t="str">
        <f ca="1"/>
        <v>NESTLEIND</v>
      </c>
      <c r="M19" s="24" t="str">
        <f ca="1"/>
        <v>No</v>
      </c>
      <c r="N19" s="24" t="str">
        <f ca="1"/>
        <v>Yes</v>
      </c>
      <c r="O19" s="25" t="str">
        <f t="array" aca="1" ref="O19" ca="1">IF(AND(D19&lt;65,M19="No", N19="No"),"Good Stock","")</f>
        <v/>
      </c>
      <c r="P19" s="24" t="str">
        <f t="shared" ca="1" si="0"/>
        <v>Low Cap</v>
      </c>
      <c r="Q19" s="26"/>
      <c r="R19" s="26"/>
      <c r="S19" s="26"/>
      <c r="T19" s="26"/>
      <c r="U19" s="26"/>
      <c r="V19" s="26"/>
      <c r="W19" s="26"/>
      <c r="X19" s="26"/>
      <c r="Y19" s="26"/>
      <c r="Z19" s="27"/>
      <c r="AA19" s="26"/>
      <c r="AB19" s="26"/>
    </row>
    <row r="20" spans="1:28">
      <c r="A20" s="21" t="str">
        <f ca="1">IFERROR(__xludf.DUMMYFUNCTION("""COMPUTED_VALUE"""),"M&amp;M")</f>
        <v>M&amp;M</v>
      </c>
      <c r="B20" s="22">
        <f ca="1">IFERROR(__xludf.DUMMYFUNCTION("""COMPUTED_VALUE"""),158785.3716893)</f>
        <v>158785.37168929999</v>
      </c>
      <c r="C20" s="21">
        <f ca="1">IFERROR(__xludf.DUMMYFUNCTION("""COMPUTED_VALUE"""),1327.55)</f>
        <v>1327.55</v>
      </c>
      <c r="D20" s="21">
        <f ca="1">IFERROR(__xludf.DUMMYFUNCTION("""COMPUTED_VALUE"""),16.12)</f>
        <v>16.12</v>
      </c>
      <c r="E20" s="21">
        <f ca="1">IFERROR(__xludf.DUMMYFUNCTION("""COMPUTED_VALUE"""),1366.55)</f>
        <v>1366.55</v>
      </c>
      <c r="F20" s="24">
        <f ca="1">IFERROR(__xludf.DUMMYFUNCTION("""COMPUTED_VALUE"""),0.0285390216237971)</f>
        <v>2.8539021623797099E-2</v>
      </c>
      <c r="G20" s="21">
        <f ca="1">IFERROR(__xludf.DUMMYFUNCTION("""COMPUTED_VALUE"""),671.15)</f>
        <v>671.15</v>
      </c>
      <c r="H20" s="24">
        <f ca="1">IFERROR(__xludf.DUMMYFUNCTION("""COMPUTED_VALUE"""),0.978022796692244)</f>
        <v>0.97802279669224401</v>
      </c>
      <c r="I20" s="21">
        <f ca="1">IFERROR(__xludf.DUMMYFUNCTION("""COMPUTED_VALUE"""),1319.9)</f>
        <v>1319.9</v>
      </c>
      <c r="J20" s="24">
        <f ca="1">IFERROR(__xludf.DUMMYFUNCTION("""COMPUTED_VALUE"""),0.00579589362830507)</f>
        <v>5.7958936283050702E-3</v>
      </c>
      <c r="K20" s="24" t="str">
        <f ca="1"/>
        <v>Automobile</v>
      </c>
      <c r="L20" s="24" t="str">
        <f ca="1"/>
        <v>M&amp;M</v>
      </c>
      <c r="M20" s="24" t="str">
        <f ca="1"/>
        <v>No</v>
      </c>
      <c r="N20" s="24" t="str">
        <f ca="1"/>
        <v>No</v>
      </c>
      <c r="O20" s="25" t="str">
        <f t="array" aca="1" ref="O20" ca="1">IF(AND(D20&lt;65,M20="No", N20="No"),"Good Stock","")</f>
        <v>Good Stock</v>
      </c>
      <c r="P20" s="24" t="str">
        <f t="shared" ca="1" si="0"/>
        <v>Low Cap</v>
      </c>
      <c r="Q20" s="26"/>
      <c r="R20" s="26"/>
      <c r="S20" s="26"/>
      <c r="T20" s="26"/>
      <c r="U20" s="26"/>
      <c r="V20" s="26"/>
      <c r="W20" s="26"/>
      <c r="X20" s="26"/>
      <c r="Y20" s="26"/>
      <c r="Z20" s="27"/>
      <c r="AA20" s="26"/>
      <c r="AB20" s="26"/>
    </row>
    <row r="21" spans="1:28">
      <c r="A21" s="21" t="str">
        <f ca="1">IFERROR(__xludf.DUMMYFUNCTION("""COMPUTED_VALUE"""),"Tata Steel")</f>
        <v>Tata Steel</v>
      </c>
      <c r="B21" s="22">
        <f ca="1">IFERROR(__xludf.DUMMYFUNCTION("""COMPUTED_VALUE"""),147293.6037181)</f>
        <v>147293.6037181</v>
      </c>
      <c r="C21" s="21">
        <f ca="1">IFERROR(__xludf.DUMMYFUNCTION("""COMPUTED_VALUE"""),120.45)</f>
        <v>120.45</v>
      </c>
      <c r="D21" s="21">
        <f ca="1">IFERROR(__xludf.DUMMYFUNCTION("""COMPUTED_VALUE"""),5.13)</f>
        <v>5.13</v>
      </c>
      <c r="E21" s="21">
        <f ca="1">IFERROR(__xludf.DUMMYFUNCTION("""COMPUTED_VALUE"""),138.63)</f>
        <v>138.63</v>
      </c>
      <c r="F21" s="24">
        <f ca="1">IFERROR(__xludf.DUMMYFUNCTION("""COMPUTED_VALUE"""),0.131140445790954)</f>
        <v>0.13114044579095399</v>
      </c>
      <c r="G21" s="21">
        <f ca="1">IFERROR(__xludf.DUMMYFUNCTION("""COMPUTED_VALUE"""),82.71)</f>
        <v>82.71</v>
      </c>
      <c r="H21" s="24">
        <f ca="1">IFERROR(__xludf.DUMMYFUNCTION("""COMPUTED_VALUE"""),0.456293072179905)</f>
        <v>0.456293072179905</v>
      </c>
      <c r="I21" s="21">
        <f ca="1">IFERROR(__xludf.DUMMYFUNCTION("""COMPUTED_VALUE"""),118.05)</f>
        <v>118.05</v>
      </c>
      <c r="J21" s="24">
        <f ca="1">IFERROR(__xludf.DUMMYFUNCTION("""COMPUTED_VALUE"""),0.0203303684879288)</f>
        <v>2.0330368487928799E-2</v>
      </c>
      <c r="K21" s="24" t="str">
        <f ca="1"/>
        <v>Infrastructure</v>
      </c>
      <c r="L21" s="24" t="str">
        <f ca="1"/>
        <v>BOM:500470</v>
      </c>
      <c r="M21" s="24" t="str">
        <f ca="1"/>
        <v>No</v>
      </c>
      <c r="N21" s="24" t="str">
        <f ca="1"/>
        <v>No</v>
      </c>
      <c r="O21" s="25" t="str">
        <f t="array" aca="1" ref="O21" ca="1">IF(AND(D21&lt;65,M21="No", N21="No"),"Good Stock","")</f>
        <v>Good Stock</v>
      </c>
      <c r="P21" s="24" t="str">
        <f t="shared" ca="1" si="0"/>
        <v>Low Cap</v>
      </c>
      <c r="Q21" s="26"/>
      <c r="R21" s="26"/>
      <c r="S21" s="26"/>
      <c r="T21" s="26"/>
      <c r="U21" s="26"/>
      <c r="V21" s="26"/>
      <c r="W21" s="26"/>
      <c r="X21" s="26"/>
      <c r="Y21" s="26"/>
      <c r="Z21" s="27"/>
      <c r="AA21" s="26"/>
      <c r="AB21" s="26"/>
    </row>
    <row r="22" spans="1:28">
      <c r="A22" s="21" t="str">
        <f ca="1">IFERROR(__xludf.DUMMYFUNCTION("""COMPUTED_VALUE"""),"SBI life Insurance")</f>
        <v>SBI life Insurance</v>
      </c>
      <c r="B22" s="22">
        <f ca="1">IFERROR(__xludf.DUMMYFUNCTION("""COMPUTED_VALUE"""),130568.986925)</f>
        <v>130568.986925</v>
      </c>
      <c r="C22" s="21">
        <f ca="1">IFERROR(__xludf.DUMMYFUNCTION("""COMPUTED_VALUE"""),1307)</f>
        <v>1307</v>
      </c>
      <c r="D22" s="21">
        <f ca="1">IFERROR(__xludf.DUMMYFUNCTION("""COMPUTED_VALUE"""),78.07)</f>
        <v>78.069999999999993</v>
      </c>
      <c r="E22" s="21">
        <f ca="1">IFERROR(__xludf.DUMMYFUNCTION("""COMPUTED_VALUE"""),1340.35)</f>
        <v>1340.35</v>
      </c>
      <c r="F22" s="24">
        <f ca="1">IFERROR(__xludf.DUMMYFUNCTION("""COMPUTED_VALUE"""),0.0248815607863617)</f>
        <v>2.4881560786361698E-2</v>
      </c>
      <c r="G22" s="21">
        <f ca="1">IFERROR(__xludf.DUMMYFUNCTION("""COMPUTED_VALUE"""),1003.5)</f>
        <v>1003.5</v>
      </c>
      <c r="H22" s="24">
        <f ca="1">IFERROR(__xludf.DUMMYFUNCTION("""COMPUTED_VALUE"""),0.302441454907822)</f>
        <v>0.30244145490782198</v>
      </c>
      <c r="I22" s="21">
        <f ca="1">IFERROR(__xludf.DUMMYFUNCTION("""COMPUTED_VALUE"""),1315.7)</f>
        <v>1315.7</v>
      </c>
      <c r="J22" s="24">
        <f ca="1">IFERROR(__xludf.DUMMYFUNCTION("""COMPUTED_VALUE"""),-0.006612449646576)</f>
        <v>-6.6124496465759996E-3</v>
      </c>
      <c r="K22" s="24" t="str">
        <f ca="1"/>
        <v>Insurance</v>
      </c>
      <c r="L22" s="24" t="str">
        <f ca="1"/>
        <v>SBILIFE</v>
      </c>
      <c r="M22" s="24" t="str">
        <f ca="1"/>
        <v>No</v>
      </c>
      <c r="N22" s="24" t="str">
        <f ca="1"/>
        <v>No</v>
      </c>
      <c r="O22" s="25" t="str">
        <f t="array" aca="1" ref="O22" ca="1">IF(AND(D22&lt;65,M22="No", N22="No"),"Good Stock","")</f>
        <v/>
      </c>
      <c r="P22" s="24" t="str">
        <f t="shared" ca="1" si="0"/>
        <v>Low Cap</v>
      </c>
      <c r="Q22" s="26"/>
      <c r="R22" s="26"/>
      <c r="S22" s="26"/>
      <c r="T22" s="26"/>
      <c r="U22" s="26"/>
      <c r="V22" s="26"/>
      <c r="W22" s="26"/>
      <c r="X22" s="26"/>
      <c r="Y22" s="26"/>
      <c r="Z22" s="27"/>
      <c r="AA22" s="26"/>
      <c r="AB22" s="26"/>
    </row>
    <row r="23" spans="1:28">
      <c r="A23" s="21" t="str">
        <f ca="1">IFERROR(__xludf.DUMMYFUNCTION("""COMPUTED_VALUE"""),"HDFC life Insurance")</f>
        <v>HDFC life Insurance</v>
      </c>
      <c r="B23" s="22">
        <f ca="1">IFERROR(__xludf.DUMMYFUNCTION("""COMPUTED_VALUE"""),129917.6)</f>
        <v>129917.6</v>
      </c>
      <c r="C23" s="21">
        <f ca="1">IFERROR(__xludf.DUMMYFUNCTION("""COMPUTED_VALUE"""),604)</f>
        <v>604</v>
      </c>
      <c r="D23" s="21">
        <f ca="1">IFERROR(__xludf.DUMMYFUNCTION("""COMPUTED_VALUE"""),85.12)</f>
        <v>85.12</v>
      </c>
      <c r="E23" s="21">
        <f ca="1">IFERROR(__xludf.DUMMYFUNCTION("""COMPUTED_VALUE"""),678.8)</f>
        <v>678.8</v>
      </c>
      <c r="F23" s="24">
        <f ca="1">IFERROR(__xludf.DUMMYFUNCTION("""COMPUTED_VALUE"""),0.110194460813199)</f>
        <v>0.110194460813199</v>
      </c>
      <c r="G23" s="21">
        <f ca="1">IFERROR(__xludf.DUMMYFUNCTION("""COMPUTED_VALUE"""),497.05)</f>
        <v>497.05</v>
      </c>
      <c r="H23" s="24">
        <f ca="1">IFERROR(__xludf.DUMMYFUNCTION("""COMPUTED_VALUE"""),0.215169500050296)</f>
        <v>0.215169500050296</v>
      </c>
      <c r="I23" s="21">
        <f ca="1">IFERROR(__xludf.DUMMYFUNCTION("""COMPUTED_VALUE"""),598.4)</f>
        <v>598.4</v>
      </c>
      <c r="J23" s="24">
        <f ca="1">IFERROR(__xludf.DUMMYFUNCTION("""COMPUTED_VALUE"""),0.00935828877005351)</f>
        <v>9.3582887700535099E-3</v>
      </c>
      <c r="K23" s="24" t="str">
        <f ca="1"/>
        <v>Insurance</v>
      </c>
      <c r="L23" s="24" t="str">
        <f ca="1"/>
        <v>HDFCLIFE</v>
      </c>
      <c r="M23" s="24" t="str">
        <f ca="1"/>
        <v>No</v>
      </c>
      <c r="N23" s="24" t="str">
        <f ca="1"/>
        <v>Yes</v>
      </c>
      <c r="O23" s="25" t="str">
        <f t="array" aca="1" ref="O23" ca="1">IF(AND(D23&lt;65,M23="No", N23="No"),"Good Stock","")</f>
        <v/>
      </c>
      <c r="P23" s="24" t="str">
        <f t="shared" ca="1" si="0"/>
        <v>Low Cap</v>
      </c>
      <c r="Q23" s="26"/>
      <c r="R23" s="26"/>
      <c r="S23" s="26"/>
      <c r="T23" s="26"/>
      <c r="U23" s="26"/>
      <c r="V23" s="26"/>
      <c r="W23" s="26"/>
      <c r="X23" s="26"/>
      <c r="Y23" s="26"/>
      <c r="Z23" s="27"/>
      <c r="AA23" s="26"/>
      <c r="AB23" s="26"/>
    </row>
    <row r="24" spans="1:28">
      <c r="A24" s="21" t="str">
        <f ca="1">IFERROR(__xludf.DUMMYFUNCTION("""COMPUTED_VALUE"""),"Pidilite Industries")</f>
        <v>Pidilite Industries</v>
      </c>
      <c r="B24" s="22">
        <f ca="1">IFERROR(__xludf.DUMMYFUNCTION("""COMPUTED_VALUE"""),127340)</f>
        <v>127340</v>
      </c>
      <c r="C24" s="21">
        <f ca="1">IFERROR(__xludf.DUMMYFUNCTION("""COMPUTED_VALUE"""),2513)</f>
        <v>2513</v>
      </c>
      <c r="D24" s="21">
        <f ca="1">IFERROR(__xludf.DUMMYFUNCTION("""COMPUTED_VALUE"""),98.38)</f>
        <v>98.38</v>
      </c>
      <c r="E24" s="21">
        <f ca="1">IFERROR(__xludf.DUMMYFUNCTION("""COMPUTED_VALUE"""),2918.95)</f>
        <v>2918.95</v>
      </c>
      <c r="F24" s="24">
        <f ca="1">IFERROR(__xludf.DUMMYFUNCTION("""COMPUTED_VALUE"""),0.139073982082598)</f>
        <v>0.139073982082598</v>
      </c>
      <c r="G24" s="21">
        <f ca="1">IFERROR(__xludf.DUMMYFUNCTION("""COMPUTED_VALUE"""),1988.55)</f>
        <v>1988.55</v>
      </c>
      <c r="H24" s="24">
        <f ca="1">IFERROR(__xludf.DUMMYFUNCTION("""COMPUTED_VALUE"""),0.263734882200598)</f>
        <v>0.26373488220059799</v>
      </c>
      <c r="I24" s="21">
        <f ca="1">IFERROR(__xludf.DUMMYFUNCTION("""COMPUTED_VALUE"""),2495.5)</f>
        <v>2495.5</v>
      </c>
      <c r="J24" s="24">
        <f ca="1">IFERROR(__xludf.DUMMYFUNCTION("""COMPUTED_VALUE"""),0.00701262272089761)</f>
        <v>7.0126227208976103E-3</v>
      </c>
      <c r="K24" s="24" t="str">
        <f ca="1"/>
        <v>Chemical</v>
      </c>
      <c r="L24" s="24" t="str">
        <f ca="1"/>
        <v>PIDILITIND</v>
      </c>
      <c r="M24" s="24" t="str">
        <f ca="1"/>
        <v>No</v>
      </c>
      <c r="N24" s="24" t="str">
        <f ca="1"/>
        <v>Yes</v>
      </c>
      <c r="O24" s="25" t="str">
        <f t="array" aca="1" ref="O24" ca="1">IF(AND(D24&lt;65,M24="No", N24="No"),"Good Stock","")</f>
        <v/>
      </c>
      <c r="P24" s="24" t="str">
        <f t="shared" ca="1" si="0"/>
        <v>Low Cap</v>
      </c>
      <c r="Q24" s="26"/>
      <c r="R24" s="26"/>
      <c r="S24" s="26"/>
      <c r="T24" s="26"/>
      <c r="U24" s="26"/>
      <c r="V24" s="26"/>
      <c r="W24" s="26"/>
      <c r="X24" s="26"/>
      <c r="Y24" s="26"/>
      <c r="Z24" s="27"/>
      <c r="AA24" s="26"/>
      <c r="AB24" s="26"/>
    </row>
    <row r="25" spans="1:28">
      <c r="A25" s="21" t="str">
        <f ca="1">IFERROR(__xludf.DUMMYFUNCTION("""COMPUTED_VALUE"""),"L&amp;T Infotech")</f>
        <v>L&amp;T Infotech</v>
      </c>
      <c r="B25" s="22">
        <f ca="1">IFERROR(__xludf.DUMMYFUNCTION("""COMPUTED_VALUE"""),126813.4)</f>
        <v>126813.4</v>
      </c>
      <c r="C25" s="21">
        <f ca="1">IFERROR(__xludf.DUMMYFUNCTION("""COMPUTED_VALUE"""),4289.8)</f>
        <v>4289.8</v>
      </c>
      <c r="D25" s="21">
        <f ca="1">IFERROR(__xludf.DUMMYFUNCTION("""COMPUTED_VALUE"""),34.73)</f>
        <v>34.729999999999997</v>
      </c>
      <c r="E25" s="21">
        <f ca="1">IFERROR(__xludf.DUMMYFUNCTION("""COMPUTED_VALUE"""),4293.25)</f>
        <v>4293.25</v>
      </c>
      <c r="F25" s="24">
        <f ca="1">IFERROR(__xludf.DUMMYFUNCTION("""COMPUTED_VALUE"""),0.000803587026145651)</f>
        <v>8.03587026145651E-4</v>
      </c>
      <c r="G25" s="21">
        <f ca="1">IFERROR(__xludf.DUMMYFUNCTION("""COMPUTED_VALUE"""),4147.45)</f>
        <v>4147.45</v>
      </c>
      <c r="H25" s="24">
        <f ca="1">IFERROR(__xludf.DUMMYFUNCTION("""COMPUTED_VALUE"""),0.0343222944218737)</f>
        <v>3.4322294421873699E-2</v>
      </c>
      <c r="I25" s="21">
        <f ca="1">IFERROR(__xludf.DUMMYFUNCTION("""COMPUTED_VALUE"""),4279.2)</f>
        <v>4279.2</v>
      </c>
      <c r="J25" s="24">
        <f ca="1">IFERROR(__xludf.DUMMYFUNCTION("""COMPUTED_VALUE"""),0.00247709852308851)</f>
        <v>2.4770985230885101E-3</v>
      </c>
      <c r="K25" s="24" t="str">
        <f ca="1"/>
        <v>IT</v>
      </c>
      <c r="L25" s="24" t="str">
        <f ca="1"/>
        <v>BOM:540005</v>
      </c>
      <c r="M25" s="24" t="str">
        <f ca="1"/>
        <v>No</v>
      </c>
      <c r="N25" s="24" t="str">
        <f ca="1"/>
        <v>Yes</v>
      </c>
      <c r="O25" s="25" t="str">
        <f t="array" aca="1" ref="O25" ca="1">IF(AND(D25&lt;65,M25="No", N25="No"),"Good Stock","")</f>
        <v/>
      </c>
      <c r="P25" s="24" t="str">
        <f t="shared" ca="1" si="0"/>
        <v>Low Cap</v>
      </c>
      <c r="Q25" s="26"/>
      <c r="R25" s="26"/>
      <c r="S25" s="26"/>
      <c r="T25" s="26"/>
      <c r="U25" s="26"/>
      <c r="V25" s="26"/>
      <c r="W25" s="26"/>
      <c r="X25" s="26"/>
      <c r="Y25" s="26"/>
      <c r="Z25" s="27"/>
      <c r="AA25" s="26"/>
      <c r="AB25" s="26"/>
    </row>
    <row r="26" spans="1:28">
      <c r="A26" s="21" t="str">
        <f ca="1">IFERROR(__xludf.DUMMYFUNCTION("""COMPUTED_VALUE"""),"Britannia")</f>
        <v>Britannia</v>
      </c>
      <c r="B26" s="22">
        <f ca="1">IFERROR(__xludf.DUMMYFUNCTION("""COMPUTED_VALUE"""),104442.9)</f>
        <v>104442.9</v>
      </c>
      <c r="C26" s="21">
        <f ca="1">IFERROR(__xludf.DUMMYFUNCTION("""COMPUTED_VALUE"""),4328)</f>
        <v>4328</v>
      </c>
      <c r="D26" s="21">
        <f ca="1">IFERROR(__xludf.DUMMYFUNCTION("""COMPUTED_VALUE"""),65.9)</f>
        <v>65.900000000000006</v>
      </c>
      <c r="E26" s="21">
        <f ca="1">IFERROR(__xludf.DUMMYFUNCTION("""COMPUTED_VALUE"""),4537)</f>
        <v>4537</v>
      </c>
      <c r="F26" s="24">
        <f ca="1">IFERROR(__xludf.DUMMYFUNCTION("""COMPUTED_VALUE"""),0.046065682168834)</f>
        <v>4.6065682168833999E-2</v>
      </c>
      <c r="G26" s="21">
        <f ca="1">IFERROR(__xludf.DUMMYFUNCTION("""COMPUTED_VALUE"""),3050)</f>
        <v>3050</v>
      </c>
      <c r="H26" s="24">
        <f ca="1">IFERROR(__xludf.DUMMYFUNCTION("""COMPUTED_VALUE"""),0.419016393442622)</f>
        <v>0.41901639344262198</v>
      </c>
      <c r="I26" s="21">
        <f ca="1">IFERROR(__xludf.DUMMYFUNCTION("""COMPUTED_VALUE"""),4299.25)</f>
        <v>4299.25</v>
      </c>
      <c r="J26" s="24">
        <f ca="1">IFERROR(__xludf.DUMMYFUNCTION("""COMPUTED_VALUE"""),0.00668721288596848)</f>
        <v>6.6872128859684797E-3</v>
      </c>
      <c r="K26" s="24" t="str">
        <f ca="1"/>
        <v>FMCG</v>
      </c>
      <c r="L26" s="24" t="str">
        <f ca="1"/>
        <v>BRITANNIA</v>
      </c>
      <c r="M26" s="24" t="str">
        <f ca="1"/>
        <v>No</v>
      </c>
      <c r="N26" s="24" t="str">
        <f ca="1"/>
        <v>No</v>
      </c>
      <c r="O26" s="25" t="str">
        <f t="array" aca="1" ref="O26" ca="1">IF(AND(D26&lt;65,M26="No", N26="No"),"Good Stock","")</f>
        <v/>
      </c>
      <c r="P26" s="24" t="str">
        <f t="shared" ca="1" si="0"/>
        <v>Low Cap</v>
      </c>
      <c r="Q26" s="26"/>
      <c r="R26" s="26"/>
      <c r="S26" s="26"/>
      <c r="T26" s="26"/>
      <c r="U26" s="26"/>
      <c r="V26" s="26"/>
      <c r="W26" s="26"/>
      <c r="X26" s="26"/>
      <c r="Y26" s="26"/>
      <c r="Z26" s="27"/>
      <c r="AA26" s="26"/>
      <c r="AB26" s="26"/>
    </row>
    <row r="27" spans="1:28">
      <c r="A27" s="21" t="str">
        <f ca="1">IFERROR(__xludf.DUMMYFUNCTION("""COMPUTED_VALUE"""),"Ambuja Cement")</f>
        <v>Ambuja Cement</v>
      </c>
      <c r="B27" s="22">
        <f ca="1">IFERROR(__xludf.DUMMYFUNCTION("""COMPUTED_VALUE"""),102995.3567038)</f>
        <v>102995.3567038</v>
      </c>
      <c r="C27" s="21">
        <f ca="1">IFERROR(__xludf.DUMMYFUNCTION("""COMPUTED_VALUE"""),518.7)</f>
        <v>518.70000000000005</v>
      </c>
      <c r="D27" s="21">
        <f ca="1">IFERROR(__xludf.DUMMYFUNCTION("""COMPUTED_VALUE"""),57.36)</f>
        <v>57.36</v>
      </c>
      <c r="E27" s="21">
        <f ca="1">IFERROR(__xludf.DUMMYFUNCTION("""COMPUTED_VALUE"""),598.15)</f>
        <v>598.15</v>
      </c>
      <c r="F27" s="24">
        <f ca="1">IFERROR(__xludf.DUMMYFUNCTION("""COMPUTED_VALUE"""),0.132826214160327)</f>
        <v>0.132826214160327</v>
      </c>
      <c r="G27" s="21">
        <f ca="1">IFERROR(__xludf.DUMMYFUNCTION("""COMPUTED_VALUE"""),274)</f>
        <v>274</v>
      </c>
      <c r="H27" s="24">
        <f ca="1">IFERROR(__xludf.DUMMYFUNCTION("""COMPUTED_VALUE"""),0.893065693430657)</f>
        <v>0.893065693430657</v>
      </c>
      <c r="I27" s="21">
        <f ca="1">IFERROR(__xludf.DUMMYFUNCTION("""COMPUTED_VALUE"""),510.4)</f>
        <v>510.4</v>
      </c>
      <c r="J27" s="24">
        <f ca="1">IFERROR(__xludf.DUMMYFUNCTION("""COMPUTED_VALUE"""),0.0162617554858935)</f>
        <v>1.6261755485893498E-2</v>
      </c>
      <c r="K27" s="24" t="str">
        <f ca="1"/>
        <v>Cement</v>
      </c>
      <c r="L27" s="24" t="str">
        <f ca="1"/>
        <v>BOM:500425</v>
      </c>
      <c r="M27" s="24" t="str">
        <f ca="1"/>
        <v>No</v>
      </c>
      <c r="N27" s="24" t="str">
        <f ca="1"/>
        <v>No</v>
      </c>
      <c r="O27" s="25" t="str">
        <f t="array" aca="1" ref="O27" ca="1">IF(AND(D27&lt;65,M27="No", N27="No"),"Good Stock","")</f>
        <v>Good Stock</v>
      </c>
      <c r="P27" s="24" t="str">
        <f t="shared" ca="1" si="0"/>
        <v>Low Cap</v>
      </c>
      <c r="Q27" s="26"/>
      <c r="R27" s="26"/>
      <c r="S27" s="26"/>
      <c r="T27" s="26"/>
      <c r="U27" s="26"/>
      <c r="V27" s="26"/>
      <c r="W27" s="26"/>
      <c r="X27" s="26"/>
      <c r="Y27" s="26"/>
      <c r="Z27" s="27"/>
      <c r="AA27" s="26"/>
      <c r="AB27" s="26"/>
    </row>
    <row r="28" spans="1:28">
      <c r="A28" s="21" t="str">
        <f ca="1">IFERROR(__xludf.DUMMYFUNCTION("""COMPUTED_VALUE"""),"Bajaj Auto")</f>
        <v>Bajaj Auto</v>
      </c>
      <c r="B28" s="22">
        <f ca="1">IFERROR(__xludf.DUMMYFUNCTION("""COMPUTED_VALUE"""),101964.8629622)</f>
        <v>101964.8629622</v>
      </c>
      <c r="C28" s="21">
        <f ca="1">IFERROR(__xludf.DUMMYFUNCTION("""COMPUTED_VALUE"""),3602.45)</f>
        <v>3602.45</v>
      </c>
      <c r="D28" s="21">
        <f ca="1">IFERROR(__xludf.DUMMYFUNCTION("""COMPUTED_VALUE"""),17.79)</f>
        <v>17.79</v>
      </c>
      <c r="E28" s="21">
        <f ca="1">IFERROR(__xludf.DUMMYFUNCTION("""COMPUTED_VALUE"""),4131.75)</f>
        <v>4131.75</v>
      </c>
      <c r="F28" s="24">
        <f ca="1">IFERROR(__xludf.DUMMYFUNCTION("""COMPUTED_VALUE"""),0.12810552429358)</f>
        <v>0.12810552429357999</v>
      </c>
      <c r="G28" s="21">
        <f ca="1">IFERROR(__xludf.DUMMYFUNCTION("""COMPUTED_VALUE"""),3125)</f>
        <v>3125</v>
      </c>
      <c r="H28" s="24">
        <f ca="1">IFERROR(__xludf.DUMMYFUNCTION("""COMPUTED_VALUE"""),0.152783999999999)</f>
        <v>0.152783999999999</v>
      </c>
      <c r="I28" s="21">
        <f ca="1">IFERROR(__xludf.DUMMYFUNCTION("""COMPUTED_VALUE"""),3570.3)</f>
        <v>3570.3</v>
      </c>
      <c r="J28" s="24">
        <f ca="1">IFERROR(__xludf.DUMMYFUNCTION("""COMPUTED_VALUE"""),0.00900484553118775)</f>
        <v>9.0048455311877492E-3</v>
      </c>
      <c r="K28" s="24" t="str">
        <f ca="1"/>
        <v>Automobile</v>
      </c>
      <c r="L28" s="24" t="str">
        <f ca="1"/>
        <v>BAJAJ-AUTO</v>
      </c>
      <c r="M28" s="24" t="str">
        <f ca="1"/>
        <v>No</v>
      </c>
      <c r="N28" s="24" t="str">
        <f ca="1"/>
        <v>Yes</v>
      </c>
      <c r="O28" s="25" t="str">
        <f t="array" aca="1" ref="O28" ca="1">IF(AND(D28&lt;65,M28="No", N28="No"),"Good Stock","")</f>
        <v/>
      </c>
      <c r="P28" s="24" t="str">
        <f t="shared" ca="1" si="0"/>
        <v>Low Cap</v>
      </c>
      <c r="Q28" s="26"/>
      <c r="R28" s="26"/>
      <c r="S28" s="26"/>
      <c r="T28" s="26"/>
      <c r="U28" s="26"/>
      <c r="V28" s="26"/>
      <c r="W28" s="26"/>
      <c r="X28" s="26"/>
      <c r="Y28" s="26"/>
      <c r="Z28" s="27"/>
      <c r="AA28" s="26"/>
      <c r="AB28" s="26"/>
    </row>
    <row r="29" spans="1:28">
      <c r="A29" s="21" t="str">
        <f ca="1">IFERROR(__xludf.DUMMYFUNCTION("""COMPUTED_VALUE"""),"Tech Mahindra")</f>
        <v>Tech Mahindra</v>
      </c>
      <c r="B29" s="22">
        <f ca="1">IFERROR(__xludf.DUMMYFUNCTION("""COMPUTED_VALUE"""),97631.0184537)</f>
        <v>97631.018453700002</v>
      </c>
      <c r="C29" s="21">
        <f ca="1">IFERROR(__xludf.DUMMYFUNCTION("""COMPUTED_VALUE"""),1002.8)</f>
        <v>1002.8</v>
      </c>
      <c r="D29" s="21">
        <f ca="1">IFERROR(__xludf.DUMMYFUNCTION("""COMPUTED_VALUE"""),16.8)</f>
        <v>16.8</v>
      </c>
      <c r="E29" s="21">
        <f ca="1">IFERROR(__xludf.DUMMYFUNCTION("""COMPUTED_VALUE"""),1751)</f>
        <v>1751</v>
      </c>
      <c r="F29" s="24">
        <f ca="1">IFERROR(__xludf.DUMMYFUNCTION("""COMPUTED_VALUE"""),0.427298686464877)</f>
        <v>0.42729868646487701</v>
      </c>
      <c r="G29" s="21">
        <f ca="1">IFERROR(__xludf.DUMMYFUNCTION("""COMPUTED_VALUE"""),943.7)</f>
        <v>943.7</v>
      </c>
      <c r="H29" s="24">
        <f ca="1">IFERROR(__xludf.DUMMYFUNCTION("""COMPUTED_VALUE"""),0.0626258344812969)</f>
        <v>6.2625834481296896E-2</v>
      </c>
      <c r="I29" s="21">
        <f ca="1">IFERROR(__xludf.DUMMYFUNCTION("""COMPUTED_VALUE"""),1001.55)</f>
        <v>1001.55</v>
      </c>
      <c r="J29" s="24">
        <f ca="1">IFERROR(__xludf.DUMMYFUNCTION("""COMPUTED_VALUE"""),0.00124806549847736)</f>
        <v>1.2480654984773599E-3</v>
      </c>
      <c r="K29" s="24" t="str">
        <f ca="1"/>
        <v>IT</v>
      </c>
      <c r="L29" s="24" t="str">
        <f ca="1"/>
        <v>TECHM</v>
      </c>
      <c r="M29" s="24" t="str">
        <f ca="1"/>
        <v>Yes</v>
      </c>
      <c r="N29" s="24" t="str">
        <f ca="1"/>
        <v>Yes</v>
      </c>
      <c r="O29" s="25" t="str">
        <f t="array" aca="1" ref="O29" ca="1">IF(AND(D29&lt;65,M29="No", N29="No"),"Good Stock","")</f>
        <v/>
      </c>
      <c r="P29" s="24" t="str">
        <f t="shared" ca="1" si="0"/>
        <v>Low Cap</v>
      </c>
      <c r="Q29" s="26"/>
      <c r="R29" s="26"/>
      <c r="S29" s="26"/>
      <c r="T29" s="26"/>
      <c r="U29" s="26"/>
      <c r="V29" s="26"/>
      <c r="W29" s="26"/>
      <c r="X29" s="26"/>
      <c r="Y29" s="26"/>
      <c r="Z29" s="27"/>
      <c r="AA29" s="26"/>
      <c r="AB29" s="26"/>
    </row>
    <row r="30" spans="1:28">
      <c r="A30" s="21" t="str">
        <f ca="1">IFERROR(__xludf.DUMMYFUNCTION("""COMPUTED_VALUE"""),"Dabur")</f>
        <v>Dabur</v>
      </c>
      <c r="B30" s="22">
        <f ca="1">IFERROR(__xludf.DUMMYFUNCTION("""COMPUTED_VALUE"""),96383.9372552)</f>
        <v>96383.937255199999</v>
      </c>
      <c r="C30" s="21">
        <f ca="1">IFERROR(__xludf.DUMMYFUNCTION("""COMPUTED_VALUE"""),544)</f>
        <v>544</v>
      </c>
      <c r="D30" s="21">
        <f ca="1">IFERROR(__xludf.DUMMYFUNCTION("""COMPUTED_VALUE"""),55.79)</f>
        <v>55.79</v>
      </c>
      <c r="E30" s="21">
        <f ca="1">IFERROR(__xludf.DUMMYFUNCTION("""COMPUTED_VALUE"""),610.75)</f>
        <v>610.75</v>
      </c>
      <c r="F30" s="24">
        <f ca="1">IFERROR(__xludf.DUMMYFUNCTION("""COMPUTED_VALUE"""),0.109291854277527)</f>
        <v>0.109291854277527</v>
      </c>
      <c r="G30" s="21">
        <f ca="1">IFERROR(__xludf.DUMMYFUNCTION("""COMPUTED_VALUE"""),482.25)</f>
        <v>482.25</v>
      </c>
      <c r="H30" s="24">
        <f ca="1">IFERROR(__xludf.DUMMYFUNCTION("""COMPUTED_VALUE"""),0.128045619491964)</f>
        <v>0.128045619491964</v>
      </c>
      <c r="I30" s="21">
        <f ca="1">IFERROR(__xludf.DUMMYFUNCTION("""COMPUTED_VALUE"""),544.95)</f>
        <v>544.95000000000005</v>
      </c>
      <c r="J30" s="24">
        <f ca="1">IFERROR(__xludf.DUMMYFUNCTION("""COMPUTED_VALUE"""),-0.00174327919992668)</f>
        <v>-1.74327919992668E-3</v>
      </c>
      <c r="K30" s="24" t="str">
        <f ca="1"/>
        <v>FMCG</v>
      </c>
      <c r="L30" s="24" t="str">
        <f ca="1"/>
        <v>DABUR</v>
      </c>
      <c r="M30" s="24" t="str">
        <f ca="1"/>
        <v>No</v>
      </c>
      <c r="N30" s="24" t="str">
        <f ca="1"/>
        <v>Yes</v>
      </c>
      <c r="O30" s="25" t="str">
        <f t="array" aca="1" ref="O30" ca="1">IF(AND(D30&lt;65,M30="No", N30="No"),"Good Stock","")</f>
        <v/>
      </c>
      <c r="P30" s="24" t="str">
        <f t="shared" ca="1" si="0"/>
        <v>Low Cap</v>
      </c>
      <c r="Q30" s="26"/>
      <c r="R30" s="26"/>
      <c r="S30" s="26"/>
      <c r="T30" s="26"/>
      <c r="U30" s="26"/>
      <c r="V30" s="26"/>
      <c r="W30" s="26"/>
      <c r="X30" s="26"/>
      <c r="Y30" s="26"/>
      <c r="Z30" s="27"/>
      <c r="AA30" s="26"/>
      <c r="AB30" s="26"/>
    </row>
    <row r="31" spans="1:28">
      <c r="A31" s="21" t="str">
        <f ca="1">IFERROR(__xludf.DUMMYFUNCTION("""COMPUTED_VALUE"""),"Bank of Baroda")</f>
        <v>Bank of Baroda</v>
      </c>
      <c r="B31" s="22">
        <f ca="1">IFERROR(__xludf.DUMMYFUNCTION("""COMPUTED_VALUE"""),95565.8761753)</f>
        <v>95565.8761753</v>
      </c>
      <c r="C31" s="21">
        <f ca="1">IFERROR(__xludf.DUMMYFUNCTION("""COMPUTED_VALUE"""),184.9)</f>
        <v>184.9</v>
      </c>
      <c r="D31" s="21">
        <f ca="1">IFERROR(__xludf.DUMMYFUNCTION("""COMPUTED_VALUE"""),9.72)</f>
        <v>9.7200000000000006</v>
      </c>
      <c r="E31" s="21">
        <f ca="1">IFERROR(__xludf.DUMMYFUNCTION("""COMPUTED_VALUE"""),197.2)</f>
        <v>197.2</v>
      </c>
      <c r="F31" s="24">
        <f ca="1">IFERROR(__xludf.DUMMYFUNCTION("""COMPUTED_VALUE"""),0.0623732251521297)</f>
        <v>6.2373225152129702E-2</v>
      </c>
      <c r="G31" s="21">
        <f ca="1">IFERROR(__xludf.DUMMYFUNCTION("""COMPUTED_VALUE"""),89.9)</f>
        <v>89.9</v>
      </c>
      <c r="H31" s="24">
        <f ca="1">IFERROR(__xludf.DUMMYFUNCTION("""COMPUTED_VALUE"""),1.05672969966629)</f>
        <v>1.05672969966629</v>
      </c>
      <c r="I31" s="21">
        <f ca="1">IFERROR(__xludf.DUMMYFUNCTION("""COMPUTED_VALUE"""),181.8)</f>
        <v>181.8</v>
      </c>
      <c r="J31" s="24">
        <f ca="1">IFERROR(__xludf.DUMMYFUNCTION("""COMPUTED_VALUE"""),0.017051705170517)</f>
        <v>1.7051705170517E-2</v>
      </c>
      <c r="K31" s="24" t="str">
        <f ca="1"/>
        <v>Bank</v>
      </c>
      <c r="L31" s="24" t="str">
        <f ca="1"/>
        <v>BOM:532134</v>
      </c>
      <c r="M31" s="24" t="str">
        <f ca="1"/>
        <v>No</v>
      </c>
      <c r="N31" s="24" t="str">
        <f ca="1"/>
        <v>No</v>
      </c>
      <c r="O31" s="25" t="str">
        <f t="array" aca="1" ref="O31" ca="1">IF(AND(D31&lt;65,M31="No", N31="No"),"Good Stock","")</f>
        <v>Good Stock</v>
      </c>
      <c r="P31" s="24" t="str">
        <f t="shared" ca="1" si="0"/>
        <v>Low Cap</v>
      </c>
      <c r="Q31" s="26"/>
      <c r="R31" s="26"/>
      <c r="S31" s="26"/>
      <c r="T31" s="26"/>
      <c r="U31" s="26"/>
      <c r="V31" s="26"/>
      <c r="W31" s="26"/>
      <c r="X31" s="26"/>
      <c r="Y31" s="26"/>
      <c r="Z31" s="27"/>
      <c r="AA31" s="26"/>
      <c r="AB31" s="26"/>
    </row>
    <row r="32" spans="1:28">
      <c r="A32" s="21" t="str">
        <f ca="1">IFERROR(__xludf.DUMMYFUNCTION("""COMPUTED_VALUE"""),"Godrej Consumer")</f>
        <v>Godrej Consumer</v>
      </c>
      <c r="B32" s="22">
        <f ca="1">IFERROR(__xludf.DUMMYFUNCTION("""COMPUTED_VALUE"""),93678.862)</f>
        <v>93678.861999999994</v>
      </c>
      <c r="C32" s="21">
        <f ca="1">IFERROR(__xludf.DUMMYFUNCTION("""COMPUTED_VALUE"""),916.75)</f>
        <v>916.75</v>
      </c>
      <c r="D32" s="21">
        <f ca="1">IFERROR(__xludf.DUMMYFUNCTION("""COMPUTED_VALUE"""),58.81)</f>
        <v>58.81</v>
      </c>
      <c r="E32" s="21">
        <f ca="1">IFERROR(__xludf.DUMMYFUNCTION("""COMPUTED_VALUE"""),955.65)</f>
        <v>955.65</v>
      </c>
      <c r="F32" s="24">
        <f ca="1">IFERROR(__xludf.DUMMYFUNCTION("""COMPUTED_VALUE"""),0.0407052791293883)</f>
        <v>4.0705279129388303E-2</v>
      </c>
      <c r="G32" s="21">
        <f ca="1">IFERROR(__xludf.DUMMYFUNCTION("""COMPUTED_VALUE"""),660.2)</f>
        <v>660.2</v>
      </c>
      <c r="H32" s="24">
        <f ca="1">IFERROR(__xludf.DUMMYFUNCTION("""COMPUTED_VALUE"""),0.388594365343835)</f>
        <v>0.38859436534383501</v>
      </c>
      <c r="I32" s="21">
        <f ca="1">IFERROR(__xludf.DUMMYFUNCTION("""COMPUTED_VALUE"""),914.9)</f>
        <v>914.9</v>
      </c>
      <c r="J32" s="24">
        <f ca="1">IFERROR(__xludf.DUMMYFUNCTION("""COMPUTED_VALUE"""),0.00202207891572852)</f>
        <v>2.02207891572852E-3</v>
      </c>
      <c r="K32" s="24" t="str">
        <f ca="1"/>
        <v>FMCG</v>
      </c>
      <c r="L32" s="24" t="str">
        <f ca="1"/>
        <v>BOM:532424</v>
      </c>
      <c r="M32" s="24" t="str">
        <f ca="1"/>
        <v>No</v>
      </c>
      <c r="N32" s="24" t="str">
        <f ca="1"/>
        <v>No</v>
      </c>
      <c r="O32" s="25" t="str">
        <f t="array" aca="1" ref="O32" ca="1">IF(AND(D32&lt;65,M32="No", N32="No"),"Good Stock","")</f>
        <v>Good Stock</v>
      </c>
      <c r="P32" s="24" t="str">
        <f t="shared" ca="1" si="0"/>
        <v>Low Cap</v>
      </c>
      <c r="Q32" s="26"/>
      <c r="R32" s="26"/>
      <c r="S32" s="26"/>
      <c r="T32" s="26"/>
      <c r="U32" s="26"/>
      <c r="V32" s="26"/>
      <c r="W32" s="26"/>
      <c r="X32" s="26"/>
      <c r="Y32" s="26"/>
      <c r="Z32" s="27"/>
      <c r="AA32" s="26"/>
      <c r="AB32" s="26"/>
    </row>
    <row r="33" spans="1:28">
      <c r="A33" s="21" t="str">
        <f ca="1">IFERROR(__xludf.DUMMYFUNCTION("""COMPUTED_VALUE"""),"Divi's Lab")</f>
        <v>Divi's Lab</v>
      </c>
      <c r="B33" s="22">
        <f ca="1">IFERROR(__xludf.DUMMYFUNCTION("""COMPUTED_VALUE"""),88977.11)</f>
        <v>88977.11</v>
      </c>
      <c r="C33" s="21">
        <f ca="1">IFERROR(__xludf.DUMMYFUNCTION("""COMPUTED_VALUE"""),3352.15)</f>
        <v>3352.15</v>
      </c>
      <c r="D33" s="21">
        <f ca="1">IFERROR(__xludf.DUMMYFUNCTION("""COMPUTED_VALUE"""),29.74)</f>
        <v>29.74</v>
      </c>
      <c r="E33" s="21">
        <f ca="1">IFERROR(__xludf.DUMMYFUNCTION("""COMPUTED_VALUE"""),4668)</f>
        <v>4668</v>
      </c>
      <c r="F33" s="24">
        <f ca="1">IFERROR(__xludf.DUMMYFUNCTION("""COMPUTED_VALUE"""),0.281887317909168)</f>
        <v>0.28188731790916799</v>
      </c>
      <c r="G33" s="21">
        <f ca="1">IFERROR(__xludf.DUMMYFUNCTION("""COMPUTED_VALUE"""),3195.15)</f>
        <v>3195.15</v>
      </c>
      <c r="H33" s="24">
        <f ca="1">IFERROR(__xludf.DUMMYFUNCTION("""COMPUTED_VALUE"""),0.0491369732250442)</f>
        <v>4.9136973225044199E-2</v>
      </c>
      <c r="I33" s="21">
        <f ca="1">IFERROR(__xludf.DUMMYFUNCTION("""COMPUTED_VALUE"""),3305.3)</f>
        <v>3305.3</v>
      </c>
      <c r="J33" s="24">
        <f ca="1">IFERROR(__xludf.DUMMYFUNCTION("""COMPUTED_VALUE"""),0.0141742050645932)</f>
        <v>1.4174205064593199E-2</v>
      </c>
      <c r="K33" s="24" t="str">
        <f ca="1"/>
        <v>Pharma</v>
      </c>
      <c r="L33" s="24" t="str">
        <f ca="1"/>
        <v>DIVISLAB</v>
      </c>
      <c r="M33" s="24" t="str">
        <f ca="1"/>
        <v>No</v>
      </c>
      <c r="N33" s="24" t="str">
        <f ca="1"/>
        <v>Yes</v>
      </c>
      <c r="O33" s="25" t="str">
        <f t="array" aca="1" ref="O33" ca="1">IF(AND(D33&lt;65,M33="No", N33="No"),"Good Stock","")</f>
        <v/>
      </c>
      <c r="P33" s="24" t="str">
        <f t="shared" ca="1" si="0"/>
        <v>Low Cap</v>
      </c>
      <c r="Q33" s="26"/>
      <c r="R33" s="26"/>
      <c r="S33" s="26"/>
      <c r="T33" s="26"/>
      <c r="U33" s="26"/>
      <c r="V33" s="26"/>
      <c r="W33" s="26"/>
      <c r="X33" s="26"/>
      <c r="Y33" s="26"/>
      <c r="Z33" s="27"/>
      <c r="AA33" s="26"/>
      <c r="AB33" s="26"/>
    </row>
    <row r="34" spans="1:28">
      <c r="A34" s="21" t="str">
        <f ca="1">IFERROR(__xludf.DUMMYFUNCTION("""COMPUTED_VALUE"""),"Shree Cement")</f>
        <v>Shree Cement</v>
      </c>
      <c r="B34" s="22">
        <f ca="1">IFERROR(__xludf.DUMMYFUNCTION("""COMPUTED_VALUE"""),87098.03)</f>
        <v>87098.03</v>
      </c>
      <c r="C34" s="21">
        <f ca="1">IFERROR(__xludf.DUMMYFUNCTION("""COMPUTED_VALUE"""),24025)</f>
        <v>24025</v>
      </c>
      <c r="D34" s="21">
        <f ca="1">IFERROR(__xludf.DUMMYFUNCTION("""COMPUTED_VALUE"""),54.11)</f>
        <v>54.11</v>
      </c>
      <c r="E34" s="21">
        <f ca="1">IFERROR(__xludf.DUMMYFUNCTION("""COMPUTED_VALUE"""),27936.75)</f>
        <v>27936.75</v>
      </c>
      <c r="F34" s="24">
        <f ca="1">IFERROR(__xludf.DUMMYFUNCTION("""COMPUTED_VALUE"""),0.140021656062355)</f>
        <v>0.140021656062355</v>
      </c>
      <c r="G34" s="21">
        <f ca="1">IFERROR(__xludf.DUMMYFUNCTION("""COMPUTED_VALUE"""),17865.2)</f>
        <v>17865.2</v>
      </c>
      <c r="H34" s="24">
        <f ca="1">IFERROR(__xludf.DUMMYFUNCTION("""COMPUTED_VALUE"""),0.344793229294942)</f>
        <v>0.34479322929494199</v>
      </c>
      <c r="I34" s="21">
        <f ca="1">IFERROR(__xludf.DUMMYFUNCTION("""COMPUTED_VALUE"""),23854.85)</f>
        <v>23854.85</v>
      </c>
      <c r="J34" s="24">
        <f ca="1">IFERROR(__xludf.DUMMYFUNCTION("""COMPUTED_VALUE"""),0.00713272143819816)</f>
        <v>7.1327214381981599E-3</v>
      </c>
      <c r="K34" s="24" t="str">
        <f ca="1"/>
        <v>Cement</v>
      </c>
      <c r="L34" s="24" t="str">
        <f ca="1"/>
        <v>SHREECEM</v>
      </c>
      <c r="M34" s="24" t="str">
        <f ca="1"/>
        <v>No</v>
      </c>
      <c r="N34" s="24" t="str">
        <f ca="1"/>
        <v>No</v>
      </c>
      <c r="O34" s="25" t="str">
        <f t="array" aca="1" ref="O34" ca="1">IF(AND(D34&lt;65,M34="No", N34="No"),"Good Stock","")</f>
        <v>Good Stock</v>
      </c>
      <c r="P34" s="24" t="str">
        <f t="shared" ca="1" si="0"/>
        <v>Low Cap</v>
      </c>
      <c r="Q34" s="26"/>
      <c r="R34" s="26"/>
      <c r="S34" s="26"/>
      <c r="T34" s="26"/>
      <c r="U34" s="26"/>
      <c r="V34" s="26"/>
      <c r="W34" s="26"/>
      <c r="X34" s="26"/>
      <c r="Y34" s="26"/>
      <c r="Z34" s="27"/>
      <c r="AA34" s="26"/>
      <c r="AB34" s="26"/>
    </row>
    <row r="35" spans="1:28">
      <c r="A35" s="21" t="str">
        <f ca="1">IFERROR(__xludf.DUMMYFUNCTION("""COMPUTED_VALUE"""),"Eicher Motor")</f>
        <v>Eicher Motor</v>
      </c>
      <c r="B35" s="22">
        <f ca="1">IFERROR(__xludf.DUMMYFUNCTION("""COMPUTED_VALUE"""),86543.2296232)</f>
        <v>86543.229623199994</v>
      </c>
      <c r="C35" s="21">
        <f ca="1">IFERROR(__xludf.DUMMYFUNCTION("""COMPUTED_VALUE"""),3164.9)</f>
        <v>3164.9</v>
      </c>
      <c r="D35" s="21">
        <f ca="1">IFERROR(__xludf.DUMMYFUNCTION("""COMPUTED_VALUE"""),37.12)</f>
        <v>37.119999999999997</v>
      </c>
      <c r="E35" s="21">
        <f ca="1">IFERROR(__xludf.DUMMYFUNCTION("""COMPUTED_VALUE"""),3889.65)</f>
        <v>3889.65</v>
      </c>
      <c r="F35" s="24">
        <f ca="1">IFERROR(__xludf.DUMMYFUNCTION("""COMPUTED_VALUE"""),0.18632781869834)</f>
        <v>0.18632781869834</v>
      </c>
      <c r="G35" s="21">
        <f ca="1">IFERROR(__xludf.DUMMYFUNCTION("""COMPUTED_VALUE"""),2159.55)</f>
        <v>2159.5500000000002</v>
      </c>
      <c r="H35" s="24">
        <f ca="1">IFERROR(__xludf.DUMMYFUNCTION("""COMPUTED_VALUE"""),0.465536801648491)</f>
        <v>0.46553680164849098</v>
      </c>
      <c r="I35" s="21">
        <f ca="1">IFERROR(__xludf.DUMMYFUNCTION("""COMPUTED_VALUE"""),3103.25)</f>
        <v>3103.25</v>
      </c>
      <c r="J35" s="24">
        <f ca="1">IFERROR(__xludf.DUMMYFUNCTION("""COMPUTED_VALUE"""),0.0198662692338677)</f>
        <v>1.9866269233867698E-2</v>
      </c>
      <c r="K35" s="24" t="str">
        <f ca="1"/>
        <v>Automobile</v>
      </c>
      <c r="L35" s="24" t="str">
        <f ca="1"/>
        <v>EICHERMOT</v>
      </c>
      <c r="M35" s="24" t="str">
        <f ca="1"/>
        <v>No</v>
      </c>
      <c r="N35" s="24" t="str">
        <f ca="1"/>
        <v>No</v>
      </c>
      <c r="O35" s="25" t="str">
        <f t="array" aca="1" ref="O35" ca="1">IF(AND(D35&lt;65,M35="No", N35="No"),"Good Stock","")</f>
        <v>Good Stock</v>
      </c>
      <c r="P35" s="24" t="str">
        <f t="shared" ca="1" si="0"/>
        <v>Low Cap</v>
      </c>
      <c r="Q35" s="26"/>
      <c r="R35" s="26"/>
      <c r="S35" s="26"/>
      <c r="T35" s="26"/>
      <c r="U35" s="26"/>
      <c r="V35" s="26"/>
      <c r="W35" s="26"/>
      <c r="X35" s="26"/>
      <c r="Y35" s="26"/>
      <c r="Z35" s="27"/>
      <c r="AA35" s="26"/>
      <c r="AB35" s="26"/>
    </row>
    <row r="36" spans="1:28">
      <c r="A36" s="21" t="str">
        <f ca="1">IFERROR(__xludf.DUMMYFUNCTION("""COMPUTED_VALUE"""),"Cipla")</f>
        <v>Cipla</v>
      </c>
      <c r="B36" s="22">
        <f ca="1">IFERROR(__xludf.DUMMYFUNCTION("""COMPUTED_VALUE"""),86182.29)</f>
        <v>86182.29</v>
      </c>
      <c r="C36" s="21">
        <f ca="1">IFERROR(__xludf.DUMMYFUNCTION("""COMPUTED_VALUE"""),1068.85)</f>
        <v>1068.8499999999999</v>
      </c>
      <c r="D36" s="21">
        <f ca="1">IFERROR(__xludf.DUMMYFUNCTION("""COMPUTED_VALUE"""),33.64)</f>
        <v>33.64</v>
      </c>
      <c r="E36" s="21">
        <f ca="1">IFERROR(__xludf.DUMMYFUNCTION("""COMPUTED_VALUE"""),1185.25)</f>
        <v>1185.25</v>
      </c>
      <c r="F36" s="24">
        <f ca="1">IFERROR(__xludf.DUMMYFUNCTION("""COMPUTED_VALUE"""),0.0982071292976166)</f>
        <v>9.8207129297616602E-2</v>
      </c>
      <c r="G36" s="21">
        <f ca="1">IFERROR(__xludf.DUMMYFUNCTION("""COMPUTED_VALUE"""),860)</f>
        <v>860</v>
      </c>
      <c r="H36" s="24">
        <f ca="1">IFERROR(__xludf.DUMMYFUNCTION("""COMPUTED_VALUE"""),0.242848837209302)</f>
        <v>0.242848837209302</v>
      </c>
      <c r="I36" s="21">
        <f ca="1">IFERROR(__xludf.DUMMYFUNCTION("""COMPUTED_VALUE"""),1061.15)</f>
        <v>1061.1500000000001</v>
      </c>
      <c r="J36" s="24">
        <f ca="1">IFERROR(__xludf.DUMMYFUNCTION("""COMPUTED_VALUE"""),0.00725627856570684)</f>
        <v>7.2562785657068404E-3</v>
      </c>
      <c r="K36" s="24" t="str">
        <f ca="1"/>
        <v>Pharma</v>
      </c>
      <c r="L36" s="24" t="str">
        <f ca="1"/>
        <v>CIPLA</v>
      </c>
      <c r="M36" s="24" t="str">
        <f ca="1"/>
        <v>No</v>
      </c>
      <c r="N36" s="24" t="str">
        <f ca="1"/>
        <v>Yes</v>
      </c>
      <c r="O36" s="25" t="str">
        <f t="array" aca="1" ref="O36" ca="1">IF(AND(D36&lt;65,M36="No", N36="No"),"Good Stock","")</f>
        <v/>
      </c>
      <c r="P36" s="24" t="str">
        <f t="shared" ca="1" si="0"/>
        <v>Low Cap</v>
      </c>
      <c r="Q36" s="26"/>
      <c r="R36" s="26"/>
      <c r="S36" s="26"/>
      <c r="T36" s="26"/>
      <c r="U36" s="26"/>
      <c r="V36" s="26"/>
      <c r="W36" s="26"/>
      <c r="X36" s="26"/>
      <c r="Y36" s="26"/>
      <c r="Z36" s="27"/>
      <c r="AA36" s="26"/>
      <c r="AB36" s="26"/>
    </row>
    <row r="37" spans="1:28">
      <c r="A37" s="21" t="str">
        <f ca="1">IFERROR(__xludf.DUMMYFUNCTION("""COMPUTED_VALUE"""),"SBI Cards")</f>
        <v>SBI Cards</v>
      </c>
      <c r="B37" s="22">
        <f ca="1">IFERROR(__xludf.DUMMYFUNCTION("""COMPUTED_VALUE"""),74336.7630665)</f>
        <v>74336.763066500003</v>
      </c>
      <c r="C37" s="21">
        <f ca="1">IFERROR(__xludf.DUMMYFUNCTION("""COMPUTED_VALUE"""),786.05)</f>
        <v>786.05</v>
      </c>
      <c r="D37" s="21">
        <f ca="1">IFERROR(__xludf.DUMMYFUNCTION("""COMPUTED_VALUE"""),35.28)</f>
        <v>35.28</v>
      </c>
      <c r="E37" s="21">
        <f ca="1">IFERROR(__xludf.DUMMYFUNCTION("""COMPUTED_VALUE"""),1028.65)</f>
        <v>1028.6500000000001</v>
      </c>
      <c r="F37" s="24">
        <f ca="1">IFERROR(__xludf.DUMMYFUNCTION("""COMPUTED_VALUE"""),0.235843095319107)</f>
        <v>0.23584309531910699</v>
      </c>
      <c r="G37" s="21">
        <f ca="1">IFERROR(__xludf.DUMMYFUNCTION("""COMPUTED_VALUE"""),655.7)</f>
        <v>655.7</v>
      </c>
      <c r="H37" s="24">
        <f ca="1">IFERROR(__xludf.DUMMYFUNCTION("""COMPUTED_VALUE"""),0.198795180722891)</f>
        <v>0.19879518072289101</v>
      </c>
      <c r="I37" s="21">
        <f ca="1">IFERROR(__xludf.DUMMYFUNCTION("""COMPUTED_VALUE"""),780.25)</f>
        <v>780.25</v>
      </c>
      <c r="J37" s="24">
        <f ca="1">IFERROR(__xludf.DUMMYFUNCTION("""COMPUTED_VALUE"""),0.00743351489907075)</f>
        <v>7.4335148990707497E-3</v>
      </c>
      <c r="K37" s="24" t="str">
        <f ca="1"/>
        <v>Financial Servcies</v>
      </c>
      <c r="L37" s="24" t="str">
        <f ca="1"/>
        <v>SBICARD</v>
      </c>
      <c r="M37" s="24" t="str">
        <f ca="1"/>
        <v>No</v>
      </c>
      <c r="N37" s="24" t="str">
        <f ca="1"/>
        <v>Yes</v>
      </c>
      <c r="O37" s="25" t="str">
        <f t="array" aca="1" ref="O37" ca="1">IF(AND(D37&lt;65,M37="No", N37="No"),"Good Stock","")</f>
        <v/>
      </c>
      <c r="P37" s="24" t="str">
        <f t="shared" ca="1" si="0"/>
        <v>Low Cap</v>
      </c>
      <c r="Q37" s="26"/>
      <c r="R37" s="26"/>
      <c r="S37" s="26"/>
      <c r="T37" s="26"/>
      <c r="U37" s="26"/>
      <c r="V37" s="26"/>
      <c r="W37" s="26"/>
      <c r="X37" s="26"/>
      <c r="Y37" s="26"/>
      <c r="Z37" s="27"/>
      <c r="AA37" s="26"/>
      <c r="AB37" s="26"/>
    </row>
    <row r="38" spans="1:28">
      <c r="A38" s="21" t="str">
        <f ca="1">IFERROR(__xludf.DUMMYFUNCTION("""COMPUTED_VALUE"""),"Varun Beverage")</f>
        <v>Varun Beverage</v>
      </c>
      <c r="B38" s="22">
        <f ca="1">IFERROR(__xludf.DUMMYFUNCTION("""COMPUTED_VALUE"""),73698.477067)</f>
        <v>73698.477067</v>
      </c>
      <c r="C38" s="21">
        <f ca="1">IFERROR(__xludf.DUMMYFUNCTION("""COMPUTED_VALUE"""),1134.8)</f>
        <v>1134.8</v>
      </c>
      <c r="D38" s="21">
        <f ca="1">IFERROR(__xludf.DUMMYFUNCTION("""COMPUTED_VALUE"""),51.22)</f>
        <v>51.22</v>
      </c>
      <c r="E38" s="21">
        <f ca="1">IFERROR(__xludf.DUMMYFUNCTION("""COMPUTED_VALUE"""),1432.05)</f>
        <v>1432.05</v>
      </c>
      <c r="F38" s="24">
        <f ca="1">IFERROR(__xludf.DUMMYFUNCTION("""COMPUTED_VALUE"""),0.207569568101672)</f>
        <v>0.20756956810167199</v>
      </c>
      <c r="G38" s="21">
        <f ca="1">IFERROR(__xludf.DUMMYFUNCTION("""COMPUTED_VALUE"""),557.23)</f>
        <v>557.23</v>
      </c>
      <c r="H38" s="24">
        <f ca="1">IFERROR(__xludf.DUMMYFUNCTION("""COMPUTED_VALUE"""),1.03650198302316)</f>
        <v>1.0365019830231601</v>
      </c>
      <c r="I38" s="21">
        <f ca="1">IFERROR(__xludf.DUMMYFUNCTION("""COMPUTED_VALUE"""),1187.3)</f>
        <v>1187.3</v>
      </c>
      <c r="J38" s="24">
        <f ca="1">IFERROR(__xludf.DUMMYFUNCTION("""COMPUTED_VALUE"""),-0.0442179735534405)</f>
        <v>-4.4217973553440502E-2</v>
      </c>
      <c r="K38" s="24" t="str">
        <f ca="1"/>
        <v>Food</v>
      </c>
      <c r="L38" s="24" t="str">
        <f ca="1"/>
        <v>BOM:540180</v>
      </c>
      <c r="M38" s="24" t="str">
        <f ca="1"/>
        <v>No</v>
      </c>
      <c r="N38" s="24" t="str">
        <f ca="1"/>
        <v>No</v>
      </c>
      <c r="O38" s="25" t="str">
        <f t="array" aca="1" ref="O38" ca="1">IF(AND(D38&lt;65,M38="No", N38="No"),"Good Stock","")</f>
        <v>Good Stock</v>
      </c>
      <c r="P38" s="24" t="str">
        <f t="shared" ca="1" si="0"/>
        <v>Low Cap</v>
      </c>
      <c r="Q38" s="26"/>
      <c r="R38" s="26"/>
      <c r="S38" s="26"/>
      <c r="T38" s="26"/>
      <c r="U38" s="26"/>
      <c r="V38" s="26"/>
      <c r="W38" s="26"/>
      <c r="X38" s="26"/>
      <c r="Y38" s="26"/>
      <c r="Z38" s="27"/>
      <c r="AA38" s="26"/>
      <c r="AB38" s="26"/>
    </row>
    <row r="39" spans="1:28">
      <c r="A39" s="21" t="str">
        <f ca="1">IFERROR(__xludf.DUMMYFUNCTION("""COMPUTED_VALUE"""),"Havells India")</f>
        <v>Havells India</v>
      </c>
      <c r="B39" s="22">
        <f ca="1">IFERROR(__xludf.DUMMYFUNCTION("""COMPUTED_VALUE"""),73418.66784)</f>
        <v>73418.667839999995</v>
      </c>
      <c r="C39" s="21">
        <f ca="1">IFERROR(__xludf.DUMMYFUNCTION("""COMPUTED_VALUE"""),1167.55)</f>
        <v>1167.55</v>
      </c>
      <c r="D39" s="21">
        <f ca="1">IFERROR(__xludf.DUMMYFUNCTION("""COMPUTED_VALUE"""),67.24)</f>
        <v>67.239999999999995</v>
      </c>
      <c r="E39" s="21">
        <f ca="1">IFERROR(__xludf.DUMMYFUNCTION("""COMPUTED_VALUE"""),1405.55)</f>
        <v>1405.55</v>
      </c>
      <c r="F39" s="24">
        <f ca="1">IFERROR(__xludf.DUMMYFUNCTION("""COMPUTED_VALUE"""),0.169328732524634)</f>
        <v>0.16932873252463401</v>
      </c>
      <c r="G39" s="21">
        <f ca="1">IFERROR(__xludf.DUMMYFUNCTION("""COMPUTED_VALUE"""),1024.5)</f>
        <v>1024.5</v>
      </c>
      <c r="H39" s="24">
        <f ca="1">IFERROR(__xludf.DUMMYFUNCTION("""COMPUTED_VALUE"""),0.139629087359687)</f>
        <v>0.13962908735968699</v>
      </c>
      <c r="I39" s="21">
        <f ca="1">IFERROR(__xludf.DUMMYFUNCTION("""COMPUTED_VALUE"""),1192.6)</f>
        <v>1192.5999999999999</v>
      </c>
      <c r="J39" s="24">
        <f ca="1">IFERROR(__xludf.DUMMYFUNCTION("""COMPUTED_VALUE"""),-0.0210045279221867)</f>
        <v>-2.1004527922186701E-2</v>
      </c>
      <c r="K39" s="24" t="str">
        <f ca="1"/>
        <v>Consumer Electrical</v>
      </c>
      <c r="L39" s="24" t="str">
        <f ca="1"/>
        <v>HAVELLS</v>
      </c>
      <c r="M39" s="24" t="str">
        <f ca="1"/>
        <v>No</v>
      </c>
      <c r="N39" s="24" t="str">
        <f ca="1"/>
        <v>Yes</v>
      </c>
      <c r="O39" s="25" t="str">
        <f t="array" aca="1" ref="O39" ca="1">IF(AND(D39&lt;65,M39="No", N39="No"),"Good Stock","")</f>
        <v/>
      </c>
      <c r="P39" s="24" t="str">
        <f t="shared" ca="1" si="0"/>
        <v>Low Cap</v>
      </c>
      <c r="Q39" s="26"/>
      <c r="R39" s="26"/>
      <c r="S39" s="26"/>
      <c r="T39" s="26"/>
      <c r="U39" s="26"/>
      <c r="V39" s="26"/>
      <c r="W39" s="26"/>
      <c r="X39" s="26"/>
      <c r="Y39" s="26"/>
      <c r="Z39" s="27"/>
      <c r="AA39" s="26"/>
      <c r="AB39" s="26"/>
    </row>
    <row r="40" spans="1:28">
      <c r="A40" s="21" t="str">
        <f ca="1">IFERROR(__xludf.DUMMYFUNCTION("""COMPUTED_VALUE"""),"Tata Consumer Product")</f>
        <v>Tata Consumer Product</v>
      </c>
      <c r="B40" s="22">
        <f ca="1">IFERROR(__xludf.DUMMYFUNCTION("""COMPUTED_VALUE"""),69898.9623697)</f>
        <v>69898.962369700006</v>
      </c>
      <c r="C40" s="21">
        <f ca="1">IFERROR(__xludf.DUMMYFUNCTION("""COMPUTED_VALUE"""),752.8)</f>
        <v>752.8</v>
      </c>
      <c r="D40" s="21">
        <f ca="1">IFERROR(__xludf.DUMMYFUNCTION("""COMPUTED_VALUE"""),65.04)</f>
        <v>65.040000000000006</v>
      </c>
      <c r="E40" s="21">
        <f ca="1">IFERROR(__xludf.DUMMYFUNCTION("""COMPUTED_VALUE"""),861.15)</f>
        <v>861.15</v>
      </c>
      <c r="F40" s="24">
        <f ca="1">IFERROR(__xludf.DUMMYFUNCTION("""COMPUTED_VALUE"""),0.125820124252453)</f>
        <v>0.12582012425245301</v>
      </c>
      <c r="G40" s="21">
        <f ca="1">IFERROR(__xludf.DUMMYFUNCTION("""COMPUTED_VALUE"""),650.2)</f>
        <v>650.20000000000005</v>
      </c>
      <c r="H40" s="24">
        <f ca="1">IFERROR(__xludf.DUMMYFUNCTION("""COMPUTED_VALUE"""),0.157797600738234)</f>
        <v>0.15779760073823401</v>
      </c>
      <c r="I40" s="21">
        <f ca="1">IFERROR(__xludf.DUMMYFUNCTION("""COMPUTED_VALUE"""),754.25)</f>
        <v>754.25</v>
      </c>
      <c r="J40" s="24">
        <f ca="1">IFERROR(__xludf.DUMMYFUNCTION("""COMPUTED_VALUE"""),-0.00192243950944653)</f>
        <v>-1.9224395094465301E-3</v>
      </c>
      <c r="K40" s="24" t="str">
        <f ca="1"/>
        <v>FMCG</v>
      </c>
      <c r="L40" s="24" t="str">
        <f ca="1"/>
        <v>TATACONSUM</v>
      </c>
      <c r="M40" s="24" t="str">
        <f ca="1"/>
        <v>No</v>
      </c>
      <c r="N40" s="24" t="str">
        <f ca="1"/>
        <v>Yes</v>
      </c>
      <c r="O40" s="25" t="str">
        <f t="array" aca="1" ref="O40" ca="1">IF(AND(D40&lt;65,M40="No", N40="No"),"Good Stock","")</f>
        <v/>
      </c>
      <c r="P40" s="24" t="str">
        <f t="shared" ca="1" si="0"/>
        <v>Low Cap</v>
      </c>
      <c r="Q40" s="26"/>
      <c r="R40" s="26"/>
      <c r="S40" s="26"/>
      <c r="T40" s="26"/>
      <c r="U40" s="26"/>
      <c r="V40" s="26"/>
      <c r="W40" s="26"/>
      <c r="X40" s="26"/>
      <c r="Y40" s="26"/>
      <c r="Z40" s="27"/>
      <c r="AA40" s="26"/>
      <c r="AB40" s="26"/>
    </row>
    <row r="41" spans="1:28">
      <c r="A41" s="21" t="str">
        <f ca="1">IFERROR(__xludf.DUMMYFUNCTION("""COMPUTED_VALUE"""),"ICICI Pru life insurance")</f>
        <v>ICICI Pru life insurance</v>
      </c>
      <c r="B41" s="22">
        <f ca="1">IFERROR(__xludf.DUMMYFUNCTION("""COMPUTED_VALUE"""),67468.3198772)</f>
        <v>67468.319877200003</v>
      </c>
      <c r="C41" s="21">
        <f ca="1">IFERROR(__xludf.DUMMYFUNCTION("""COMPUTED_VALUE"""),468.9)</f>
        <v>468.9</v>
      </c>
      <c r="D41" s="21">
        <f ca="1">IFERROR(__xludf.DUMMYFUNCTION("""COMPUTED_VALUE"""),78.92)</f>
        <v>78.92</v>
      </c>
      <c r="E41" s="21">
        <f ca="1">IFERROR(__xludf.DUMMYFUNCTION("""COMPUTED_VALUE"""),648.85)</f>
        <v>648.85</v>
      </c>
      <c r="F41" s="24">
        <f ca="1">IFERROR(__xludf.DUMMYFUNCTION("""COMPUTED_VALUE"""),0.27733682669338)</f>
        <v>0.27733682669338</v>
      </c>
      <c r="G41" s="21">
        <f ca="1">IFERROR(__xludf.DUMMYFUNCTION("""COMPUTED_VALUE"""),430)</f>
        <v>430</v>
      </c>
      <c r="H41" s="24">
        <f ca="1">IFERROR(__xludf.DUMMYFUNCTION("""COMPUTED_VALUE"""),0.0904651162790697)</f>
        <v>9.0465116279069696E-2</v>
      </c>
      <c r="I41" s="21">
        <f ca="1">IFERROR(__xludf.DUMMYFUNCTION("""COMPUTED_VALUE"""),464.7)</f>
        <v>464.7</v>
      </c>
      <c r="J41" s="24">
        <f ca="1">IFERROR(__xludf.DUMMYFUNCTION("""COMPUTED_VALUE"""),0.00903808908973529)</f>
        <v>9.0380890897352895E-3</v>
      </c>
      <c r="K41" s="24" t="str">
        <f ca="1"/>
        <v>Insurance</v>
      </c>
      <c r="L41" s="24" t="str">
        <f ca="1"/>
        <v>ICICIPRULI</v>
      </c>
      <c r="M41" s="24" t="str">
        <f ca="1"/>
        <v>No</v>
      </c>
      <c r="N41" s="24" t="str">
        <f ca="1"/>
        <v>Yes</v>
      </c>
      <c r="O41" s="25" t="str">
        <f t="array" aca="1" ref="O41" ca="1">IF(AND(D41&lt;65,M41="No", N41="No"),"Good Stock","")</f>
        <v/>
      </c>
      <c r="P41" s="24" t="str">
        <f t="shared" ca="1" si="0"/>
        <v>Low Cap</v>
      </c>
      <c r="Q41" s="26"/>
      <c r="R41" s="26"/>
      <c r="S41" s="26"/>
      <c r="T41" s="26"/>
      <c r="U41" s="26"/>
      <c r="V41" s="26"/>
      <c r="W41" s="26"/>
      <c r="X41" s="26"/>
      <c r="Y41" s="26"/>
      <c r="Z41" s="27"/>
      <c r="AA41" s="26"/>
      <c r="AB41" s="26"/>
    </row>
    <row r="42" spans="1:28">
      <c r="A42" s="21" t="str">
        <f ca="1">IFERROR(__xludf.DUMMYFUNCTION("""COMPUTED_VALUE"""),"Tata Power")</f>
        <v>Tata Power</v>
      </c>
      <c r="B42" s="22">
        <f ca="1">IFERROR(__xludf.DUMMYFUNCTION("""COMPUTED_VALUE"""),66015.7769553)</f>
        <v>66015.776955299996</v>
      </c>
      <c r="C42" s="21">
        <f ca="1">IFERROR(__xludf.DUMMYFUNCTION("""COMPUTED_VALUE"""),206.55)</f>
        <v>206.55</v>
      </c>
      <c r="D42" s="21">
        <f ca="1">IFERROR(__xludf.DUMMYFUNCTION("""COMPUTED_VALUE"""),25.89)</f>
        <v>25.89</v>
      </c>
      <c r="E42" s="21">
        <f ca="1">IFERROR(__xludf.DUMMYFUNCTION("""COMPUTED_VALUE"""),298)</f>
        <v>298</v>
      </c>
      <c r="F42" s="24">
        <f ca="1">IFERROR(__xludf.DUMMYFUNCTION("""COMPUTED_VALUE"""),0.306879194630872)</f>
        <v>0.30687919463087199</v>
      </c>
      <c r="G42" s="21">
        <f ca="1">IFERROR(__xludf.DUMMYFUNCTION("""COMPUTED_VALUE"""),190)</f>
        <v>190</v>
      </c>
      <c r="H42" s="24">
        <f ca="1">IFERROR(__xludf.DUMMYFUNCTION("""COMPUTED_VALUE"""),0.0871052631578948)</f>
        <v>8.7105263157894797E-2</v>
      </c>
      <c r="I42" s="21">
        <f ca="1">IFERROR(__xludf.DUMMYFUNCTION("""COMPUTED_VALUE"""),205.65)</f>
        <v>205.65</v>
      </c>
      <c r="J42" s="24">
        <f ca="1">IFERROR(__xludf.DUMMYFUNCTION("""COMPUTED_VALUE"""),0.00437636761487967)</f>
        <v>4.3763676148796697E-3</v>
      </c>
      <c r="K42" s="24" t="str">
        <f ca="1"/>
        <v>Infrastructure</v>
      </c>
      <c r="L42" s="24" t="str">
        <f ca="1"/>
        <v>BOM:500400</v>
      </c>
      <c r="M42" s="24" t="str">
        <f ca="1"/>
        <v>Yes</v>
      </c>
      <c r="N42" s="24" t="str">
        <f ca="1"/>
        <v>Yes</v>
      </c>
      <c r="O42" s="25" t="str">
        <f t="array" aca="1" ref="O42" ca="1">IF(AND(D42&lt;65,M42="No", N42="No"),"Good Stock","")</f>
        <v/>
      </c>
      <c r="P42" s="24" t="str">
        <f t="shared" ca="1" si="0"/>
        <v>Low Cap</v>
      </c>
      <c r="Q42" s="26"/>
      <c r="R42" s="26"/>
      <c r="S42" s="26"/>
      <c r="T42" s="26"/>
      <c r="U42" s="26"/>
      <c r="V42" s="26"/>
      <c r="W42" s="26"/>
      <c r="X42" s="26"/>
      <c r="Y42" s="26"/>
      <c r="Z42" s="27"/>
      <c r="AA42" s="26"/>
      <c r="AB42" s="26"/>
    </row>
    <row r="43" spans="1:28">
      <c r="A43" s="21" t="str">
        <f ca="1">IFERROR(__xludf.DUMMYFUNCTION("""COMPUTED_VALUE"""),"Marico")</f>
        <v>Marico</v>
      </c>
      <c r="B43" s="22">
        <f ca="1">IFERROR(__xludf.DUMMYFUNCTION("""COMPUTED_VALUE"""),64133.35)</f>
        <v>64133.35</v>
      </c>
      <c r="C43" s="21">
        <f ca="1">IFERROR(__xludf.DUMMYFUNCTION("""COMPUTED_VALUE"""),497.5)</f>
        <v>497.5</v>
      </c>
      <c r="D43" s="21">
        <f ca="1">IFERROR(__xludf.DUMMYFUNCTION("""COMPUTED_VALUE"""),52.21)</f>
        <v>52.21</v>
      </c>
      <c r="E43" s="21">
        <f ca="1">IFERROR(__xludf.DUMMYFUNCTION("""COMPUTED_VALUE"""),554.35)</f>
        <v>554.35</v>
      </c>
      <c r="F43" s="24">
        <f ca="1">IFERROR(__xludf.DUMMYFUNCTION("""COMPUTED_VALUE"""),0.10255253900965)</f>
        <v>0.10255253900965</v>
      </c>
      <c r="G43" s="21">
        <f ca="1">IFERROR(__xludf.DUMMYFUNCTION("""COMPUTED_VALUE"""),455.65)</f>
        <v>455.65</v>
      </c>
      <c r="H43" s="24">
        <f ca="1">IFERROR(__xludf.DUMMYFUNCTION("""COMPUTED_VALUE"""),0.0918468122462417)</f>
        <v>9.1846812246241694E-2</v>
      </c>
      <c r="I43" s="21">
        <f ca="1">IFERROR(__xludf.DUMMYFUNCTION("""COMPUTED_VALUE"""),501.6)</f>
        <v>501.6</v>
      </c>
      <c r="J43" s="24">
        <f ca="1">IFERROR(__xludf.DUMMYFUNCTION("""COMPUTED_VALUE"""),-0.00817384370015953)</f>
        <v>-8.1738437001595294E-3</v>
      </c>
      <c r="K43" s="24" t="str">
        <f ca="1"/>
        <v>FMCG</v>
      </c>
      <c r="L43" s="24" t="str">
        <f ca="1"/>
        <v>MARICO</v>
      </c>
      <c r="M43" s="24" t="str">
        <f ca="1"/>
        <v>No</v>
      </c>
      <c r="N43" s="24" t="str">
        <f ca="1"/>
        <v>Yes</v>
      </c>
      <c r="O43" s="25" t="str">
        <f t="array" aca="1" ref="O43" ca="1">IF(AND(D43&lt;65,M43="No", N43="No"),"Good Stock","")</f>
        <v/>
      </c>
      <c r="P43" s="24" t="str">
        <f t="shared" ca="1" si="0"/>
        <v>Low Cap</v>
      </c>
      <c r="Q43" s="26"/>
      <c r="R43" s="26"/>
      <c r="S43" s="26"/>
      <c r="T43" s="26"/>
      <c r="U43" s="26"/>
      <c r="V43" s="26"/>
      <c r="W43" s="26"/>
      <c r="X43" s="26"/>
      <c r="Y43" s="26"/>
      <c r="Z43" s="27"/>
      <c r="AA43" s="26"/>
      <c r="AB43" s="26"/>
    </row>
    <row r="44" spans="1:28">
      <c r="A44" s="21" t="str">
        <f ca="1">IFERROR(__xludf.DUMMYFUNCTION("""COMPUTED_VALUE"""),"United Spirits")</f>
        <v>United Spirits</v>
      </c>
      <c r="B44" s="22">
        <f ca="1">IFERROR(__xludf.DUMMYFUNCTION("""COMPUTED_VALUE"""),61484.38668)</f>
        <v>61484.386680000003</v>
      </c>
      <c r="C44" s="21">
        <f ca="1">IFERROR(__xludf.DUMMYFUNCTION("""COMPUTED_VALUE"""),846.75)</f>
        <v>846.75</v>
      </c>
      <c r="D44" s="21">
        <f ca="1">IFERROR(__xludf.DUMMYFUNCTION("""COMPUTED_VALUE"""),46.19)</f>
        <v>46.19</v>
      </c>
      <c r="E44" s="21">
        <f ca="1">IFERROR(__xludf.DUMMYFUNCTION("""COMPUTED_VALUE"""),958)</f>
        <v>958</v>
      </c>
      <c r="F44" s="24">
        <f ca="1">IFERROR(__xludf.DUMMYFUNCTION("""COMPUTED_VALUE"""),0.116127348643006)</f>
        <v>0.116127348643006</v>
      </c>
      <c r="G44" s="21">
        <f ca="1">IFERROR(__xludf.DUMMYFUNCTION("""COMPUTED_VALUE"""),712)</f>
        <v>712</v>
      </c>
      <c r="H44" s="24">
        <f ca="1">IFERROR(__xludf.DUMMYFUNCTION("""COMPUTED_VALUE"""),0.189255617977528)</f>
        <v>0.18925561797752799</v>
      </c>
      <c r="I44" s="21">
        <f ca="1">IFERROR(__xludf.DUMMYFUNCTION("""COMPUTED_VALUE"""),857.75)</f>
        <v>857.75</v>
      </c>
      <c r="J44" s="24">
        <f ca="1">IFERROR(__xludf.DUMMYFUNCTION("""COMPUTED_VALUE"""),-0.0128242494899446)</f>
        <v>-1.28242494899446E-2</v>
      </c>
      <c r="K44" s="24" t="str">
        <f ca="1"/>
        <v>Spirits</v>
      </c>
      <c r="L44" s="24" t="str">
        <f ca="1"/>
        <v>MCDOWELL-N</v>
      </c>
      <c r="M44" s="24" t="str">
        <f ca="1"/>
        <v>No</v>
      </c>
      <c r="N44" s="24" t="str">
        <f ca="1"/>
        <v>Yes</v>
      </c>
      <c r="O44" s="25" t="str">
        <f t="array" aca="1" ref="O44" ca="1">IF(AND(D44&lt;65,M44="No", N44="No"),"Good Stock","")</f>
        <v/>
      </c>
      <c r="P44" s="24" t="str">
        <f t="shared" ca="1" si="0"/>
        <v>Low Cap</v>
      </c>
      <c r="Q44" s="26"/>
      <c r="R44" s="26"/>
      <c r="S44" s="26"/>
      <c r="T44" s="26"/>
      <c r="U44" s="26"/>
      <c r="V44" s="26"/>
      <c r="W44" s="26"/>
      <c r="X44" s="26"/>
      <c r="Y44" s="26"/>
      <c r="Z44" s="27"/>
      <c r="AA44" s="26"/>
      <c r="AB44" s="26"/>
    </row>
    <row r="45" spans="1:28">
      <c r="A45" s="21" t="str">
        <f ca="1">IFERROR(__xludf.DUMMYFUNCTION("""COMPUTED_VALUE"""),"Yesbank")</f>
        <v>Yesbank</v>
      </c>
      <c r="B45" s="22">
        <f ca="1">IFERROR(__xludf.DUMMYFUNCTION("""COMPUTED_VALUE"""),57937.9387031)</f>
        <v>57937.938703100001</v>
      </c>
      <c r="C45" s="21">
        <f ca="1">IFERROR(__xludf.DUMMYFUNCTION("""COMPUTED_VALUE"""),20.15)</f>
        <v>20.149999999999999</v>
      </c>
      <c r="D45" s="21">
        <f ca="1">IFERROR(__xludf.DUMMYFUNCTION("""COMPUTED_VALUE"""),45.52)</f>
        <v>45.52</v>
      </c>
      <c r="E45" s="21">
        <f ca="1">IFERROR(__xludf.DUMMYFUNCTION("""COMPUTED_VALUE"""),24.75)</f>
        <v>24.75</v>
      </c>
      <c r="F45" s="24">
        <f ca="1">IFERROR(__xludf.DUMMYFUNCTION("""COMPUTED_VALUE"""),0.185858585858585)</f>
        <v>0.185858585858585</v>
      </c>
      <c r="G45" s="21">
        <f ca="1">IFERROR(__xludf.DUMMYFUNCTION("""COMPUTED_VALUE"""),12.11)</f>
        <v>12.11</v>
      </c>
      <c r="H45" s="24">
        <f ca="1">IFERROR(__xludf.DUMMYFUNCTION("""COMPUTED_VALUE"""),0.663914120561519)</f>
        <v>0.66391412056151899</v>
      </c>
      <c r="I45" s="21">
        <f ca="1">IFERROR(__xludf.DUMMYFUNCTION("""COMPUTED_VALUE"""),19.9)</f>
        <v>19.899999999999999</v>
      </c>
      <c r="J45" s="24">
        <f ca="1">IFERROR(__xludf.DUMMYFUNCTION("""COMPUTED_VALUE"""),0.0125628140703517)</f>
        <v>1.25628140703517E-2</v>
      </c>
      <c r="K45" s="24" t="str">
        <f ca="1"/>
        <v>Bank</v>
      </c>
      <c r="L45" s="24" t="str">
        <f ca="1"/>
        <v>BOM:532648</v>
      </c>
      <c r="M45" s="24" t="str">
        <f ca="1"/>
        <v>No</v>
      </c>
      <c r="N45" s="24" t="str">
        <f ca="1"/>
        <v>No</v>
      </c>
      <c r="O45" s="25" t="str">
        <f t="array" aca="1" ref="O45" ca="1">IF(AND(D45&lt;65,M45="No", N45="No"),"Good Stock","")</f>
        <v>Good Stock</v>
      </c>
      <c r="P45" s="24" t="str">
        <f t="shared" ca="1" si="0"/>
        <v>Low Cap</v>
      </c>
      <c r="Q45" s="26"/>
      <c r="R45" s="26"/>
      <c r="S45" s="26"/>
      <c r="T45" s="26"/>
      <c r="U45" s="26"/>
      <c r="V45" s="26"/>
      <c r="W45" s="26"/>
      <c r="X45" s="26"/>
      <c r="Y45" s="26"/>
      <c r="Z45" s="27"/>
      <c r="AA45" s="26"/>
      <c r="AB45" s="26"/>
    </row>
    <row r="46" spans="1:28">
      <c r="A46" s="21" t="str">
        <f ca="1">IFERROR(__xludf.DUMMYFUNCTION("""COMPUTED_VALUE"""),"Berger Paint")</f>
        <v>Berger Paint</v>
      </c>
      <c r="B46" s="22">
        <f ca="1">IFERROR(__xludf.DUMMYFUNCTION("""COMPUTED_VALUE"""),54643.2617004)</f>
        <v>54643.261700399999</v>
      </c>
      <c r="C46" s="21">
        <f ca="1">IFERROR(__xludf.DUMMYFUNCTION("""COMPUTED_VALUE"""),564)</f>
        <v>564</v>
      </c>
      <c r="D46" s="21">
        <f ca="1">IFERROR(__xludf.DUMMYFUNCTION("""COMPUTED_VALUE"""),57.95)</f>
        <v>57.95</v>
      </c>
      <c r="E46" s="21">
        <f ca="1">IFERROR(__xludf.DUMMYFUNCTION("""COMPUTED_VALUE"""),793.05)</f>
        <v>793.05</v>
      </c>
      <c r="F46" s="24">
        <f ca="1">IFERROR(__xludf.DUMMYFUNCTION("""COMPUTED_VALUE"""),0.28882163797995)</f>
        <v>0.28882163797994997</v>
      </c>
      <c r="G46" s="21">
        <f ca="1">IFERROR(__xludf.DUMMYFUNCTION("""COMPUTED_VALUE"""),543.6)</f>
        <v>543.6</v>
      </c>
      <c r="H46" s="24">
        <f ca="1">IFERROR(__xludf.DUMMYFUNCTION("""COMPUTED_VALUE"""),0.0375275938189845)</f>
        <v>3.7527593818984503E-2</v>
      </c>
      <c r="I46" s="21">
        <f ca="1">IFERROR(__xludf.DUMMYFUNCTION("""COMPUTED_VALUE"""),561.95)</f>
        <v>561.95000000000005</v>
      </c>
      <c r="J46" s="24">
        <f ca="1">IFERROR(__xludf.DUMMYFUNCTION("""COMPUTED_VALUE"""),0.00364801138891352)</f>
        <v>3.6480113889135199E-3</v>
      </c>
      <c r="K46" s="24" t="str">
        <f ca="1"/>
        <v>Paint</v>
      </c>
      <c r="L46" s="24" t="str">
        <f ca="1"/>
        <v>BERGEPAINT</v>
      </c>
      <c r="M46" s="24" t="str">
        <f ca="1"/>
        <v>No</v>
      </c>
      <c r="N46" s="24" t="str">
        <f ca="1"/>
        <v>Yes</v>
      </c>
      <c r="O46" s="25" t="str">
        <f t="array" aca="1" ref="O46" ca="1">IF(AND(D46&lt;65,M46="No", N46="No"),"Good Stock","")</f>
        <v/>
      </c>
      <c r="P46" s="24" t="str">
        <f t="shared" ca="1" si="0"/>
        <v>Low Cap</v>
      </c>
      <c r="Q46" s="26"/>
      <c r="R46" s="26"/>
      <c r="S46" s="26"/>
      <c r="T46" s="26"/>
      <c r="U46" s="26"/>
      <c r="V46" s="26"/>
      <c r="W46" s="26"/>
      <c r="X46" s="26"/>
      <c r="Y46" s="26"/>
      <c r="Z46" s="27"/>
      <c r="AA46" s="26"/>
      <c r="AB46" s="26"/>
    </row>
    <row r="47" spans="1:28">
      <c r="A47" s="21" t="str">
        <f ca="1">IFERROR(__xludf.DUMMYFUNCTION("""COMPUTED_VALUE"""),"Hero Motocorp")</f>
        <v>Hero Motocorp</v>
      </c>
      <c r="B47" s="22">
        <f ca="1">IFERROR(__xludf.DUMMYFUNCTION("""COMPUTED_VALUE"""),54522.74)</f>
        <v>54522.74</v>
      </c>
      <c r="C47" s="21">
        <f ca="1">IFERROR(__xludf.DUMMYFUNCTION("""COMPUTED_VALUE"""),2732)</f>
        <v>2732</v>
      </c>
      <c r="D47" s="21">
        <f ca="1">IFERROR(__xludf.DUMMYFUNCTION("""COMPUTED_VALUE"""),21.06)</f>
        <v>21.06</v>
      </c>
      <c r="E47" s="21">
        <f ca="1">IFERROR(__xludf.DUMMYFUNCTION("""COMPUTED_VALUE"""),2938.6)</f>
        <v>2938.6</v>
      </c>
      <c r="F47" s="24">
        <f ca="1">IFERROR(__xludf.DUMMYFUNCTION("""COMPUTED_VALUE"""),0.0703055876948206)</f>
        <v>7.0305587694820607E-2</v>
      </c>
      <c r="G47" s="21">
        <f ca="1">IFERROR(__xludf.DUMMYFUNCTION("""COMPUTED_VALUE"""),2146.85)</f>
        <v>2146.85</v>
      </c>
      <c r="H47" s="24">
        <f ca="1">IFERROR(__xludf.DUMMYFUNCTION("""COMPUTED_VALUE"""),0.272562125905396)</f>
        <v>0.27256212590539602</v>
      </c>
      <c r="I47" s="21">
        <f ca="1">IFERROR(__xludf.DUMMYFUNCTION("""COMPUTED_VALUE"""),2694.25)</f>
        <v>2694.25</v>
      </c>
      <c r="J47" s="24">
        <f ca="1">IFERROR(__xludf.DUMMYFUNCTION("""COMPUTED_VALUE"""),0.0140113204045652)</f>
        <v>1.40113204045652E-2</v>
      </c>
      <c r="K47" s="24" t="str">
        <f ca="1"/>
        <v>Automobile</v>
      </c>
      <c r="L47" s="24" t="str">
        <f ca="1"/>
        <v>HEROMOTOCO</v>
      </c>
      <c r="M47" s="24" t="str">
        <f ca="1"/>
        <v>No</v>
      </c>
      <c r="N47" s="24" t="str">
        <f ca="1"/>
        <v>Yes</v>
      </c>
      <c r="O47" s="25" t="str">
        <f t="array" aca="1" ref="O47" ca="1">IF(AND(D47&lt;65,M47="No", N47="No"),"Good Stock","")</f>
        <v/>
      </c>
      <c r="P47" s="24" t="str">
        <f t="shared" ca="1" si="0"/>
        <v>Low Cap</v>
      </c>
      <c r="Q47" s="26"/>
      <c r="R47" s="26"/>
      <c r="S47" s="26"/>
      <c r="T47" s="26"/>
      <c r="U47" s="26"/>
      <c r="V47" s="26"/>
      <c r="W47" s="26"/>
      <c r="X47" s="26"/>
      <c r="Y47" s="26"/>
      <c r="Z47" s="27"/>
      <c r="AA47" s="26"/>
      <c r="AB47" s="26"/>
    </row>
    <row r="48" spans="1:28">
      <c r="A48" s="21" t="str">
        <f ca="1">IFERROR(__xludf.DUMMYFUNCTION("""COMPUTED_VALUE"""),"UPL")</f>
        <v>UPL</v>
      </c>
      <c r="B48" s="22">
        <f ca="1">IFERROR(__xludf.DUMMYFUNCTION("""COMPUTED_VALUE"""),53833.6605806)</f>
        <v>53833.660580600001</v>
      </c>
      <c r="C48" s="21">
        <f ca="1">IFERROR(__xludf.DUMMYFUNCTION("""COMPUTED_VALUE"""),718.45)</f>
        <v>718.45</v>
      </c>
      <c r="D48" s="21">
        <f ca="1">IFERROR(__xludf.DUMMYFUNCTION("""COMPUTED_VALUE"""),13.58)</f>
        <v>13.58</v>
      </c>
      <c r="E48" s="21">
        <f ca="1">IFERROR(__xludf.DUMMYFUNCTION("""COMPUTED_VALUE"""),848)</f>
        <v>848</v>
      </c>
      <c r="F48" s="24">
        <f ca="1">IFERROR(__xludf.DUMMYFUNCTION("""COMPUTED_VALUE"""),0.152771226415094)</f>
        <v>0.152771226415094</v>
      </c>
      <c r="G48" s="21">
        <f ca="1">IFERROR(__xludf.DUMMYFUNCTION("""COMPUTED_VALUE"""),607.8)</f>
        <v>607.79999999999995</v>
      </c>
      <c r="H48" s="24">
        <f ca="1">IFERROR(__xludf.DUMMYFUNCTION("""COMPUTED_VALUE"""),0.18205001645278)</f>
        <v>0.18205001645277999</v>
      </c>
      <c r="I48" s="21">
        <f ca="1">IFERROR(__xludf.DUMMYFUNCTION("""COMPUTED_VALUE"""),719.05)</f>
        <v>719.05</v>
      </c>
      <c r="J48" s="24">
        <f ca="1">IFERROR(__xludf.DUMMYFUNCTION("""COMPUTED_VALUE"""),-0.000834434323065028)</f>
        <v>-8.3443432306502796E-4</v>
      </c>
      <c r="K48" s="24" t="str">
        <f ca="1"/>
        <v>Agrochemical</v>
      </c>
      <c r="L48" s="24" t="str">
        <f ca="1"/>
        <v>BOM:512070</v>
      </c>
      <c r="M48" s="24" t="str">
        <f ca="1"/>
        <v>No</v>
      </c>
      <c r="N48" s="24" t="str">
        <f ca="1"/>
        <v>Yes</v>
      </c>
      <c r="O48" s="25" t="str">
        <f t="array" aca="1" ref="O48" ca="1">IF(AND(D48&lt;65,M48="No", N48="No"),"Good Stock","")</f>
        <v/>
      </c>
      <c r="P48" s="24" t="str">
        <f t="shared" ca="1" si="0"/>
        <v>Low Cap</v>
      </c>
      <c r="Q48" s="26"/>
      <c r="R48" s="26"/>
      <c r="S48" s="26"/>
      <c r="T48" s="26"/>
      <c r="U48" s="26"/>
      <c r="V48" s="26"/>
      <c r="W48" s="26"/>
      <c r="X48" s="26"/>
      <c r="Y48" s="26"/>
      <c r="Z48" s="27"/>
      <c r="AA48" s="26"/>
      <c r="AB48" s="26"/>
    </row>
    <row r="49" spans="1:28">
      <c r="A49" s="21" t="str">
        <f ca="1">IFERROR(__xludf.DUMMYFUNCTION("""COMPUTED_VALUE"""),"Motherson Sumi")</f>
        <v>Motherson Sumi</v>
      </c>
      <c r="B49" s="22">
        <f ca="1">IFERROR(__xludf.DUMMYFUNCTION("""COMPUTED_VALUE"""),52280.0813339)</f>
        <v>52280.081333900001</v>
      </c>
      <c r="C49" s="21">
        <f ca="1">IFERROR(__xludf.DUMMYFUNCTION("""COMPUTED_VALUE"""),77.15)</f>
        <v>77.150000000000006</v>
      </c>
      <c r="D49" s="21">
        <f ca="1">IFERROR(__xludf.DUMMYFUNCTION("""COMPUTED_VALUE"""),67.22)</f>
        <v>67.22</v>
      </c>
      <c r="E49" s="21">
        <f ca="1">IFERROR(__xludf.DUMMYFUNCTION("""COMPUTED_VALUE"""),165.03)</f>
        <v>165.03</v>
      </c>
      <c r="F49" s="24">
        <f ca="1">IFERROR(__xludf.DUMMYFUNCTION("""COMPUTED_VALUE"""),0.532509240744107)</f>
        <v>0.53250924074410699</v>
      </c>
      <c r="G49" s="21">
        <f ca="1">IFERROR(__xludf.DUMMYFUNCTION("""COMPUTED_VALUE"""),61.85)</f>
        <v>61.85</v>
      </c>
      <c r="H49" s="24">
        <f ca="1">IFERROR(__xludf.DUMMYFUNCTION("""COMPUTED_VALUE"""),0.247372675828617)</f>
        <v>0.24737267582861699</v>
      </c>
      <c r="I49" s="21">
        <f ca="1">IFERROR(__xludf.DUMMYFUNCTION("""COMPUTED_VALUE"""),78.15)</f>
        <v>78.150000000000006</v>
      </c>
      <c r="J49" s="24">
        <f ca="1">IFERROR(__xludf.DUMMYFUNCTION("""COMPUTED_VALUE"""),-0.0127959053103007)</f>
        <v>-1.27959053103007E-2</v>
      </c>
      <c r="K49" s="24" t="str">
        <f ca="1"/>
        <v>Automobile Ancilliary</v>
      </c>
      <c r="L49" s="24" t="str">
        <f ca="1"/>
        <v>BOM:517334</v>
      </c>
      <c r="M49" s="24" t="str">
        <f ca="1"/>
        <v>Yes</v>
      </c>
      <c r="N49" s="24" t="str">
        <f ca="1"/>
        <v>Yes</v>
      </c>
      <c r="O49" s="25" t="str">
        <f t="array" aca="1" ref="O49" ca="1">IF(AND(D49&lt;65,M49="No", N49="No"),"Good Stock","")</f>
        <v/>
      </c>
      <c r="P49" s="24" t="str">
        <f t="shared" ca="1" si="0"/>
        <v>Low Cap</v>
      </c>
      <c r="Q49" s="26"/>
      <c r="R49" s="26"/>
      <c r="S49" s="26"/>
      <c r="T49" s="26"/>
      <c r="U49" s="26"/>
      <c r="V49" s="26"/>
      <c r="W49" s="26"/>
      <c r="X49" s="26"/>
      <c r="Y49" s="26"/>
      <c r="Z49" s="27"/>
      <c r="AA49" s="26"/>
      <c r="AB49" s="26"/>
    </row>
    <row r="50" spans="1:28">
      <c r="A50" s="21" t="str">
        <f ca="1">IFERROR(__xludf.DUMMYFUNCTION("""COMPUTED_VALUE"""),"IRCTC")</f>
        <v>IRCTC</v>
      </c>
      <c r="B50" s="22">
        <f ca="1">IFERROR(__xludf.DUMMYFUNCTION("""COMPUTED_VALUE"""),51348.0038553)</f>
        <v>51348.003855299998</v>
      </c>
      <c r="C50" s="21">
        <f ca="1">IFERROR(__xludf.DUMMYFUNCTION("""COMPUTED_VALUE"""),641)</f>
        <v>641</v>
      </c>
      <c r="D50" s="21">
        <f ca="1">IFERROR(__xludf.DUMMYFUNCTION("""COMPUTED_VALUE"""),57.32)</f>
        <v>57.32</v>
      </c>
      <c r="E50" s="21">
        <f ca="1">IFERROR(__xludf.DUMMYFUNCTION("""COMPUTED_VALUE"""),918.65)</f>
        <v>918.65</v>
      </c>
      <c r="F50" s="24">
        <f ca="1">IFERROR(__xludf.DUMMYFUNCTION("""COMPUTED_VALUE"""),0.302236978174495)</f>
        <v>0.30223697817449502</v>
      </c>
      <c r="G50" s="21">
        <f ca="1">IFERROR(__xludf.DUMMYFUNCTION("""COMPUTED_VALUE"""),557)</f>
        <v>557</v>
      </c>
      <c r="H50" s="24">
        <f ca="1">IFERROR(__xludf.DUMMYFUNCTION("""COMPUTED_VALUE"""),0.1508078994614)</f>
        <v>0.1508078994614</v>
      </c>
      <c r="I50" s="21">
        <f ca="1">IFERROR(__xludf.DUMMYFUNCTION("""COMPUTED_VALUE"""),640.65)</f>
        <v>640.65</v>
      </c>
      <c r="J50" s="24">
        <f ca="1">IFERROR(__xludf.DUMMYFUNCTION("""COMPUTED_VALUE"""),0.000546320143604187)</f>
        <v>5.4632014360418701E-4</v>
      </c>
      <c r="K50" s="24" t="str">
        <f ca="1"/>
        <v>Catering</v>
      </c>
      <c r="L50" s="24" t="str">
        <f ca="1"/>
        <v>IRCTC</v>
      </c>
      <c r="M50" s="24" t="str">
        <f ca="1"/>
        <v>Yes</v>
      </c>
      <c r="N50" s="24" t="str">
        <f ca="1"/>
        <v>Yes</v>
      </c>
      <c r="O50" s="25" t="str">
        <f t="array" aca="1" ref="O50" ca="1">IF(AND(D50&lt;65,M50="No", N50="No"),"Good Stock","")</f>
        <v/>
      </c>
      <c r="P50" s="24" t="str">
        <f t="shared" ca="1" si="0"/>
        <v>Low Cap</v>
      </c>
      <c r="Q50" s="26"/>
      <c r="R50" s="26"/>
      <c r="S50" s="26"/>
      <c r="T50" s="26"/>
      <c r="U50" s="26"/>
      <c r="V50" s="26"/>
      <c r="W50" s="26"/>
      <c r="X50" s="26"/>
      <c r="Y50" s="26"/>
      <c r="Z50" s="27"/>
      <c r="AA50" s="26"/>
      <c r="AB50" s="26"/>
    </row>
    <row r="51" spans="1:28">
      <c r="A51" s="21" t="str">
        <f ca="1">IFERROR(__xludf.DUMMYFUNCTION("""COMPUTED_VALUE"""),"PI industries")</f>
        <v>PI industries</v>
      </c>
      <c r="B51" s="22">
        <f ca="1">IFERROR(__xludf.DUMMYFUNCTION("""COMPUTED_VALUE"""),49475.63474)</f>
        <v>49475.634740000001</v>
      </c>
      <c r="C51" s="21">
        <f ca="1">IFERROR(__xludf.DUMMYFUNCTION("""COMPUTED_VALUE"""),3262)</f>
        <v>3262</v>
      </c>
      <c r="D51" s="21">
        <f ca="1">IFERROR(__xludf.DUMMYFUNCTION("""COMPUTED_VALUE"""),48.33)</f>
        <v>48.33</v>
      </c>
      <c r="E51" s="21">
        <f ca="1">IFERROR(__xludf.DUMMYFUNCTION("""COMPUTED_VALUE"""),3698.45)</f>
        <v>3698.45</v>
      </c>
      <c r="F51" s="24">
        <f ca="1">IFERROR(__xludf.DUMMYFUNCTION("""COMPUTED_VALUE"""),0.118008895618434)</f>
        <v>0.118008895618434</v>
      </c>
      <c r="G51" s="21">
        <f ca="1">IFERROR(__xludf.DUMMYFUNCTION("""COMPUTED_VALUE"""),2333.55)</f>
        <v>2333.5500000000002</v>
      </c>
      <c r="H51" s="24">
        <f ca="1">IFERROR(__xludf.DUMMYFUNCTION("""COMPUTED_VALUE"""),0.39787019776735)</f>
        <v>0.39787019776735</v>
      </c>
      <c r="I51" s="21">
        <f ca="1">IFERROR(__xludf.DUMMYFUNCTION("""COMPUTED_VALUE"""),3292.65)</f>
        <v>3292.65</v>
      </c>
      <c r="J51" s="24">
        <f ca="1">IFERROR(__xludf.DUMMYFUNCTION("""COMPUTED_VALUE"""),-0.00930861160463459)</f>
        <v>-9.3086116046345903E-3</v>
      </c>
      <c r="K51" s="24" t="str">
        <f ca="1"/>
        <v>Agrochemical</v>
      </c>
      <c r="L51" s="24" t="str">
        <f ca="1"/>
        <v>PIIND</v>
      </c>
      <c r="M51" s="24" t="str">
        <f ca="1"/>
        <v>No</v>
      </c>
      <c r="N51" s="24" t="str">
        <f ca="1"/>
        <v>No</v>
      </c>
      <c r="O51" s="25" t="str">
        <f t="array" aca="1" ref="O51" ca="1">IF(AND(D51&lt;65,M51="No", N51="No"),"Good Stock","")</f>
        <v>Good Stock</v>
      </c>
      <c r="P51" s="24" t="str">
        <f t="shared" ca="1" si="0"/>
        <v>Low Cap</v>
      </c>
      <c r="Q51" s="26"/>
      <c r="R51" s="26"/>
      <c r="S51" s="26"/>
      <c r="T51" s="26"/>
      <c r="U51" s="26"/>
      <c r="V51" s="26"/>
      <c r="W51" s="26"/>
      <c r="X51" s="26"/>
      <c r="Y51" s="26"/>
      <c r="Z51" s="27"/>
      <c r="AA51" s="26"/>
      <c r="AB51" s="26"/>
    </row>
    <row r="52" spans="1:28">
      <c r="A52" s="21" t="str">
        <f ca="1">IFERROR(__xludf.DUMMYFUNCTION("""COMPUTED_VALUE"""),"Infoedge")</f>
        <v>Infoedge</v>
      </c>
      <c r="B52" s="22">
        <f ca="1">IFERROR(__xludf.DUMMYFUNCTION("""COMPUTED_VALUE"""),48135.11)</f>
        <v>48135.11</v>
      </c>
      <c r="C52" s="21">
        <f ca="1">IFERROR(__xludf.DUMMYFUNCTION("""COMPUTED_VALUE"""),3731.8)</f>
        <v>3731.8</v>
      </c>
      <c r="D52" s="21">
        <f ca="1">IFERROR(__xludf.DUMMYFUNCTION("""COMPUTED_VALUE"""),8.76)</f>
        <v>8.76</v>
      </c>
      <c r="E52" s="21">
        <f ca="1">IFERROR(__xludf.DUMMYFUNCTION("""COMPUTED_VALUE"""),5790)</f>
        <v>5790</v>
      </c>
      <c r="F52" s="24">
        <f ca="1">IFERROR(__xludf.DUMMYFUNCTION("""COMPUTED_VALUE"""),0.355474956822107)</f>
        <v>0.355474956822107</v>
      </c>
      <c r="G52" s="21">
        <f ca="1">IFERROR(__xludf.DUMMYFUNCTION("""COMPUTED_VALUE"""),3314)</f>
        <v>3314</v>
      </c>
      <c r="H52" s="24">
        <f ca="1">IFERROR(__xludf.DUMMYFUNCTION("""COMPUTED_VALUE"""),0.126071213035606)</f>
        <v>0.12607121303560601</v>
      </c>
      <c r="I52" s="21">
        <f ca="1">IFERROR(__xludf.DUMMYFUNCTION("""COMPUTED_VALUE"""),3719.3)</f>
        <v>3719.3</v>
      </c>
      <c r="J52" s="24">
        <f ca="1">IFERROR(__xludf.DUMMYFUNCTION("""COMPUTED_VALUE"""),0.00336084747129836)</f>
        <v>3.3608474712983599E-3</v>
      </c>
      <c r="K52" s="24" t="str">
        <f ca="1"/>
        <v>Technology</v>
      </c>
      <c r="L52" s="24" t="str">
        <f ca="1"/>
        <v>BOM:532777</v>
      </c>
      <c r="M52" s="24" t="str">
        <f ca="1"/>
        <v>Yes</v>
      </c>
      <c r="N52" s="24" t="str">
        <f ca="1"/>
        <v>Yes</v>
      </c>
      <c r="O52" s="25" t="str">
        <f t="array" aca="1" ref="O52" ca="1">IF(AND(D52&lt;65,M52="No", N52="No"),"Good Stock","")</f>
        <v/>
      </c>
      <c r="P52" s="24" t="str">
        <f t="shared" ca="1" si="0"/>
        <v>Low Cap</v>
      </c>
      <c r="Q52" s="26"/>
      <c r="R52" s="26"/>
      <c r="S52" s="26"/>
      <c r="T52" s="26"/>
      <c r="U52" s="26"/>
      <c r="V52" s="26"/>
      <c r="W52" s="26"/>
      <c r="X52" s="26"/>
      <c r="Y52" s="26"/>
      <c r="Z52" s="27"/>
      <c r="AA52" s="26"/>
      <c r="AB52" s="26"/>
    </row>
    <row r="53" spans="1:28">
      <c r="A53" s="21" t="str">
        <f ca="1">IFERROR(__xludf.DUMMYFUNCTION("""COMPUTED_VALUE"""),"TVS")</f>
        <v>TVS</v>
      </c>
      <c r="B53" s="22">
        <f ca="1">IFERROR(__xludf.DUMMYFUNCTION("""COMPUTED_VALUE"""),47610.86)</f>
        <v>47610.86</v>
      </c>
      <c r="C53" s="21">
        <f ca="1">IFERROR(__xludf.DUMMYFUNCTION("""COMPUTED_VALUE"""),999.5)</f>
        <v>999.5</v>
      </c>
      <c r="D53" s="21">
        <f ca="1">IFERROR(__xludf.DUMMYFUNCTION("""COMPUTED_VALUE"""),39.03)</f>
        <v>39.03</v>
      </c>
      <c r="E53" s="21">
        <f ca="1">IFERROR(__xludf.DUMMYFUNCTION("""COMPUTED_VALUE"""),1177)</f>
        <v>1177</v>
      </c>
      <c r="F53" s="24">
        <f ca="1">IFERROR(__xludf.DUMMYFUNCTION("""COMPUTED_VALUE"""),0.150807136788445)</f>
        <v>0.15080713678844501</v>
      </c>
      <c r="G53" s="21">
        <f ca="1">IFERROR(__xludf.DUMMYFUNCTION("""COMPUTED_VALUE"""),513)</f>
        <v>513</v>
      </c>
      <c r="H53" s="24">
        <f ca="1">IFERROR(__xludf.DUMMYFUNCTION("""COMPUTED_VALUE"""),0.948343079922027)</f>
        <v>0.94834307992202704</v>
      </c>
      <c r="I53" s="21">
        <f ca="1">IFERROR(__xludf.DUMMYFUNCTION("""COMPUTED_VALUE"""),1005.2)</f>
        <v>1005.2</v>
      </c>
      <c r="J53" s="24">
        <f ca="1">IFERROR(__xludf.DUMMYFUNCTION("""COMPUTED_VALUE"""),-0.0056705133306805)</f>
        <v>-5.6705133306804998E-3</v>
      </c>
      <c r="K53" s="24" t="str">
        <f ca="1"/>
        <v>Automobile</v>
      </c>
      <c r="L53" s="24" t="str">
        <f ca="1"/>
        <v>BOM:532343</v>
      </c>
      <c r="M53" s="24" t="str">
        <f ca="1"/>
        <v>No</v>
      </c>
      <c r="N53" s="24" t="str">
        <f ca="1"/>
        <v>No</v>
      </c>
      <c r="O53" s="25" t="str">
        <f t="array" aca="1" ref="O53" ca="1">IF(AND(D53&lt;65,M53="No", N53="No"),"Good Stock","")</f>
        <v>Good Stock</v>
      </c>
      <c r="P53" s="24" t="str">
        <f t="shared" ca="1" si="0"/>
        <v>Low Cap</v>
      </c>
      <c r="Q53" s="26"/>
      <c r="R53" s="26"/>
      <c r="S53" s="26"/>
      <c r="T53" s="26"/>
      <c r="U53" s="26"/>
      <c r="V53" s="26"/>
      <c r="W53" s="26"/>
      <c r="X53" s="26"/>
      <c r="Y53" s="26"/>
      <c r="Z53" s="27"/>
      <c r="AA53" s="26"/>
      <c r="AB53" s="26"/>
    </row>
    <row r="54" spans="1:28">
      <c r="A54" s="21" t="str">
        <f ca="1">IFERROR(__xludf.DUMMYFUNCTION("""COMPUTED_VALUE"""),"Abbott India")</f>
        <v>Abbott India</v>
      </c>
      <c r="B54" s="22">
        <f ca="1">IFERROR(__xludf.DUMMYFUNCTION("""COMPUTED_VALUE"""),47348.12)</f>
        <v>47348.12</v>
      </c>
      <c r="C54" s="21">
        <f ca="1">IFERROR(__xludf.DUMMYFUNCTION("""COMPUTED_VALUE"""),22241)</f>
        <v>22241</v>
      </c>
      <c r="D54" s="21">
        <f ca="1">IFERROR(__xludf.DUMMYFUNCTION("""COMPUTED_VALUE"""),53.6)</f>
        <v>53.6</v>
      </c>
      <c r="E54" s="21">
        <f ca="1">IFERROR(__xludf.DUMMYFUNCTION("""COMPUTED_VALUE"""),22499)</f>
        <v>22499</v>
      </c>
      <c r="F54" s="24">
        <f ca="1">IFERROR(__xludf.DUMMYFUNCTION("""COMPUTED_VALUE"""),0.0114671763189475)</f>
        <v>1.1467176318947499E-2</v>
      </c>
      <c r="G54" s="21">
        <f ca="1">IFERROR(__xludf.DUMMYFUNCTION("""COMPUTED_VALUE"""),15514)</f>
        <v>15514</v>
      </c>
      <c r="H54" s="24">
        <f ca="1">IFERROR(__xludf.DUMMYFUNCTION("""COMPUTED_VALUE"""),0.433608353745004)</f>
        <v>0.433608353745004</v>
      </c>
      <c r="I54" s="21">
        <f ca="1">IFERROR(__xludf.DUMMYFUNCTION("""COMPUTED_VALUE"""),22162.55)</f>
        <v>22162.55</v>
      </c>
      <c r="J54" s="24">
        <f ca="1">IFERROR(__xludf.DUMMYFUNCTION("""COMPUTED_VALUE"""),0.00353975512745603)</f>
        <v>3.53975512745603E-3</v>
      </c>
      <c r="K54" s="24" t="str">
        <f ca="1"/>
        <v>Pharma</v>
      </c>
      <c r="L54" s="24" t="str">
        <f ca="1"/>
        <v>ABBOTINDIA</v>
      </c>
      <c r="M54" s="24" t="str">
        <f ca="1"/>
        <v>No</v>
      </c>
      <c r="N54" s="24" t="str">
        <f ca="1"/>
        <v>No</v>
      </c>
      <c r="O54" s="25" t="str">
        <f t="array" aca="1" ref="O54" ca="1">IF(AND(D54&lt;65,M54="No", N54="No"),"Good Stock","")</f>
        <v>Good Stock</v>
      </c>
      <c r="P54" s="24" t="str">
        <f t="shared" ca="1" si="0"/>
        <v>Low Cap</v>
      </c>
      <c r="Q54" s="26"/>
      <c r="R54" s="26"/>
      <c r="S54" s="26"/>
      <c r="T54" s="26"/>
      <c r="U54" s="26"/>
      <c r="V54" s="26"/>
      <c r="W54" s="26"/>
      <c r="X54" s="26"/>
      <c r="Y54" s="26"/>
      <c r="Z54" s="27"/>
      <c r="AA54" s="26"/>
      <c r="AB54" s="26"/>
    </row>
    <row r="55" spans="1:28">
      <c r="A55" s="21" t="str">
        <f ca="1">IFERROR(__xludf.DUMMYFUNCTION("""COMPUTED_VALUE"""),"HDFC AMC")</f>
        <v>HDFC AMC</v>
      </c>
      <c r="B55" s="22">
        <f ca="1">IFERROR(__xludf.DUMMYFUNCTION("""COMPUTED_VALUE"""),45934.43)</f>
        <v>45934.43</v>
      </c>
      <c r="C55" s="21">
        <f ca="1">IFERROR(__xludf.DUMMYFUNCTION("""COMPUTED_VALUE"""),2148)</f>
        <v>2148</v>
      </c>
      <c r="D55" s="21">
        <f ca="1">IFERROR(__xludf.DUMMYFUNCTION("""COMPUTED_VALUE"""),33.2)</f>
        <v>33.200000000000003</v>
      </c>
      <c r="E55" s="21">
        <f ca="1">IFERROR(__xludf.DUMMYFUNCTION("""COMPUTED_VALUE"""),2507.35)</f>
        <v>2507.35</v>
      </c>
      <c r="F55" s="24">
        <f ca="1">IFERROR(__xludf.DUMMYFUNCTION("""COMPUTED_VALUE"""),0.143318643189024)</f>
        <v>0.14331864318902399</v>
      </c>
      <c r="G55" s="21">
        <f ca="1">IFERROR(__xludf.DUMMYFUNCTION("""COMPUTED_VALUE"""),1690)</f>
        <v>1690</v>
      </c>
      <c r="H55" s="24">
        <f ca="1">IFERROR(__xludf.DUMMYFUNCTION("""COMPUTED_VALUE"""),0.271005917159763)</f>
        <v>0.27100591715976302</v>
      </c>
      <c r="I55" s="21">
        <f ca="1">IFERROR(__xludf.DUMMYFUNCTION("""COMPUTED_VALUE"""),2150.75)</f>
        <v>2150.75</v>
      </c>
      <c r="J55" s="24">
        <f ca="1">IFERROR(__xludf.DUMMYFUNCTION("""COMPUTED_VALUE"""),-0.00127862373590607)</f>
        <v>-1.27862373590607E-3</v>
      </c>
      <c r="K55" s="24" t="str">
        <f ca="1"/>
        <v>AMC</v>
      </c>
      <c r="L55" s="24" t="str">
        <f ca="1"/>
        <v>HDFCAMC</v>
      </c>
      <c r="M55" s="24" t="str">
        <f ca="1"/>
        <v>No</v>
      </c>
      <c r="N55" s="24" t="str">
        <f ca="1"/>
        <v>Yes</v>
      </c>
      <c r="O55" s="25" t="str">
        <f t="array" aca="1" ref="O55" ca="1">IF(AND(D55&lt;65,M55="No", N55="No"),"Good Stock","")</f>
        <v/>
      </c>
      <c r="P55" s="24" t="str">
        <f t="shared" ca="1" si="0"/>
        <v>Low Cap</v>
      </c>
      <c r="Q55" s="26"/>
      <c r="R55" s="26"/>
      <c r="S55" s="26"/>
      <c r="T55" s="26"/>
      <c r="U55" s="26"/>
      <c r="V55" s="26"/>
      <c r="W55" s="26"/>
      <c r="X55" s="26"/>
      <c r="Y55" s="26"/>
      <c r="Z55" s="27"/>
      <c r="AA55" s="26"/>
      <c r="AB55" s="26"/>
    </row>
    <row r="56" spans="1:28">
      <c r="A56" s="21" t="str">
        <f ca="1">IFERROR(__xludf.DUMMYFUNCTION("""COMPUTED_VALUE"""),"Page Industries")</f>
        <v>Page Industries</v>
      </c>
      <c r="B56" s="22">
        <f ca="1">IFERROR(__xludf.DUMMYFUNCTION("""COMPUTED_VALUE"""),44894.62)</f>
        <v>44894.62</v>
      </c>
      <c r="C56" s="21">
        <f ca="1">IFERROR(__xludf.DUMMYFUNCTION("""COMPUTED_VALUE"""),40260)</f>
        <v>40260</v>
      </c>
      <c r="D56" s="21">
        <f ca="1">IFERROR(__xludf.DUMMYFUNCTION("""COMPUTED_VALUE"""),61.16)</f>
        <v>61.16</v>
      </c>
      <c r="E56" s="21">
        <f ca="1">IFERROR(__xludf.DUMMYFUNCTION("""COMPUTED_VALUE"""),54349.1)</f>
        <v>54349.1</v>
      </c>
      <c r="F56" s="24">
        <f ca="1">IFERROR(__xludf.DUMMYFUNCTION("""COMPUTED_VALUE"""),0.259233363569957)</f>
        <v>0.25923336356995702</v>
      </c>
      <c r="G56" s="21">
        <f ca="1">IFERROR(__xludf.DUMMYFUNCTION("""COMPUTED_VALUE"""),37825)</f>
        <v>37825</v>
      </c>
      <c r="H56" s="24">
        <f ca="1">IFERROR(__xludf.DUMMYFUNCTION("""COMPUTED_VALUE"""),0.0643754130865829)</f>
        <v>6.43754130865829E-2</v>
      </c>
      <c r="I56" s="21">
        <f ca="1">IFERROR(__xludf.DUMMYFUNCTION("""COMPUTED_VALUE"""),40639.05)</f>
        <v>40639.050000000003</v>
      </c>
      <c r="J56" s="24">
        <f ca="1">IFERROR(__xludf.DUMMYFUNCTION("""COMPUTED_VALUE"""),-0.0093272357498515)</f>
        <v>-9.3272357498515E-3</v>
      </c>
      <c r="K56" s="24" t="str">
        <f ca="1"/>
        <v>Textile</v>
      </c>
      <c r="L56" s="24" t="str">
        <f ca="1"/>
        <v>PAGEIND</v>
      </c>
      <c r="M56" s="24" t="str">
        <f ca="1"/>
        <v>No</v>
      </c>
      <c r="N56" s="24" t="str">
        <f ca="1"/>
        <v>Yes</v>
      </c>
      <c r="O56" s="25" t="str">
        <f t="array" aca="1" ref="O56" ca="1">IF(AND(D56&lt;65,M56="No", N56="No"),"Good Stock","")</f>
        <v/>
      </c>
      <c r="P56" s="24" t="str">
        <f t="shared" ca="1" si="0"/>
        <v>Low Cap</v>
      </c>
      <c r="Q56" s="26"/>
      <c r="R56" s="26"/>
      <c r="S56" s="26"/>
      <c r="T56" s="26"/>
      <c r="U56" s="26"/>
      <c r="V56" s="26"/>
      <c r="W56" s="26"/>
      <c r="X56" s="26"/>
      <c r="Y56" s="26"/>
      <c r="Z56" s="27"/>
      <c r="AA56" s="26"/>
      <c r="AB56" s="26"/>
    </row>
    <row r="57" spans="1:28">
      <c r="A57" s="21" t="str">
        <f ca="1">IFERROR(__xludf.DUMMYFUNCTION("""COMPUTED_VALUE"""),"Balkrishna Industries")</f>
        <v>Balkrishna Industries</v>
      </c>
      <c r="B57" s="22">
        <f ca="1">IFERROR(__xludf.DUMMYFUNCTION("""COMPUTED_VALUE"""),43195.8704177)</f>
        <v>43195.870417700004</v>
      </c>
      <c r="C57" s="21">
        <f ca="1">IFERROR(__xludf.DUMMYFUNCTION("""COMPUTED_VALUE"""),2229)</f>
        <v>2229</v>
      </c>
      <c r="D57" s="21">
        <f ca="1">IFERROR(__xludf.DUMMYFUNCTION("""COMPUTED_VALUE"""),30.72)</f>
        <v>30.72</v>
      </c>
      <c r="E57" s="21">
        <f ca="1">IFERROR(__xludf.DUMMYFUNCTION("""COMPUTED_VALUE"""),2537.45)</f>
        <v>2537.4499999999998</v>
      </c>
      <c r="F57" s="24">
        <f ca="1">IFERROR(__xludf.DUMMYFUNCTION("""COMPUTED_VALUE"""),0.121559045498433)</f>
        <v>0.12155904549843299</v>
      </c>
      <c r="G57" s="21">
        <f ca="1">IFERROR(__xludf.DUMMYFUNCTION("""COMPUTED_VALUE"""),1690.55)</f>
        <v>1690.55</v>
      </c>
      <c r="H57" s="24">
        <f ca="1">IFERROR(__xludf.DUMMYFUNCTION("""COMPUTED_VALUE"""),0.318505811718079)</f>
        <v>0.31850581171807901</v>
      </c>
      <c r="I57" s="21">
        <f ca="1">IFERROR(__xludf.DUMMYFUNCTION("""COMPUTED_VALUE"""),2214.25)</f>
        <v>2214.25</v>
      </c>
      <c r="J57" s="24">
        <f ca="1">IFERROR(__xludf.DUMMYFUNCTION("""COMPUTED_VALUE"""),0.00666139776448007)</f>
        <v>6.6613977644800699E-3</v>
      </c>
      <c r="K57" s="24" t="str">
        <f ca="1"/>
        <v>Tyre</v>
      </c>
      <c r="L57" s="24" t="str">
        <f ca="1"/>
        <v>BALKRISIND</v>
      </c>
      <c r="M57" s="24" t="str">
        <f ca="1"/>
        <v>No</v>
      </c>
      <c r="N57" s="24" t="str">
        <f ca="1"/>
        <v>No</v>
      </c>
      <c r="O57" s="25" t="str">
        <f t="array" aca="1" ref="O57" ca="1">IF(AND(D57&lt;65,M57="No", N57="No"),"Good Stock","")</f>
        <v>Good Stock</v>
      </c>
      <c r="P57" s="24" t="str">
        <f t="shared" ca="1" si="0"/>
        <v>Low Cap</v>
      </c>
      <c r="Q57" s="26"/>
      <c r="R57" s="26"/>
      <c r="S57" s="26"/>
      <c r="T57" s="26"/>
      <c r="U57" s="26"/>
      <c r="V57" s="26"/>
      <c r="W57" s="26"/>
      <c r="X57" s="26"/>
      <c r="Y57" s="26"/>
      <c r="Z57" s="27"/>
      <c r="AA57" s="26"/>
      <c r="AB57" s="26"/>
    </row>
    <row r="58" spans="1:28">
      <c r="A58" s="21" t="str">
        <f ca="1">IFERROR(__xludf.DUMMYFUNCTION("""COMPUTED_VALUE"""),"United Breweries")</f>
        <v>United Breweries</v>
      </c>
      <c r="B58" s="22">
        <f ca="1">IFERROR(__xludf.DUMMYFUNCTION("""COMPUTED_VALUE"""),42833.63)</f>
        <v>42833.63</v>
      </c>
      <c r="C58" s="21">
        <f ca="1">IFERROR(__xludf.DUMMYFUNCTION("""COMPUTED_VALUE"""),1625)</f>
        <v>1625</v>
      </c>
      <c r="D58" s="21">
        <f ca="1">IFERROR(__xludf.DUMMYFUNCTION("""COMPUTED_VALUE"""),78.07)</f>
        <v>78.069999999999993</v>
      </c>
      <c r="E58" s="21">
        <f ca="1">IFERROR(__xludf.DUMMYFUNCTION("""COMPUTED_VALUE"""),1806.45)</f>
        <v>1806.45</v>
      </c>
      <c r="F58" s="24">
        <f ca="1">IFERROR(__xludf.DUMMYFUNCTION("""COMPUTED_VALUE"""),0.100445625397879)</f>
        <v>0.100445625397879</v>
      </c>
      <c r="G58" s="21">
        <f ca="1">IFERROR(__xludf.DUMMYFUNCTION("""COMPUTED_VALUE"""),1274.5)</f>
        <v>1274.5</v>
      </c>
      <c r="H58" s="24">
        <f ca="1">IFERROR(__xludf.DUMMYFUNCTION("""COMPUTED_VALUE"""),0.275009807767752)</f>
        <v>0.27500980776775202</v>
      </c>
      <c r="I58" s="21">
        <f ca="1">IFERROR(__xludf.DUMMYFUNCTION("""COMPUTED_VALUE"""),1644.15)</f>
        <v>1644.15</v>
      </c>
      <c r="J58" s="24">
        <f ca="1">IFERROR(__xludf.DUMMYFUNCTION("""COMPUTED_VALUE"""),-0.0116473557765411)</f>
        <v>-1.16473557765411E-2</v>
      </c>
      <c r="K58" s="24" t="str">
        <f ca="1"/>
        <v>Spirits</v>
      </c>
      <c r="L58" s="24" t="str">
        <f ca="1"/>
        <v>UBL</v>
      </c>
      <c r="M58" s="24" t="str">
        <f ca="1"/>
        <v>No</v>
      </c>
      <c r="N58" s="24" t="str">
        <f ca="1"/>
        <v>Yes</v>
      </c>
      <c r="O58" s="25" t="str">
        <f t="array" aca="1" ref="O58" ca="1">IF(AND(D58&lt;65,M58="No", N58="No"),"Good Stock","")</f>
        <v/>
      </c>
      <c r="P58" s="24" t="str">
        <f t="shared" ca="1" si="0"/>
        <v>Low Cap</v>
      </c>
      <c r="Q58" s="26"/>
      <c r="R58" s="26"/>
      <c r="S58" s="26"/>
      <c r="T58" s="26"/>
      <c r="U58" s="26"/>
      <c r="V58" s="26"/>
      <c r="W58" s="26"/>
      <c r="X58" s="26"/>
      <c r="Y58" s="26"/>
      <c r="Z58" s="27"/>
      <c r="AA58" s="26"/>
      <c r="AB58" s="26"/>
    </row>
    <row r="59" spans="1:28">
      <c r="A59" s="21" t="str">
        <f ca="1">IFERROR(__xludf.DUMMYFUNCTION("""COMPUTED_VALUE"""),"Muthoot Finance")</f>
        <v>Muthoot Finance</v>
      </c>
      <c r="B59" s="22">
        <f ca="1">IFERROR(__xludf.DUMMYFUNCTION("""COMPUTED_VALUE"""),42774.19916)</f>
        <v>42774.199159999996</v>
      </c>
      <c r="C59" s="21">
        <f ca="1">IFERROR(__xludf.DUMMYFUNCTION("""COMPUTED_VALUE"""),1065.5)</f>
        <v>1065.5</v>
      </c>
      <c r="D59" s="21">
        <f ca="1">IFERROR(__xludf.DUMMYFUNCTION("""COMPUTED_VALUE"""),11.41)</f>
        <v>11.41</v>
      </c>
      <c r="E59" s="21">
        <f ca="1">IFERROR(__xludf.DUMMYFUNCTION("""COMPUTED_VALUE"""),1526.4)</f>
        <v>1526.4</v>
      </c>
      <c r="F59" s="24">
        <f ca="1">IFERROR(__xludf.DUMMYFUNCTION("""COMPUTED_VALUE"""),0.301952306079664)</f>
        <v>0.301952306079664</v>
      </c>
      <c r="G59" s="21">
        <f ca="1">IFERROR(__xludf.DUMMYFUNCTION("""COMPUTED_VALUE"""),950.2)</f>
        <v>950.2</v>
      </c>
      <c r="H59" s="24">
        <f ca="1">IFERROR(__xludf.DUMMYFUNCTION("""COMPUTED_VALUE"""),0.121342875184171)</f>
        <v>0.121342875184171</v>
      </c>
      <c r="I59" s="21">
        <f ca="1">IFERROR(__xludf.DUMMYFUNCTION("""COMPUTED_VALUE"""),1063.3)</f>
        <v>1063.3</v>
      </c>
      <c r="J59" s="24">
        <f ca="1">IFERROR(__xludf.DUMMYFUNCTION("""COMPUTED_VALUE"""),0.00206903037712785)</f>
        <v>2.0690303771278501E-3</v>
      </c>
      <c r="K59" s="24" t="str">
        <f ca="1"/>
        <v>NBFC</v>
      </c>
      <c r="L59" s="24" t="str">
        <f ca="1"/>
        <v>MUTHOOTFIN</v>
      </c>
      <c r="M59" s="24" t="str">
        <f ca="1"/>
        <v>Yes</v>
      </c>
      <c r="N59" s="24" t="str">
        <f ca="1"/>
        <v>Yes</v>
      </c>
      <c r="O59" s="25" t="str">
        <f t="array" aca="1" ref="O59" ca="1">IF(AND(D59&lt;65,M59="No", N59="No"),"Good Stock","")</f>
        <v/>
      </c>
      <c r="P59" s="24" t="str">
        <f t="shared" ca="1" si="0"/>
        <v>Low Cap</v>
      </c>
      <c r="Q59" s="26"/>
      <c r="R59" s="26"/>
      <c r="S59" s="26"/>
      <c r="T59" s="26"/>
      <c r="U59" s="26"/>
      <c r="V59" s="26"/>
      <c r="W59" s="26"/>
      <c r="X59" s="26"/>
      <c r="Y59" s="26"/>
      <c r="Z59" s="27"/>
      <c r="AA59" s="26"/>
      <c r="AB59" s="26"/>
    </row>
    <row r="60" spans="1:28">
      <c r="A60" s="21" t="str">
        <f ca="1">IFERROR(__xludf.DUMMYFUNCTION("""COMPUTED_VALUE"""),"AU Small Finance")</f>
        <v>AU Small Finance</v>
      </c>
      <c r="B60" s="22">
        <f ca="1">IFERROR(__xludf.DUMMYFUNCTION("""COMPUTED_VALUE"""),41307.1280064)</f>
        <v>41307.128006400002</v>
      </c>
      <c r="C60" s="21">
        <f ca="1">IFERROR(__xludf.DUMMYFUNCTION("""COMPUTED_VALUE"""),619)</f>
        <v>619</v>
      </c>
      <c r="D60" s="21">
        <f ca="1">IFERROR(__xludf.DUMMYFUNCTION("""COMPUTED_VALUE"""),31.44)</f>
        <v>31.44</v>
      </c>
      <c r="E60" s="21">
        <f ca="1">IFERROR(__xludf.DUMMYFUNCTION("""COMPUTED_VALUE"""),732.98)</f>
        <v>732.98</v>
      </c>
      <c r="F60" s="24">
        <f ca="1">IFERROR(__xludf.DUMMYFUNCTION("""COMPUTED_VALUE"""),0.155502196512865)</f>
        <v>0.15550219651286501</v>
      </c>
      <c r="G60" s="21">
        <f ca="1">IFERROR(__xludf.DUMMYFUNCTION("""COMPUTED_VALUE"""),525)</f>
        <v>525</v>
      </c>
      <c r="H60" s="24">
        <f ca="1">IFERROR(__xludf.DUMMYFUNCTION("""COMPUTED_VALUE"""),0.179047619047619)</f>
        <v>0.17904761904761901</v>
      </c>
      <c r="I60" s="21">
        <f ca="1">IFERROR(__xludf.DUMMYFUNCTION("""COMPUTED_VALUE"""),628.15)</f>
        <v>628.15</v>
      </c>
      <c r="J60" s="24">
        <f ca="1">IFERROR(__xludf.DUMMYFUNCTION("""COMPUTED_VALUE"""),-0.0145665844145506)</f>
        <v>-1.4566584414550599E-2</v>
      </c>
      <c r="K60" s="24" t="str">
        <f ca="1"/>
        <v>Small Finance</v>
      </c>
      <c r="L60" s="24" t="str">
        <f ca="1"/>
        <v>AUBANK</v>
      </c>
      <c r="M60" s="24" t="str">
        <f ca="1"/>
        <v>No</v>
      </c>
      <c r="N60" s="24" t="str">
        <f ca="1"/>
        <v>Yes</v>
      </c>
      <c r="O60" s="25" t="str">
        <f t="array" aca="1" ref="O60" ca="1">IF(AND(D60&lt;65,M60="No", N60="No"),"Good Stock","")</f>
        <v/>
      </c>
      <c r="P60" s="24" t="str">
        <f t="shared" ca="1" si="0"/>
        <v>Low Cap</v>
      </c>
      <c r="Q60" s="26"/>
      <c r="R60" s="26"/>
      <c r="S60" s="26"/>
      <c r="T60" s="26"/>
      <c r="U60" s="26"/>
      <c r="V60" s="26"/>
      <c r="W60" s="26"/>
      <c r="X60" s="26"/>
      <c r="Y60" s="26"/>
      <c r="Z60" s="27"/>
      <c r="AA60" s="26"/>
      <c r="AB60" s="26"/>
    </row>
    <row r="61" spans="1:28">
      <c r="A61" s="21" t="str">
        <f ca="1">IFERROR(__xludf.DUMMYFUNCTION("""COMPUTED_VALUE"""),"Astral Poly Technic")</f>
        <v>Astral Poly Technic</v>
      </c>
      <c r="B61" s="22">
        <f ca="1">IFERROR(__xludf.DUMMYFUNCTION("""COMPUTED_VALUE"""),41248.67)</f>
        <v>41248.67</v>
      </c>
      <c r="C61" s="21">
        <f ca="1">IFERROR(__xludf.DUMMYFUNCTION("""COMPUTED_VALUE"""),2046.5)</f>
        <v>2046.5</v>
      </c>
      <c r="D61" s="21">
        <f ca="1">IFERROR(__xludf.DUMMYFUNCTION("""COMPUTED_VALUE"""),96.08)</f>
        <v>96.08</v>
      </c>
      <c r="E61" s="21">
        <f ca="1">IFERROR(__xludf.DUMMYFUNCTION("""COMPUTED_VALUE"""),2654.8)</f>
        <v>2654.8</v>
      </c>
      <c r="F61" s="24">
        <f ca="1">IFERROR(__xludf.DUMMYFUNCTION("""COMPUTED_VALUE"""),0.229132138014163)</f>
        <v>0.22913213801416299</v>
      </c>
      <c r="G61" s="21">
        <f ca="1">IFERROR(__xludf.DUMMYFUNCTION("""COMPUTED_VALUE"""),1581.55)</f>
        <v>1581.55</v>
      </c>
      <c r="H61" s="24">
        <f ca="1">IFERROR(__xludf.DUMMYFUNCTION("""COMPUTED_VALUE"""),0.293983750118554)</f>
        <v>0.29398375011855399</v>
      </c>
      <c r="I61" s="21">
        <f ca="1">IFERROR(__xludf.DUMMYFUNCTION("""COMPUTED_VALUE"""),2063.75)</f>
        <v>2063.75</v>
      </c>
      <c r="J61" s="24">
        <f ca="1">IFERROR(__xludf.DUMMYFUNCTION("""COMPUTED_VALUE"""),-0.00835857056329497)</f>
        <v>-8.3585705632949706E-3</v>
      </c>
      <c r="K61" s="24" t="str">
        <f ca="1"/>
        <v>Piping</v>
      </c>
      <c r="L61" s="24" t="str">
        <f ca="1"/>
        <v>ASTRAL</v>
      </c>
      <c r="M61" s="24" t="str">
        <f ca="1"/>
        <v>No</v>
      </c>
      <c r="N61" s="24" t="str">
        <f ca="1"/>
        <v>Yes</v>
      </c>
      <c r="O61" s="25" t="str">
        <f t="array" aca="1" ref="O61" ca="1">IF(AND(D61&lt;65,M61="No", N61="No"),"Good Stock","")</f>
        <v/>
      </c>
      <c r="P61" s="24" t="str">
        <f t="shared" ca="1" si="0"/>
        <v>Low Cap</v>
      </c>
      <c r="Q61" s="26"/>
      <c r="R61" s="26"/>
      <c r="S61" s="26"/>
      <c r="T61" s="26"/>
      <c r="U61" s="26"/>
      <c r="V61" s="26"/>
      <c r="W61" s="26"/>
      <c r="X61" s="26"/>
      <c r="Y61" s="26"/>
      <c r="Z61" s="27"/>
      <c r="AA61" s="26"/>
      <c r="AB61" s="26"/>
    </row>
    <row r="62" spans="1:28">
      <c r="A62" s="21" t="str">
        <f ca="1">IFERROR(__xludf.DUMMYFUNCTION("""COMPUTED_VALUE"""),"Polycab")</f>
        <v>Polycab</v>
      </c>
      <c r="B62" s="22">
        <f ca="1">IFERROR(__xludf.DUMMYFUNCTION("""COMPUTED_VALUE"""),39945.4022299)</f>
        <v>39945.402229899999</v>
      </c>
      <c r="C62" s="21">
        <f ca="1">IFERROR(__xludf.DUMMYFUNCTION("""COMPUTED_VALUE"""),2662)</f>
        <v>2662</v>
      </c>
      <c r="D62" s="21">
        <f ca="1">IFERROR(__xludf.DUMMYFUNCTION("""COMPUTED_VALUE"""),35.5)</f>
        <v>35.5</v>
      </c>
      <c r="E62" s="21">
        <f ca="1">IFERROR(__xludf.DUMMYFUNCTION("""COMPUTED_VALUE"""),3025)</f>
        <v>3025</v>
      </c>
      <c r="F62" s="24">
        <f ca="1">IFERROR(__xludf.DUMMYFUNCTION("""COMPUTED_VALUE"""),0.12)</f>
        <v>0.12</v>
      </c>
      <c r="G62" s="21">
        <f ca="1">IFERROR(__xludf.DUMMYFUNCTION("""COMPUTED_VALUE"""),2043.85)</f>
        <v>2043.85</v>
      </c>
      <c r="H62" s="24">
        <f ca="1">IFERROR(__xludf.DUMMYFUNCTION("""COMPUTED_VALUE"""),0.302443917117205)</f>
        <v>0.30244391711720497</v>
      </c>
      <c r="I62" s="21">
        <f ca="1">IFERROR(__xludf.DUMMYFUNCTION("""COMPUTED_VALUE"""),2677.05)</f>
        <v>2677.05</v>
      </c>
      <c r="J62" s="24">
        <f ca="1">IFERROR(__xludf.DUMMYFUNCTION("""COMPUTED_VALUE"""),-0.00562185988308032)</f>
        <v>-5.6218598830803197E-3</v>
      </c>
      <c r="K62" s="24" t="str">
        <f ca="1"/>
        <v>Consumer Electrical</v>
      </c>
      <c r="L62" s="24" t="str">
        <f ca="1"/>
        <v>POLYCAB</v>
      </c>
      <c r="M62" s="24" t="str">
        <f ca="1"/>
        <v>No</v>
      </c>
      <c r="N62" s="24" t="str">
        <f ca="1"/>
        <v>No</v>
      </c>
      <c r="O62" s="25" t="str">
        <f t="array" aca="1" ref="O62" ca="1">IF(AND(D62&lt;65,M62="No", N62="No"),"Good Stock","")</f>
        <v>Good Stock</v>
      </c>
      <c r="P62" s="24" t="str">
        <f t="shared" ca="1" si="0"/>
        <v>Low Cap</v>
      </c>
      <c r="Q62" s="26"/>
      <c r="R62" s="26"/>
      <c r="S62" s="26"/>
      <c r="T62" s="26"/>
      <c r="U62" s="26"/>
      <c r="V62" s="26"/>
      <c r="W62" s="26"/>
      <c r="X62" s="26"/>
      <c r="Y62" s="26"/>
      <c r="Z62" s="27"/>
      <c r="AA62" s="26"/>
      <c r="AB62" s="26"/>
    </row>
    <row r="63" spans="1:28">
      <c r="A63" s="21" t="str">
        <f ca="1">IFERROR(__xludf.DUMMYFUNCTION("""COMPUTED_VALUE"""),"Solar Industries")</f>
        <v>Solar Industries</v>
      </c>
      <c r="B63" s="22">
        <f ca="1">IFERROR(__xludf.DUMMYFUNCTION("""COMPUTED_VALUE"""),38859.14)</f>
        <v>38859.14</v>
      </c>
      <c r="C63" s="21">
        <f ca="1">IFERROR(__xludf.DUMMYFUNCTION("""COMPUTED_VALUE"""),4338)</f>
        <v>4338</v>
      </c>
      <c r="D63" s="21">
        <f ca="1">IFERROR(__xludf.DUMMYFUNCTION("""COMPUTED_VALUE"""),63.66)</f>
        <v>63.66</v>
      </c>
      <c r="E63" s="21">
        <f ca="1">IFERROR(__xludf.DUMMYFUNCTION("""COMPUTED_VALUE"""),4535.95)</f>
        <v>4535.95</v>
      </c>
      <c r="F63" s="24">
        <f ca="1">IFERROR(__xludf.DUMMYFUNCTION("""COMPUTED_VALUE"""),0.0436402517664435)</f>
        <v>4.3640251766443497E-2</v>
      </c>
      <c r="G63" s="21">
        <f ca="1">IFERROR(__xludf.DUMMYFUNCTION("""COMPUTED_VALUE"""),2160.05)</f>
        <v>2160.0500000000002</v>
      </c>
      <c r="H63" s="24">
        <f ca="1">IFERROR(__xludf.DUMMYFUNCTION("""COMPUTED_VALUE"""),1.00828684521191)</f>
        <v>1.00828684521191</v>
      </c>
      <c r="I63" s="21">
        <f ca="1">IFERROR(__xludf.DUMMYFUNCTION("""COMPUTED_VALUE"""),4340.15)</f>
        <v>4340.1499999999996</v>
      </c>
      <c r="J63" s="24">
        <f ca="1">IFERROR(__xludf.DUMMYFUNCTION("""COMPUTED_VALUE"""),-0.000495374583827664)</f>
        <v>-4.9537458382766398E-4</v>
      </c>
      <c r="K63" s="24" t="str">
        <f ca="1"/>
        <v>Defence</v>
      </c>
      <c r="L63" s="24" t="str">
        <f ca="1"/>
        <v>BOM:532725</v>
      </c>
      <c r="M63" s="24" t="str">
        <f ca="1"/>
        <v>No</v>
      </c>
      <c r="N63" s="24" t="str">
        <f ca="1"/>
        <v>No</v>
      </c>
      <c r="O63" s="25" t="str">
        <f t="array" aca="1" ref="O63" ca="1">IF(AND(D63&lt;65,M63="No", N63="No"),"Good Stock","")</f>
        <v>Good Stock</v>
      </c>
      <c r="P63" s="24" t="str">
        <f t="shared" ca="1" si="0"/>
        <v>Low Cap</v>
      </c>
      <c r="Q63" s="26"/>
      <c r="R63" s="26"/>
      <c r="S63" s="26"/>
      <c r="T63" s="26"/>
      <c r="U63" s="26"/>
      <c r="V63" s="26"/>
      <c r="W63" s="26"/>
      <c r="X63" s="26"/>
      <c r="Y63" s="26"/>
      <c r="Z63" s="27"/>
      <c r="AA63" s="26"/>
      <c r="AB63" s="26"/>
    </row>
    <row r="64" spans="1:28">
      <c r="A64" s="21" t="str">
        <f ca="1">IFERROR(__xludf.DUMMYFUNCTION("""COMPUTED_VALUE"""),"Tata Elxsi")</f>
        <v>Tata Elxsi</v>
      </c>
      <c r="B64" s="22">
        <f ca="1">IFERROR(__xludf.DUMMYFUNCTION("""COMPUTED_VALUE"""),38754.622389)</f>
        <v>38754.622388999996</v>
      </c>
      <c r="C64" s="21">
        <f ca="1">IFERROR(__xludf.DUMMYFUNCTION("""COMPUTED_VALUE"""),6223)</f>
        <v>6223</v>
      </c>
      <c r="D64" s="21">
        <f ca="1">IFERROR(__xludf.DUMMYFUNCTION("""COMPUTED_VALUE"""),57.85)</f>
        <v>57.85</v>
      </c>
      <c r="E64" s="21">
        <f ca="1">IFERROR(__xludf.DUMMYFUNCTION("""COMPUTED_VALUE"""),10760)</f>
        <v>10760</v>
      </c>
      <c r="F64" s="24">
        <f ca="1">IFERROR(__xludf.DUMMYFUNCTION("""COMPUTED_VALUE"""),0.421654275092936)</f>
        <v>0.42165427509293602</v>
      </c>
      <c r="G64" s="21">
        <f ca="1">IFERROR(__xludf.DUMMYFUNCTION("""COMPUTED_VALUE"""),5709.05)</f>
        <v>5709.05</v>
      </c>
      <c r="H64" s="24">
        <f ca="1">IFERROR(__xludf.DUMMYFUNCTION("""COMPUTED_VALUE"""),0.0900237342465033)</f>
        <v>9.0023734246503298E-2</v>
      </c>
      <c r="I64" s="21">
        <f ca="1">IFERROR(__xludf.DUMMYFUNCTION("""COMPUTED_VALUE"""),6196.65)</f>
        <v>6196.65</v>
      </c>
      <c r="J64" s="24">
        <f ca="1">IFERROR(__xludf.DUMMYFUNCTION("""COMPUTED_VALUE"""),0.00425229761241967)</f>
        <v>4.25229761241967E-3</v>
      </c>
      <c r="K64" s="24" t="str">
        <f ca="1"/>
        <v>IT-Software</v>
      </c>
      <c r="L64" s="24" t="str">
        <f ca="1"/>
        <v>TATAELXSI</v>
      </c>
      <c r="M64" s="24" t="str">
        <f ca="1"/>
        <v>Yes</v>
      </c>
      <c r="N64" s="24" t="str">
        <f ca="1"/>
        <v>Yes</v>
      </c>
      <c r="O64" s="25" t="str">
        <f t="array" aca="1" ref="O64" ca="1">IF(AND(D64&lt;65,M64="No", N64="No"),"Good Stock","")</f>
        <v/>
      </c>
      <c r="P64" s="24" t="str">
        <f t="shared" ca="1" si="0"/>
        <v>Low Cap</v>
      </c>
      <c r="Q64" s="26"/>
      <c r="R64" s="26"/>
      <c r="S64" s="26"/>
      <c r="T64" s="26"/>
      <c r="U64" s="26"/>
      <c r="V64" s="26"/>
      <c r="W64" s="26"/>
      <c r="X64" s="26"/>
      <c r="Y64" s="26"/>
      <c r="Z64" s="27"/>
      <c r="AA64" s="26"/>
      <c r="AB64" s="26"/>
    </row>
    <row r="65" spans="1:28">
      <c r="A65" s="21" t="str">
        <f ca="1">IFERROR(__xludf.DUMMYFUNCTION("""COMPUTED_VALUE"""),"Mphasis")</f>
        <v>Mphasis</v>
      </c>
      <c r="B65" s="22">
        <f ca="1">IFERROR(__xludf.DUMMYFUNCTION("""COMPUTED_VALUE"""),38348.8672779)</f>
        <v>38348.867277899997</v>
      </c>
      <c r="C65" s="21">
        <f ca="1">IFERROR(__xludf.DUMMYFUNCTION("""COMPUTED_VALUE"""),2035.55)</f>
        <v>2035.55</v>
      </c>
      <c r="D65" s="21">
        <f ca="1">IFERROR(__xludf.DUMMYFUNCTION("""COMPUTED_VALUE"""),24.59)</f>
        <v>24.59</v>
      </c>
      <c r="E65" s="21">
        <f ca="1">IFERROR(__xludf.DUMMYFUNCTION("""COMPUTED_VALUE"""),3466.4)</f>
        <v>3466.4</v>
      </c>
      <c r="F65" s="24">
        <f ca="1">IFERROR(__xludf.DUMMYFUNCTION("""COMPUTED_VALUE"""),0.412776944380336)</f>
        <v>0.41277694438033602</v>
      </c>
      <c r="G65" s="21">
        <f ca="1">IFERROR(__xludf.DUMMYFUNCTION("""COMPUTED_VALUE"""),1897.35)</f>
        <v>1897.35</v>
      </c>
      <c r="H65" s="24">
        <f ca="1">IFERROR(__xludf.DUMMYFUNCTION("""COMPUTED_VALUE"""),0.0728384325506627)</f>
        <v>7.2838432550662705E-2</v>
      </c>
      <c r="I65" s="21">
        <f ca="1">IFERROR(__xludf.DUMMYFUNCTION("""COMPUTED_VALUE"""),2013.55)</f>
        <v>2013.55</v>
      </c>
      <c r="J65" s="24">
        <f ca="1">IFERROR(__xludf.DUMMYFUNCTION("""COMPUTED_VALUE"""),0.0109259765091505)</f>
        <v>1.09259765091505E-2</v>
      </c>
      <c r="K65" s="24" t="str">
        <f ca="1"/>
        <v>IT</v>
      </c>
      <c r="L65" s="24" t="str">
        <f ca="1"/>
        <v>BOM:526299</v>
      </c>
      <c r="M65" s="24" t="str">
        <f ca="1"/>
        <v>Yes</v>
      </c>
      <c r="N65" s="24" t="str">
        <f ca="1"/>
        <v>Yes</v>
      </c>
      <c r="O65" s="25" t="str">
        <f t="array" aca="1" ref="O65" ca="1">IF(AND(D65&lt;65,M65="No", N65="No"),"Good Stock","")</f>
        <v/>
      </c>
      <c r="P65" s="24" t="str">
        <f t="shared" ca="1" si="0"/>
        <v>Low Cap</v>
      </c>
      <c r="Q65" s="26"/>
      <c r="R65" s="26"/>
      <c r="S65" s="26"/>
      <c r="T65" s="26"/>
      <c r="U65" s="26"/>
      <c r="V65" s="26"/>
      <c r="W65" s="26"/>
      <c r="X65" s="26"/>
      <c r="Y65" s="26"/>
      <c r="Z65" s="27"/>
      <c r="AA65" s="26"/>
      <c r="AB65" s="26"/>
    </row>
    <row r="66" spans="1:28">
      <c r="A66" s="21" t="str">
        <f ca="1">IFERROR(__xludf.DUMMYFUNCTION("""COMPUTED_VALUE"""),"Bandhan Bank")</f>
        <v>Bandhan Bank</v>
      </c>
      <c r="B66" s="22">
        <f ca="1">IFERROR(__xludf.DUMMYFUNCTION("""COMPUTED_VALUE"""),38329.8286)</f>
        <v>38329.828600000001</v>
      </c>
      <c r="C66" s="21">
        <f ca="1">IFERROR(__xludf.DUMMYFUNCTION("""COMPUTED_VALUE"""),237.75)</f>
        <v>237.75</v>
      </c>
      <c r="D66" s="21">
        <f ca="1">IFERROR(__xludf.DUMMYFUNCTION("""COMPUTED_VALUE"""),9.94)</f>
        <v>9.94</v>
      </c>
      <c r="E66" s="21">
        <f ca="1">IFERROR(__xludf.DUMMYFUNCTION("""COMPUTED_VALUE"""),349.55)</f>
        <v>349.55</v>
      </c>
      <c r="F66" s="24">
        <f ca="1">IFERROR(__xludf.DUMMYFUNCTION("""COMPUTED_VALUE"""),0.319839794020884)</f>
        <v>0.31983979402088403</v>
      </c>
      <c r="G66" s="21">
        <f ca="1">IFERROR(__xludf.DUMMYFUNCTION("""COMPUTED_VALUE"""),209.55)</f>
        <v>209.55</v>
      </c>
      <c r="H66" s="24">
        <f ca="1">IFERROR(__xludf.DUMMYFUNCTION("""COMPUTED_VALUE"""),0.134574087329992)</f>
        <v>0.13457408732999199</v>
      </c>
      <c r="I66" s="21">
        <f ca="1">IFERROR(__xludf.DUMMYFUNCTION("""COMPUTED_VALUE"""),239.25)</f>
        <v>239.25</v>
      </c>
      <c r="J66" s="24">
        <f ca="1">IFERROR(__xludf.DUMMYFUNCTION("""COMPUTED_VALUE"""),-0.00626959247648902)</f>
        <v>-6.2695924764890202E-3</v>
      </c>
      <c r="K66" s="24" t="str">
        <f ca="1"/>
        <v>Bank</v>
      </c>
      <c r="L66" s="24" t="str">
        <f ca="1"/>
        <v>BANDHANBNK</v>
      </c>
      <c r="M66" s="24" t="str">
        <f ca="1"/>
        <v>Yes</v>
      </c>
      <c r="N66" s="24" t="str">
        <f ca="1"/>
        <v>Yes</v>
      </c>
      <c r="O66" s="25" t="str">
        <f t="array" aca="1" ref="O66" ca="1">IF(AND(D66&lt;65,M66="No", N66="No"),"Good Stock","")</f>
        <v/>
      </c>
      <c r="P66" s="24" t="str">
        <f t="shared" ca="1" si="0"/>
        <v>Low Cap</v>
      </c>
      <c r="Q66" s="26"/>
      <c r="R66" s="26"/>
      <c r="S66" s="26"/>
      <c r="T66" s="26"/>
      <c r="U66" s="26"/>
      <c r="V66" s="26"/>
      <c r="W66" s="26"/>
      <c r="X66" s="26"/>
      <c r="Y66" s="26"/>
      <c r="Z66" s="27"/>
      <c r="AA66" s="26"/>
      <c r="AB66" s="26"/>
    </row>
    <row r="67" spans="1:28">
      <c r="A67" s="21" t="str">
        <f ca="1">IFERROR(__xludf.DUMMYFUNCTION("""COMPUTED_VALUE"""),"MRF")</f>
        <v>MRF</v>
      </c>
      <c r="B67" s="22">
        <f ca="1">IFERROR(__xludf.DUMMYFUNCTION("""COMPUTED_VALUE"""),38048.54)</f>
        <v>38048.54</v>
      </c>
      <c r="C67" s="21">
        <f ca="1">IFERROR(__xludf.DUMMYFUNCTION("""COMPUTED_VALUE"""),89700)</f>
        <v>89700</v>
      </c>
      <c r="D67" s="21">
        <f ca="1">IFERROR(__xludf.DUMMYFUNCTION("""COMPUTED_VALUE"""),66.97)</f>
        <v>66.97</v>
      </c>
      <c r="E67" s="21">
        <f ca="1">IFERROR(__xludf.DUMMYFUNCTION("""COMPUTED_VALUE"""),95954.35)</f>
        <v>95954.35</v>
      </c>
      <c r="F67" s="24">
        <f ca="1">IFERROR(__xludf.DUMMYFUNCTION("""COMPUTED_VALUE"""),0.0651804738399041)</f>
        <v>6.5180473839904093E-2</v>
      </c>
      <c r="G67" s="21">
        <f ca="1">IFERROR(__xludf.DUMMYFUNCTION("""COMPUTED_VALUE"""),62944.5)</f>
        <v>62944.5</v>
      </c>
      <c r="H67" s="24">
        <f ca="1">IFERROR(__xludf.DUMMYFUNCTION("""COMPUTED_VALUE"""),0.425064938159807)</f>
        <v>0.425064938159807</v>
      </c>
      <c r="I67" s="21">
        <f ca="1">IFERROR(__xludf.DUMMYFUNCTION("""COMPUTED_VALUE"""),89498.35)</f>
        <v>89498.35</v>
      </c>
      <c r="J67" s="24">
        <f ca="1">IFERROR(__xludf.DUMMYFUNCTION("""COMPUTED_VALUE"""),0.00225311416355714)</f>
        <v>2.2531141635571401E-3</v>
      </c>
      <c r="K67" s="24" t="str">
        <f ca="1"/>
        <v>Tyre</v>
      </c>
      <c r="L67" s="24" t="str">
        <f ca="1"/>
        <v>BOM:500290</v>
      </c>
      <c r="M67" s="24" t="str">
        <f ca="1"/>
        <v>No</v>
      </c>
      <c r="N67" s="24" t="str">
        <f ca="1"/>
        <v>No</v>
      </c>
      <c r="O67" s="25" t="str">
        <f t="array" aca="1" ref="O67" ca="1">IF(AND(D67&lt;65,M67="No", N67="No"),"Good Stock","")</f>
        <v/>
      </c>
      <c r="P67" s="24" t="str">
        <f t="shared" ca="1" si="0"/>
        <v>Low Cap</v>
      </c>
      <c r="Q67" s="26"/>
      <c r="R67" s="26"/>
      <c r="S67" s="26"/>
      <c r="T67" s="26"/>
      <c r="U67" s="26"/>
      <c r="V67" s="26"/>
      <c r="W67" s="26"/>
      <c r="X67" s="26"/>
      <c r="Y67" s="26"/>
      <c r="Z67" s="27"/>
      <c r="AA67" s="26"/>
      <c r="AB67" s="26"/>
    </row>
    <row r="68" spans="1:28">
      <c r="A68" s="21" t="str">
        <f ca="1">IFERROR(__xludf.DUMMYFUNCTION("""COMPUTED_VALUE"""),"L&amp;T Technology")</f>
        <v>L&amp;T Technology</v>
      </c>
      <c r="B68" s="22">
        <f ca="1">IFERROR(__xludf.DUMMYFUNCTION("""COMPUTED_VALUE"""),36421.231513)</f>
        <v>36421.231512999999</v>
      </c>
      <c r="C68" s="21">
        <f ca="1">IFERROR(__xludf.DUMMYFUNCTION("""COMPUTED_VALUE"""),3446.95)</f>
        <v>3446.95</v>
      </c>
      <c r="D68" s="21">
        <f ca="1">IFERROR(__xludf.DUMMYFUNCTION("""COMPUTED_VALUE"""),34.13)</f>
        <v>34.130000000000003</v>
      </c>
      <c r="E68" s="21">
        <f ca="1">IFERROR(__xludf.DUMMYFUNCTION("""COMPUTED_VALUE"""),5714)</f>
        <v>5714</v>
      </c>
      <c r="F68" s="24">
        <f ca="1">IFERROR(__xludf.DUMMYFUNCTION("""COMPUTED_VALUE"""),0.396753587679384)</f>
        <v>0.39675358767938401</v>
      </c>
      <c r="G68" s="21">
        <f ca="1">IFERROR(__xludf.DUMMYFUNCTION("""COMPUTED_VALUE"""),2923.35)</f>
        <v>2923.35</v>
      </c>
      <c r="H68" s="24">
        <f ca="1">IFERROR(__xludf.DUMMYFUNCTION("""COMPUTED_VALUE"""),0.179109583183676)</f>
        <v>0.17910958318367601</v>
      </c>
      <c r="I68" s="21">
        <f ca="1">IFERROR(__xludf.DUMMYFUNCTION("""COMPUTED_VALUE"""),3640.5)</f>
        <v>3640.5</v>
      </c>
      <c r="J68" s="24">
        <f ca="1">IFERROR(__xludf.DUMMYFUNCTION("""COMPUTED_VALUE"""),-0.0531657739321522)</f>
        <v>-5.3165773932152202E-2</v>
      </c>
      <c r="K68" s="24" t="str">
        <f ca="1"/>
        <v>Technology</v>
      </c>
      <c r="L68" s="24" t="str">
        <f ca="1"/>
        <v>BOM:540115</v>
      </c>
      <c r="M68" s="24" t="str">
        <f ca="1"/>
        <v>Yes</v>
      </c>
      <c r="N68" s="24" t="str">
        <f ca="1"/>
        <v>Yes</v>
      </c>
      <c r="O68" s="25" t="str">
        <f t="array" aca="1" ref="O68" ca="1">IF(AND(D68&lt;65,M68="No", N68="No"),"Good Stock","")</f>
        <v/>
      </c>
      <c r="P68" s="24" t="str">
        <f t="shared" ca="1" si="0"/>
        <v>Low Cap</v>
      </c>
      <c r="Q68" s="26"/>
      <c r="R68" s="26"/>
      <c r="S68" s="26"/>
      <c r="T68" s="26"/>
      <c r="U68" s="26"/>
      <c r="V68" s="26"/>
      <c r="W68" s="26"/>
      <c r="X68" s="26"/>
      <c r="Y68" s="26"/>
      <c r="Z68" s="27"/>
      <c r="AA68" s="26"/>
      <c r="AB68" s="26"/>
    </row>
    <row r="69" spans="1:28">
      <c r="A69" s="21" t="str">
        <f ca="1">IFERROR(__xludf.DUMMYFUNCTION("""COMPUTED_VALUE"""),"Honeywell Auto")</f>
        <v>Honeywell Auto</v>
      </c>
      <c r="B69" s="22">
        <f ca="1">IFERROR(__xludf.DUMMYFUNCTION("""COMPUTED_VALUE"""),35109.687833)</f>
        <v>35109.687833000004</v>
      </c>
      <c r="C69" s="21">
        <f ca="1">IFERROR(__xludf.DUMMYFUNCTION("""COMPUTED_VALUE"""),39710)</f>
        <v>39710</v>
      </c>
      <c r="D69" s="21">
        <f ca="1">IFERROR(__xludf.DUMMYFUNCTION("""COMPUTED_VALUE"""),91.84)</f>
        <v>91.84</v>
      </c>
      <c r="E69" s="21">
        <f ca="1">IFERROR(__xludf.DUMMYFUNCTION("""COMPUTED_VALUE"""),46397.7)</f>
        <v>46397.7</v>
      </c>
      <c r="F69" s="24">
        <f ca="1">IFERROR(__xludf.DUMMYFUNCTION("""COMPUTED_VALUE"""),0.144138610319045)</f>
        <v>0.14413861031904501</v>
      </c>
      <c r="G69" s="21">
        <f ca="1">IFERROR(__xludf.DUMMYFUNCTION("""COMPUTED_VALUE"""),30185.35)</f>
        <v>30185.35</v>
      </c>
      <c r="H69" s="24">
        <f ca="1">IFERROR(__xludf.DUMMYFUNCTION("""COMPUTED_VALUE"""),0.315538829266515)</f>
        <v>0.315538829266515</v>
      </c>
      <c r="I69" s="21">
        <f ca="1">IFERROR(__xludf.DUMMYFUNCTION("""COMPUTED_VALUE"""),39677.1)</f>
        <v>39677.1</v>
      </c>
      <c r="J69" s="24">
        <f ca="1">IFERROR(__xludf.DUMMYFUNCTION("""COMPUTED_VALUE"""),0.000829193665867753)</f>
        <v>8.2919366586775296E-4</v>
      </c>
      <c r="K69" s="24" t="str">
        <f ca="1"/>
        <v>Automobile Ancilliary</v>
      </c>
      <c r="L69" s="24" t="str">
        <f ca="1"/>
        <v>HONAUT</v>
      </c>
      <c r="M69" s="24" t="str">
        <f ca="1"/>
        <v>No</v>
      </c>
      <c r="N69" s="24" t="str">
        <f ca="1"/>
        <v>No</v>
      </c>
      <c r="O69" s="25" t="str">
        <f t="array" aca="1" ref="O69" ca="1">IF(AND(D69&lt;65,M69="No", N69="No"),"Good Stock","")</f>
        <v/>
      </c>
      <c r="P69" s="24" t="str">
        <f t="shared" ca="1" si="0"/>
        <v>Low Cap</v>
      </c>
      <c r="Q69" s="26"/>
      <c r="R69" s="26"/>
      <c r="S69" s="26"/>
      <c r="T69" s="26"/>
      <c r="U69" s="26"/>
      <c r="V69" s="26"/>
      <c r="W69" s="26"/>
      <c r="X69" s="26"/>
      <c r="Y69" s="26"/>
      <c r="Z69" s="27"/>
      <c r="AA69" s="26"/>
      <c r="AB69" s="26"/>
    </row>
    <row r="70" spans="1:28">
      <c r="A70" s="21" t="str">
        <f ca="1">IFERROR(__xludf.DUMMYFUNCTION("""COMPUTED_VALUE"""),"Jubilant FoodWorks")</f>
        <v>Jubilant FoodWorks</v>
      </c>
      <c r="B70" s="22">
        <f ca="1">IFERROR(__xludf.DUMMYFUNCTION("""COMPUTED_VALUE"""),32766.2786899)</f>
        <v>32766.278689899998</v>
      </c>
      <c r="C70" s="21">
        <f ca="1">IFERROR(__xludf.DUMMYFUNCTION("""COMPUTED_VALUE"""),498.25)</f>
        <v>498.25</v>
      </c>
      <c r="D70" s="21">
        <f ca="1">IFERROR(__xludf.DUMMYFUNCTION("""COMPUTED_VALUE"""),69.25)</f>
        <v>69.25</v>
      </c>
      <c r="E70" s="21">
        <f ca="1">IFERROR(__xludf.DUMMYFUNCTION("""COMPUTED_VALUE"""),806.4)</f>
        <v>806.4</v>
      </c>
      <c r="F70" s="24">
        <f ca="1">IFERROR(__xludf.DUMMYFUNCTION("""COMPUTED_VALUE"""),0.382130456349206)</f>
        <v>0.382130456349206</v>
      </c>
      <c r="G70" s="21">
        <f ca="1">IFERROR(__xludf.DUMMYFUNCTION("""COMPUTED_VALUE"""),451.2)</f>
        <v>451.2</v>
      </c>
      <c r="H70" s="24">
        <f ca="1">IFERROR(__xludf.DUMMYFUNCTION("""COMPUTED_VALUE"""),0.104277482269503)</f>
        <v>0.10427748226950299</v>
      </c>
      <c r="I70" s="21">
        <f ca="1">IFERROR(__xludf.DUMMYFUNCTION("""COMPUTED_VALUE"""),488.55)</f>
        <v>488.55</v>
      </c>
      <c r="J70" s="24">
        <f ca="1">IFERROR(__xludf.DUMMYFUNCTION("""COMPUTED_VALUE"""),0.0198546719885374)</f>
        <v>1.9854671988537399E-2</v>
      </c>
      <c r="K70" s="24" t="str">
        <f ca="1"/>
        <v>Food</v>
      </c>
      <c r="L70" s="24" t="str">
        <f ca="1"/>
        <v>JUBLFOOD</v>
      </c>
      <c r="M70" s="24" t="str">
        <f ca="1"/>
        <v>Yes</v>
      </c>
      <c r="N70" s="24" t="str">
        <f ca="1"/>
        <v>Yes</v>
      </c>
      <c r="O70" s="25" t="str">
        <f t="array" aca="1" ref="O70" ca="1">IF(AND(D70&lt;65,M70="No", N70="No"),"Good Stock","")</f>
        <v/>
      </c>
      <c r="P70" s="24" t="str">
        <f t="shared" ca="1" si="0"/>
        <v>Low Cap</v>
      </c>
      <c r="Q70" s="26"/>
      <c r="R70" s="26"/>
      <c r="S70" s="26"/>
      <c r="T70" s="26"/>
      <c r="U70" s="26"/>
      <c r="V70" s="26"/>
      <c r="W70" s="26"/>
      <c r="X70" s="26"/>
      <c r="Y70" s="26"/>
      <c r="Z70" s="27"/>
      <c r="AA70" s="26"/>
      <c r="AB70" s="26"/>
    </row>
    <row r="71" spans="1:28">
      <c r="A71" s="21" t="str">
        <f ca="1">IFERROR(__xludf.DUMMYFUNCTION("""COMPUTED_VALUE"""),"APL Apollo")</f>
        <v>APL Apollo</v>
      </c>
      <c r="B71" s="22">
        <f ca="1">IFERROR(__xludf.DUMMYFUNCTION("""COMPUTED_VALUE"""),31477.05)</f>
        <v>31477.05</v>
      </c>
      <c r="C71" s="21">
        <f ca="1">IFERROR(__xludf.DUMMYFUNCTION("""COMPUTED_VALUE"""),1136)</f>
        <v>1136</v>
      </c>
      <c r="D71" s="21">
        <f ca="1">IFERROR(__xludf.DUMMYFUNCTION("""COMPUTED_VALUE"""),54.9)</f>
        <v>54.9</v>
      </c>
      <c r="E71" s="21">
        <f ca="1">IFERROR(__xludf.DUMMYFUNCTION("""COMPUTED_VALUE"""),1193.85)</f>
        <v>1193.8499999999999</v>
      </c>
      <c r="F71" s="24">
        <f ca="1">IFERROR(__xludf.DUMMYFUNCTION("""COMPUTED_VALUE"""),0.048456673786489)</f>
        <v>4.8456673786488998E-2</v>
      </c>
      <c r="G71" s="21">
        <f ca="1">IFERROR(__xludf.DUMMYFUNCTION("""COMPUTED_VALUE"""),771)</f>
        <v>771</v>
      </c>
      <c r="H71" s="24">
        <f ca="1">IFERROR(__xludf.DUMMYFUNCTION("""COMPUTED_VALUE"""),0.473411154345006)</f>
        <v>0.47341115434500602</v>
      </c>
      <c r="I71" s="21">
        <f ca="1">IFERROR(__xludf.DUMMYFUNCTION("""COMPUTED_VALUE"""),1127.95)</f>
        <v>1127.95</v>
      </c>
      <c r="J71" s="24">
        <f ca="1">IFERROR(__xludf.DUMMYFUNCTION("""COMPUTED_VALUE"""),0.00713684117203772)</f>
        <v>7.1368411720377197E-3</v>
      </c>
      <c r="K71" s="24" t="str">
        <f ca="1"/>
        <v>Steel</v>
      </c>
      <c r="L71" s="24" t="str">
        <f ca="1"/>
        <v>BOM:533758</v>
      </c>
      <c r="M71" s="24" t="str">
        <f ca="1"/>
        <v>No</v>
      </c>
      <c r="N71" s="24" t="str">
        <f ca="1"/>
        <v>No</v>
      </c>
      <c r="O71" s="25" t="str">
        <f t="array" aca="1" ref="O71" ca="1">IF(AND(D71&lt;65,M71="No", N71="No"),"Good Stock","")</f>
        <v>Good Stock</v>
      </c>
      <c r="P71" s="24" t="str">
        <f t="shared" ca="1" si="0"/>
        <v>Low Cap</v>
      </c>
      <c r="Q71" s="26"/>
      <c r="R71" s="26"/>
      <c r="S71" s="26"/>
      <c r="T71" s="26"/>
      <c r="U71" s="26"/>
      <c r="V71" s="26"/>
      <c r="W71" s="26"/>
      <c r="X71" s="26"/>
      <c r="Y71" s="26"/>
      <c r="Z71" s="27"/>
      <c r="AA71" s="26"/>
      <c r="AB71" s="26"/>
    </row>
    <row r="72" spans="1:28">
      <c r="A72" s="21" t="str">
        <f ca="1">IFERROR(__xludf.DUMMYFUNCTION("""COMPUTED_VALUE"""),"Supreme Industries")</f>
        <v>Supreme Industries</v>
      </c>
      <c r="B72" s="22">
        <f ca="1">IFERROR(__xludf.DUMMYFUNCTION("""COMPUTED_VALUE"""),31369.92)</f>
        <v>31369.919999999998</v>
      </c>
      <c r="C72" s="21">
        <f ca="1">IFERROR(__xludf.DUMMYFUNCTION("""COMPUTED_VALUE"""),2461)</f>
        <v>2461</v>
      </c>
      <c r="D72" s="21">
        <f ca="1">IFERROR(__xludf.DUMMYFUNCTION("""COMPUTED_VALUE"""),36.12)</f>
        <v>36.119999999999997</v>
      </c>
      <c r="E72" s="21">
        <f ca="1">IFERROR(__xludf.DUMMYFUNCTION("""COMPUTED_VALUE"""),2607.65)</f>
        <v>2607.65</v>
      </c>
      <c r="F72" s="24">
        <f ca="1">IFERROR(__xludf.DUMMYFUNCTION("""COMPUTED_VALUE"""),0.0562383755488658)</f>
        <v>5.62383755488658E-2</v>
      </c>
      <c r="G72" s="21">
        <f ca="1">IFERROR(__xludf.DUMMYFUNCTION("""COMPUTED_VALUE"""),1666.25)</f>
        <v>1666.25</v>
      </c>
      <c r="H72" s="24">
        <f ca="1">IFERROR(__xludf.DUMMYFUNCTION("""COMPUTED_VALUE"""),0.476969242310577)</f>
        <v>0.47696924231057702</v>
      </c>
      <c r="I72" s="21">
        <f ca="1">IFERROR(__xludf.DUMMYFUNCTION("""COMPUTED_VALUE"""),2452.7)</f>
        <v>2452.6999999999998</v>
      </c>
      <c r="J72" s="24">
        <f ca="1">IFERROR(__xludf.DUMMYFUNCTION("""COMPUTED_VALUE"""),0.00338402576752158)</f>
        <v>3.3840257675215799E-3</v>
      </c>
      <c r="K72" s="24" t="str">
        <f ca="1"/>
        <v>Plastic</v>
      </c>
      <c r="L72" s="24" t="str">
        <f ca="1"/>
        <v>SUPREMEIND</v>
      </c>
      <c r="M72" s="24" t="str">
        <f ca="1"/>
        <v>No</v>
      </c>
      <c r="N72" s="24" t="str">
        <f ca="1"/>
        <v>No</v>
      </c>
      <c r="O72" s="25" t="str">
        <f t="array" aca="1" ref="O72" ca="1">IF(AND(D72&lt;65,M72="No", N72="No"),"Good Stock","")</f>
        <v>Good Stock</v>
      </c>
      <c r="P72" s="24" t="str">
        <f t="shared" ca="1" si="0"/>
        <v>Low Cap</v>
      </c>
      <c r="Q72" s="26"/>
      <c r="R72" s="26"/>
      <c r="S72" s="26"/>
      <c r="T72" s="26"/>
      <c r="U72" s="26"/>
      <c r="V72" s="26"/>
      <c r="W72" s="26"/>
      <c r="X72" s="26"/>
      <c r="Y72" s="26"/>
      <c r="Z72" s="27"/>
      <c r="AA72" s="26"/>
      <c r="AB72" s="26"/>
    </row>
    <row r="73" spans="1:28">
      <c r="A73" s="21" t="str">
        <f ca="1">IFERROR(__xludf.DUMMYFUNCTION("""COMPUTED_VALUE"""),"Gujarat Gas")</f>
        <v>Gujarat Gas</v>
      </c>
      <c r="B73" s="22">
        <f ca="1">IFERROR(__xludf.DUMMYFUNCTION("""COMPUTED_VALUE"""),31008.5328948)</f>
        <v>31008.532894799999</v>
      </c>
      <c r="C73" s="21">
        <f ca="1">IFERROR(__xludf.DUMMYFUNCTION("""COMPUTED_VALUE"""),450.2)</f>
        <v>450.2</v>
      </c>
      <c r="D73" s="21">
        <f ca="1">IFERROR(__xludf.DUMMYFUNCTION("""COMPUTED_VALUE"""),22.9)</f>
        <v>22.9</v>
      </c>
      <c r="E73" s="21">
        <f ca="1">IFERROR(__xludf.DUMMYFUNCTION("""COMPUTED_VALUE"""),721.8)</f>
        <v>721.8</v>
      </c>
      <c r="F73" s="24">
        <f ca="1">IFERROR(__xludf.DUMMYFUNCTION("""COMPUTED_VALUE"""),0.376281518426156)</f>
        <v>0.37628151842615598</v>
      </c>
      <c r="G73" s="21">
        <f ca="1">IFERROR(__xludf.DUMMYFUNCTION("""COMPUTED_VALUE"""),403.55)</f>
        <v>403.55</v>
      </c>
      <c r="H73" s="24">
        <f ca="1">IFERROR(__xludf.DUMMYFUNCTION("""COMPUTED_VALUE"""),0.11559905835708)</f>
        <v>0.11559905835708</v>
      </c>
      <c r="I73" s="21">
        <f ca="1">IFERROR(__xludf.DUMMYFUNCTION("""COMPUTED_VALUE"""),466.8)</f>
        <v>466.8</v>
      </c>
      <c r="J73" s="24">
        <f ca="1">IFERROR(__xludf.DUMMYFUNCTION("""COMPUTED_VALUE"""),-0.0355612682090831)</f>
        <v>-3.5561268209083098E-2</v>
      </c>
      <c r="K73" s="24" t="str">
        <f ca="1"/>
        <v>Utility</v>
      </c>
      <c r="L73" s="24" t="str">
        <f ca="1"/>
        <v>GUJGASLTD</v>
      </c>
      <c r="M73" s="24" t="str">
        <f ca="1"/>
        <v>Yes</v>
      </c>
      <c r="N73" s="24" t="str">
        <f ca="1"/>
        <v>Yes</v>
      </c>
      <c r="O73" s="25" t="str">
        <f t="array" aca="1" ref="O73" ca="1">IF(AND(D73&lt;65,M73="No", N73="No"),"Good Stock","")</f>
        <v/>
      </c>
      <c r="P73" s="24" t="str">
        <f t="shared" ca="1" si="0"/>
        <v>Low Cap</v>
      </c>
      <c r="Q73" s="26"/>
      <c r="R73" s="26"/>
      <c r="S73" s="26"/>
      <c r="T73" s="26"/>
      <c r="U73" s="26"/>
      <c r="V73" s="26"/>
      <c r="W73" s="26"/>
      <c r="X73" s="26"/>
      <c r="Y73" s="26"/>
      <c r="Z73" s="27"/>
      <c r="AA73" s="26"/>
      <c r="AB73" s="26"/>
    </row>
    <row r="74" spans="1:28">
      <c r="A74" s="21" t="str">
        <f ca="1">IFERROR(__xludf.DUMMYFUNCTION("""COMPUTED_VALUE"""),"Gujarat Florochemical")</f>
        <v>Gujarat Florochemical</v>
      </c>
      <c r="B74" s="22">
        <f ca="1">IFERROR(__xludf.DUMMYFUNCTION("""COMPUTED_VALUE"""),30664.6275)</f>
        <v>30664.627499999999</v>
      </c>
      <c r="C74" s="21">
        <f ca="1">IFERROR(__xludf.DUMMYFUNCTION("""COMPUTED_VALUE"""),2793.5)</f>
        <v>2793.5</v>
      </c>
      <c r="D74" s="21">
        <f ca="1">IFERROR(__xludf.DUMMYFUNCTION("""COMPUTED_VALUE"""),28.23)</f>
        <v>28.23</v>
      </c>
      <c r="E74" s="21">
        <f ca="1">IFERROR(__xludf.DUMMYFUNCTION("""COMPUTED_VALUE"""),4172.95)</f>
        <v>4172.95</v>
      </c>
      <c r="F74" s="24">
        <f ca="1">IFERROR(__xludf.DUMMYFUNCTION("""COMPUTED_VALUE"""),0.330569501192202)</f>
        <v>0.33056950119220202</v>
      </c>
      <c r="G74" s="21">
        <f ca="1">IFERROR(__xludf.DUMMYFUNCTION("""COMPUTED_VALUE"""),2105.15)</f>
        <v>2105.15</v>
      </c>
      <c r="H74" s="24">
        <f ca="1">IFERROR(__xludf.DUMMYFUNCTION("""COMPUTED_VALUE"""),0.326983825380614)</f>
        <v>0.32698382538061399</v>
      </c>
      <c r="I74" s="21">
        <f ca="1">IFERROR(__xludf.DUMMYFUNCTION("""COMPUTED_VALUE"""),2841.6)</f>
        <v>2841.6</v>
      </c>
      <c r="J74" s="24">
        <f ca="1">IFERROR(__xludf.DUMMYFUNCTION("""COMPUTED_VALUE"""),-0.0169270833333333)</f>
        <v>-1.6927083333333301E-2</v>
      </c>
      <c r="K74" s="24" t="str">
        <f ca="1"/>
        <v>chemical</v>
      </c>
      <c r="L74" s="24" t="str">
        <f ca="1"/>
        <v>BOM:542812</v>
      </c>
      <c r="M74" s="24" t="str">
        <f ca="1"/>
        <v>Yes</v>
      </c>
      <c r="N74" s="24" t="str">
        <f ca="1"/>
        <v>No</v>
      </c>
      <c r="O74" s="25" t="str">
        <f t="array" aca="1" ref="O74" ca="1">IF(AND(D74&lt;65,M74="No", N74="No"),"Good Stock","")</f>
        <v/>
      </c>
      <c r="P74" s="24" t="str">
        <f t="shared" ca="1" si="0"/>
        <v>Low Cap</v>
      </c>
      <c r="Q74" s="26"/>
      <c r="R74" s="26"/>
      <c r="S74" s="26"/>
      <c r="T74" s="26"/>
      <c r="U74" s="26"/>
      <c r="V74" s="26"/>
      <c r="W74" s="26"/>
      <c r="X74" s="26"/>
      <c r="Y74" s="26"/>
      <c r="Z74" s="27"/>
      <c r="AA74" s="26"/>
      <c r="AB74" s="26"/>
    </row>
    <row r="75" spans="1:28">
      <c r="A75" s="21" t="str">
        <f ca="1">IFERROR(__xludf.DUMMYFUNCTION("""COMPUTED_VALUE"""),"Persistent System")</f>
        <v>Persistent System</v>
      </c>
      <c r="B75" s="22">
        <f ca="1">IFERROR(__xludf.DUMMYFUNCTION("""COMPUTED_VALUE"""),30617.09)</f>
        <v>30617.09</v>
      </c>
      <c r="C75" s="21">
        <f ca="1">IFERROR(__xludf.DUMMYFUNCTION("""COMPUTED_VALUE"""),4009)</f>
        <v>4009</v>
      </c>
      <c r="D75" s="21">
        <f ca="1">IFERROR(__xludf.DUMMYFUNCTION("""COMPUTED_VALUE"""),37.59)</f>
        <v>37.590000000000003</v>
      </c>
      <c r="E75" s="21">
        <f ca="1">IFERROR(__xludf.DUMMYFUNCTION("""COMPUTED_VALUE"""),4954)</f>
        <v>4954</v>
      </c>
      <c r="F75" s="24">
        <f ca="1">IFERROR(__xludf.DUMMYFUNCTION("""COMPUTED_VALUE"""),0.190754945498587)</f>
        <v>0.19075494549858699</v>
      </c>
      <c r="G75" s="21">
        <f ca="1">IFERROR(__xludf.DUMMYFUNCTION("""COMPUTED_VALUE"""),3092.05)</f>
        <v>3092.05</v>
      </c>
      <c r="H75" s="24">
        <f ca="1">IFERROR(__xludf.DUMMYFUNCTION("""COMPUTED_VALUE"""),0.296550831972316)</f>
        <v>0.29655083197231602</v>
      </c>
      <c r="I75" s="21">
        <f ca="1">IFERROR(__xludf.DUMMYFUNCTION("""COMPUTED_VALUE"""),3978.2)</f>
        <v>3978.2</v>
      </c>
      <c r="J75" s="24">
        <f ca="1">IFERROR(__xludf.DUMMYFUNCTION("""COMPUTED_VALUE"""),0.00774219496254592)</f>
        <v>7.7421949625459197E-3</v>
      </c>
      <c r="K75" s="24" t="str">
        <f ca="1"/>
        <v>IT</v>
      </c>
      <c r="L75" s="24" t="str">
        <f ca="1"/>
        <v>PERSISTENT</v>
      </c>
      <c r="M75" s="24" t="str">
        <f ca="1"/>
        <v>No</v>
      </c>
      <c r="N75" s="24" t="str">
        <f ca="1"/>
        <v>Yes</v>
      </c>
      <c r="O75" s="25" t="str">
        <f t="array" aca="1" ref="O75" ca="1">IF(AND(D75&lt;65,M75="No", N75="No"),"Good Stock","")</f>
        <v/>
      </c>
      <c r="P75" s="24" t="str">
        <f t="shared" ca="1" si="0"/>
        <v>Low Cap</v>
      </c>
      <c r="Q75" s="26"/>
      <c r="R75" s="26"/>
      <c r="S75" s="26"/>
      <c r="T75" s="26"/>
      <c r="U75" s="26"/>
      <c r="V75" s="26"/>
      <c r="W75" s="26"/>
      <c r="X75" s="26"/>
      <c r="Y75" s="26"/>
      <c r="Z75" s="27"/>
      <c r="AA75" s="26"/>
      <c r="AB75" s="26"/>
    </row>
    <row r="76" spans="1:28">
      <c r="A76" s="21" t="str">
        <f ca="1">IFERROR(__xludf.DUMMYFUNCTION("""COMPUTED_VALUE"""),"Federal Bank")</f>
        <v>Federal Bank</v>
      </c>
      <c r="B76" s="22">
        <f ca="1">IFERROR(__xludf.DUMMYFUNCTION("""COMPUTED_VALUE"""),29278.4915846)</f>
        <v>29278.4915846</v>
      </c>
      <c r="C76" s="21">
        <f ca="1">IFERROR(__xludf.DUMMYFUNCTION("""COMPUTED_VALUE"""),138.45)</f>
        <v>138.44999999999999</v>
      </c>
      <c r="D76" s="21">
        <f ca="1">IFERROR(__xludf.DUMMYFUNCTION("""COMPUTED_VALUE"""),11.78)</f>
        <v>11.78</v>
      </c>
      <c r="E76" s="21">
        <f ca="1">IFERROR(__xludf.DUMMYFUNCTION("""COMPUTED_VALUE"""),142.25)</f>
        <v>142.25</v>
      </c>
      <c r="F76" s="24">
        <f ca="1">IFERROR(__xludf.DUMMYFUNCTION("""COMPUTED_VALUE"""),0.0267135325131811)</f>
        <v>2.67135325131811E-2</v>
      </c>
      <c r="G76" s="21">
        <f ca="1">IFERROR(__xludf.DUMMYFUNCTION("""COMPUTED_VALUE"""),82.5)</f>
        <v>82.5</v>
      </c>
      <c r="H76" s="24">
        <f ca="1">IFERROR(__xludf.DUMMYFUNCTION("""COMPUTED_VALUE"""),0.678181818181818)</f>
        <v>0.678181818181818</v>
      </c>
      <c r="I76" s="21">
        <f ca="1">IFERROR(__xludf.DUMMYFUNCTION("""COMPUTED_VALUE"""),135.05)</f>
        <v>135.05000000000001</v>
      </c>
      <c r="J76" s="24">
        <f ca="1">IFERROR(__xludf.DUMMYFUNCTION("""COMPUTED_VALUE"""),0.0251758607922989)</f>
        <v>2.5175860792298901E-2</v>
      </c>
      <c r="K76" s="24" t="str">
        <f ca="1"/>
        <v>Bank</v>
      </c>
      <c r="L76" s="24" t="str">
        <f ca="1"/>
        <v>BOM:500469</v>
      </c>
      <c r="M76" s="24" t="str">
        <f ca="1"/>
        <v>No</v>
      </c>
      <c r="N76" s="24" t="str">
        <f ca="1"/>
        <v>No</v>
      </c>
      <c r="O76" s="25" t="str">
        <f t="array" aca="1" ref="O76" ca="1">IF(AND(D76&lt;65,M76="No", N76="No"),"Good Stock","")</f>
        <v>Good Stock</v>
      </c>
      <c r="P76" s="24" t="str">
        <f t="shared" ca="1" si="0"/>
        <v>Low Cap</v>
      </c>
      <c r="Q76" s="26"/>
      <c r="R76" s="26"/>
      <c r="S76" s="26"/>
      <c r="T76" s="26"/>
      <c r="U76" s="26"/>
      <c r="V76" s="26"/>
      <c r="W76" s="26"/>
      <c r="X76" s="26"/>
      <c r="Y76" s="26"/>
      <c r="Z76" s="27"/>
      <c r="AA76" s="26"/>
      <c r="AB76" s="26"/>
    </row>
    <row r="77" spans="1:28">
      <c r="A77" s="21" t="str">
        <f ca="1">IFERROR(__xludf.DUMMYFUNCTION("""COMPUTED_VALUE"""),"Indraprastha Gas")</f>
        <v>Indraprastha Gas</v>
      </c>
      <c r="B77" s="22">
        <f ca="1">IFERROR(__xludf.DUMMYFUNCTION("""COMPUTED_VALUE"""),29162.03)</f>
        <v>29162.03</v>
      </c>
      <c r="C77" s="21">
        <f ca="1">IFERROR(__xludf.DUMMYFUNCTION("""COMPUTED_VALUE"""),416.85)</f>
        <v>416.85</v>
      </c>
      <c r="D77" s="21">
        <f ca="1">IFERROR(__xludf.DUMMYFUNCTION("""COMPUTED_VALUE"""),17.03)</f>
        <v>17.03</v>
      </c>
      <c r="E77" s="21">
        <f ca="1">IFERROR(__xludf.DUMMYFUNCTION("""COMPUTED_VALUE"""),466.65)</f>
        <v>466.65</v>
      </c>
      <c r="F77" s="24">
        <f ca="1">IFERROR(__xludf.DUMMYFUNCTION("""COMPUTED_VALUE"""),0.106718097074895)</f>
        <v>0.106718097074895</v>
      </c>
      <c r="G77" s="21">
        <f ca="1">IFERROR(__xludf.DUMMYFUNCTION("""COMPUTED_VALUE"""),322.1)</f>
        <v>322.10000000000002</v>
      </c>
      <c r="H77" s="24">
        <f ca="1">IFERROR(__xludf.DUMMYFUNCTION("""COMPUTED_VALUE"""),0.294163303321949)</f>
        <v>0.29416330332194901</v>
      </c>
      <c r="I77" s="21">
        <f ca="1">IFERROR(__xludf.DUMMYFUNCTION("""COMPUTED_VALUE"""),418.6)</f>
        <v>418.6</v>
      </c>
      <c r="J77" s="24">
        <f ca="1">IFERROR(__xludf.DUMMYFUNCTION("""COMPUTED_VALUE"""),-0.00418060200668896)</f>
        <v>-4.1806020066889604E-3</v>
      </c>
      <c r="K77" s="24" t="str">
        <f ca="1"/>
        <v>Utility</v>
      </c>
      <c r="L77" s="24" t="str">
        <f ca="1"/>
        <v>BOM:532514</v>
      </c>
      <c r="M77" s="24" t="str">
        <f ca="1"/>
        <v>No</v>
      </c>
      <c r="N77" s="24" t="str">
        <f ca="1"/>
        <v>Yes</v>
      </c>
      <c r="O77" s="25" t="str">
        <f t="array" aca="1" ref="O77" ca="1">IF(AND(D77&lt;65,M77="No", N77="No"),"Good Stock","")</f>
        <v/>
      </c>
      <c r="P77" s="24" t="str">
        <f t="shared" ca="1" si="0"/>
        <v>Low Cap</v>
      </c>
      <c r="Q77" s="26"/>
      <c r="R77" s="26"/>
      <c r="S77" s="26"/>
      <c r="T77" s="26"/>
      <c r="U77" s="26"/>
      <c r="V77" s="26"/>
      <c r="W77" s="26"/>
      <c r="X77" s="26"/>
      <c r="Y77" s="26"/>
      <c r="Z77" s="27"/>
      <c r="AA77" s="26"/>
      <c r="AB77" s="26"/>
    </row>
    <row r="78" spans="1:28">
      <c r="A78" s="21" t="str">
        <f ca="1">IFERROR(__xludf.DUMMYFUNCTION("""COMPUTED_VALUE"""),"Max Financials")</f>
        <v>Max Financials</v>
      </c>
      <c r="B78" s="22">
        <f ca="1">IFERROR(__xludf.DUMMYFUNCTION("""COMPUTED_VALUE"""),27569.4122639)</f>
        <v>27569.412263900002</v>
      </c>
      <c r="C78" s="21">
        <f ca="1">IFERROR(__xludf.DUMMYFUNCTION("""COMPUTED_VALUE"""),799.4)</f>
        <v>799.4</v>
      </c>
      <c r="D78" s="21">
        <f ca="1">IFERROR(__xludf.DUMMYFUNCTION("""COMPUTED_VALUE"""),88.04)</f>
        <v>88.04</v>
      </c>
      <c r="E78" s="21">
        <f ca="1">IFERROR(__xludf.DUMMYFUNCTION("""COMPUTED_VALUE"""),1065)</f>
        <v>1065</v>
      </c>
      <c r="F78" s="24">
        <f ca="1">IFERROR(__xludf.DUMMYFUNCTION("""COMPUTED_VALUE"""),0.249389671361502)</f>
        <v>0.249389671361502</v>
      </c>
      <c r="G78" s="21">
        <f ca="1">IFERROR(__xludf.DUMMYFUNCTION("""COMPUTED_VALUE"""),627.8)</f>
        <v>627.79999999999995</v>
      </c>
      <c r="H78" s="24">
        <f ca="1">IFERROR(__xludf.DUMMYFUNCTION("""COMPUTED_VALUE"""),0.273335457151959)</f>
        <v>0.273335457151959</v>
      </c>
      <c r="I78" s="21">
        <f ca="1">IFERROR(__xludf.DUMMYFUNCTION("""COMPUTED_VALUE"""),796.25)</f>
        <v>796.25</v>
      </c>
      <c r="J78" s="24">
        <f ca="1">IFERROR(__xludf.DUMMYFUNCTION("""COMPUTED_VALUE"""),0.00395604395604392)</f>
        <v>3.9560439560439196E-3</v>
      </c>
      <c r="K78" s="24" t="str">
        <f ca="1"/>
        <v>Financial Servcies</v>
      </c>
      <c r="L78" s="24" t="str">
        <f ca="1"/>
        <v>BOM:500271</v>
      </c>
      <c r="M78" s="24" t="str">
        <f ca="1"/>
        <v>No</v>
      </c>
      <c r="N78" s="24" t="str">
        <f ca="1"/>
        <v>Yes</v>
      </c>
      <c r="O78" s="25" t="str">
        <f t="array" aca="1" ref="O78" ca="1">IF(AND(D78&lt;65,M78="No", N78="No"),"Good Stock","")</f>
        <v/>
      </c>
      <c r="P78" s="24" t="str">
        <f t="shared" ca="1" si="0"/>
        <v>Low Cap</v>
      </c>
      <c r="Q78" s="26"/>
      <c r="R78" s="26"/>
      <c r="S78" s="26"/>
      <c r="T78" s="26"/>
      <c r="U78" s="26"/>
      <c r="V78" s="26"/>
      <c r="W78" s="26"/>
      <c r="X78" s="26"/>
      <c r="Y78" s="26"/>
      <c r="Z78" s="27"/>
      <c r="AA78" s="26"/>
      <c r="AB78" s="26"/>
    </row>
    <row r="79" spans="1:28">
      <c r="A79" s="21" t="str">
        <f ca="1">IFERROR(__xludf.DUMMYFUNCTION("""COMPUTED_VALUE"""),"Voltas")</f>
        <v>Voltas</v>
      </c>
      <c r="B79" s="22">
        <f ca="1">IFERROR(__xludf.DUMMYFUNCTION("""COMPUTED_VALUE"""),26702.2965179)</f>
        <v>26702.296517899998</v>
      </c>
      <c r="C79" s="21">
        <f ca="1">IFERROR(__xludf.DUMMYFUNCTION("""COMPUTED_VALUE"""),805.9)</f>
        <v>805.9</v>
      </c>
      <c r="D79" s="21">
        <f ca="1">IFERROR(__xludf.DUMMYFUNCTION("""COMPUTED_VALUE"""),70.1)</f>
        <v>70.099999999999994</v>
      </c>
      <c r="E79" s="21">
        <f ca="1">IFERROR(__xludf.DUMMYFUNCTION("""COMPUTED_VALUE"""),1347.75)</f>
        <v>1347.75</v>
      </c>
      <c r="F79" s="24">
        <f ca="1">IFERROR(__xludf.DUMMYFUNCTION("""COMPUTED_VALUE"""),0.402040437766648)</f>
        <v>0.402040437766648</v>
      </c>
      <c r="G79" s="21">
        <f ca="1">IFERROR(__xludf.DUMMYFUNCTION("""COMPUTED_VALUE"""),770.55)</f>
        <v>770.55</v>
      </c>
      <c r="H79" s="24">
        <f ca="1">IFERROR(__xludf.DUMMYFUNCTION("""COMPUTED_VALUE"""),0.0458763221075855)</f>
        <v>4.58763221075855E-2</v>
      </c>
      <c r="I79" s="21">
        <f ca="1">IFERROR(__xludf.DUMMYFUNCTION("""COMPUTED_VALUE"""),808.15)</f>
        <v>808.15</v>
      </c>
      <c r="J79" s="24">
        <f ca="1">IFERROR(__xludf.DUMMYFUNCTION("""COMPUTED_VALUE"""),-0.00278413660830291)</f>
        <v>-2.7841366083029102E-3</v>
      </c>
      <c r="K79" s="24" t="str">
        <f ca="1"/>
        <v>Consumer Electrical</v>
      </c>
      <c r="L79" s="24" t="str">
        <f ca="1"/>
        <v>BOM:500575</v>
      </c>
      <c r="M79" s="24" t="str">
        <f ca="1"/>
        <v>Yes</v>
      </c>
      <c r="N79" s="24" t="str">
        <f ca="1"/>
        <v>Yes</v>
      </c>
      <c r="O79" s="25" t="str">
        <f t="array" aca="1" ref="O79" ca="1">IF(AND(D79&lt;65,M79="No", N79="No"),"Good Stock","")</f>
        <v/>
      </c>
      <c r="P79" s="24" t="str">
        <f t="shared" ca="1" si="0"/>
        <v>Low Cap</v>
      </c>
      <c r="Q79" s="26"/>
      <c r="R79" s="26"/>
      <c r="S79" s="26"/>
      <c r="T79" s="26"/>
      <c r="U79" s="26"/>
      <c r="V79" s="26"/>
      <c r="W79" s="26"/>
      <c r="X79" s="26"/>
      <c r="Y79" s="26"/>
      <c r="Z79" s="27"/>
      <c r="AA79" s="26"/>
      <c r="AB79" s="26"/>
    </row>
    <row r="80" spans="1:28">
      <c r="A80" s="21" t="str">
        <f ca="1">IFERROR(__xludf.DUMMYFUNCTION("""COMPUTED_VALUE"""),"Deepak Nitrite")</f>
        <v>Deepak Nitrite</v>
      </c>
      <c r="B80" s="22">
        <f ca="1">IFERROR(__xludf.DUMMYFUNCTION("""COMPUTED_VALUE"""),26525.721745)</f>
        <v>26525.721744999999</v>
      </c>
      <c r="C80" s="21">
        <f ca="1">IFERROR(__xludf.DUMMYFUNCTION("""COMPUTED_VALUE"""),1944.05)</f>
        <v>1944.05</v>
      </c>
      <c r="D80" s="21">
        <f ca="1">IFERROR(__xludf.DUMMYFUNCTION("""COMPUTED_VALUE"""),28.86)</f>
        <v>28.86</v>
      </c>
      <c r="E80" s="21">
        <f ca="1">IFERROR(__xludf.DUMMYFUNCTION("""COMPUTED_VALUE"""),2690.05)</f>
        <v>2690.05</v>
      </c>
      <c r="F80" s="24">
        <f ca="1">IFERROR(__xludf.DUMMYFUNCTION("""COMPUTED_VALUE"""),0.277318265459749)</f>
        <v>0.27731826545974902</v>
      </c>
      <c r="G80" s="21">
        <f ca="1">IFERROR(__xludf.DUMMYFUNCTION("""COMPUTED_VALUE"""),1681.15)</f>
        <v>1681.15</v>
      </c>
      <c r="H80" s="24">
        <f ca="1">IFERROR(__xludf.DUMMYFUNCTION("""COMPUTED_VALUE"""),0.15638104868691)</f>
        <v>0.15638104868691</v>
      </c>
      <c r="I80" s="21">
        <f ca="1">IFERROR(__xludf.DUMMYFUNCTION("""COMPUTED_VALUE"""),1941.8)</f>
        <v>1941.8</v>
      </c>
      <c r="J80" s="24">
        <f ca="1">IFERROR(__xludf.DUMMYFUNCTION("""COMPUTED_VALUE"""),0.0011587187145947)</f>
        <v>1.1587187145947E-3</v>
      </c>
      <c r="K80" s="24" t="str">
        <f ca="1"/>
        <v>Chemical</v>
      </c>
      <c r="L80" s="24" t="str">
        <f ca="1"/>
        <v>DEEPAKNTR</v>
      </c>
      <c r="M80" s="24" t="str">
        <f ca="1"/>
        <v>No</v>
      </c>
      <c r="N80" s="24" t="str">
        <f ca="1"/>
        <v>Yes</v>
      </c>
      <c r="O80" s="25" t="str">
        <f t="array" aca="1" ref="O80" ca="1">IF(AND(D80&lt;65,M80="No", N80="No"),"Good Stock","")</f>
        <v/>
      </c>
      <c r="P80" s="24" t="str">
        <f t="shared" ca="1" si="0"/>
        <v>Low Cap</v>
      </c>
      <c r="Q80" s="26"/>
      <c r="R80" s="26"/>
      <c r="S80" s="26"/>
      <c r="T80" s="26"/>
      <c r="U80" s="26"/>
      <c r="V80" s="26"/>
      <c r="W80" s="26"/>
      <c r="X80" s="26"/>
      <c r="Y80" s="26"/>
      <c r="Z80" s="27"/>
      <c r="AA80" s="26"/>
      <c r="AB80" s="26"/>
    </row>
    <row r="81" spans="1:28">
      <c r="A81" s="21" t="str">
        <f ca="1">IFERROR(__xludf.DUMMYFUNCTION("""COMPUTED_VALUE"""),"Coromandel International")</f>
        <v>Coromandel International</v>
      </c>
      <c r="B81" s="22">
        <f ca="1">IFERROR(__xludf.DUMMYFUNCTION("""COMPUTED_VALUE"""),25664.11)</f>
        <v>25664.11</v>
      </c>
      <c r="C81" s="21">
        <f ca="1">IFERROR(__xludf.DUMMYFUNCTION("""COMPUTED_VALUE"""),872)</f>
        <v>872</v>
      </c>
      <c r="D81" s="21">
        <f ca="1">IFERROR(__xludf.DUMMYFUNCTION("""COMPUTED_VALUE"""),13.43)</f>
        <v>13.43</v>
      </c>
      <c r="E81" s="21">
        <f ca="1">IFERROR(__xludf.DUMMYFUNCTION("""COMPUTED_VALUE"""),1094)</f>
        <v>1094</v>
      </c>
      <c r="F81" s="24">
        <f ca="1">IFERROR(__xludf.DUMMYFUNCTION("""COMPUTED_VALUE"""),0.202925045703839)</f>
        <v>0.20292504570383901</v>
      </c>
      <c r="G81" s="21">
        <f ca="1">IFERROR(__xludf.DUMMYFUNCTION("""COMPUTED_VALUE"""),729.55)</f>
        <v>729.55</v>
      </c>
      <c r="H81" s="24">
        <f ca="1">IFERROR(__xludf.DUMMYFUNCTION("""COMPUTED_VALUE"""),0.195257350421492)</f>
        <v>0.195257350421492</v>
      </c>
      <c r="I81" s="21">
        <f ca="1">IFERROR(__xludf.DUMMYFUNCTION("""COMPUTED_VALUE"""),881.85)</f>
        <v>881.85</v>
      </c>
      <c r="J81" s="24">
        <f ca="1">IFERROR(__xludf.DUMMYFUNCTION("""COMPUTED_VALUE"""),-0.0111697000623689)</f>
        <v>-1.1169700062368899E-2</v>
      </c>
      <c r="K81" s="24" t="str">
        <f ca="1"/>
        <v>Agrochemical</v>
      </c>
      <c r="L81" s="24" t="str">
        <f ca="1"/>
        <v>COROMANDEL</v>
      </c>
      <c r="M81" s="24" t="str">
        <f ca="1"/>
        <v>No</v>
      </c>
      <c r="N81" s="24" t="str">
        <f ca="1"/>
        <v>Yes</v>
      </c>
      <c r="O81" s="25" t="str">
        <f t="array" aca="1" ref="O81" ca="1">IF(AND(D81&lt;65,M81="No", N81="No"),"Good Stock","")</f>
        <v/>
      </c>
      <c r="P81" s="24" t="str">
        <f t="shared" ca="1" si="0"/>
        <v>Low Cap</v>
      </c>
      <c r="Q81" s="26"/>
      <c r="R81" s="26"/>
      <c r="S81" s="26"/>
      <c r="T81" s="26"/>
      <c r="U81" s="26"/>
      <c r="V81" s="26"/>
      <c r="W81" s="26"/>
      <c r="X81" s="26"/>
      <c r="Y81" s="26"/>
      <c r="Z81" s="27"/>
      <c r="AA81" s="26"/>
      <c r="AB81" s="26"/>
    </row>
    <row r="82" spans="1:28">
      <c r="A82" s="21" t="str">
        <f ca="1">IFERROR(__xludf.DUMMYFUNCTION("""COMPUTED_VALUE"""),"Aurobindo Pharma")</f>
        <v>Aurobindo Pharma</v>
      </c>
      <c r="B82" s="22">
        <f ca="1">IFERROR(__xludf.DUMMYFUNCTION("""COMPUTED_VALUE"""),25505.6859247)</f>
        <v>25505.685924699999</v>
      </c>
      <c r="C82" s="21">
        <f ca="1">IFERROR(__xludf.DUMMYFUNCTION("""COMPUTED_VALUE"""),435.3)</f>
        <v>435.3</v>
      </c>
      <c r="D82" s="21">
        <f ca="1">IFERROR(__xludf.DUMMYFUNCTION("""COMPUTED_VALUE"""),12.08)</f>
        <v>12.08</v>
      </c>
      <c r="E82" s="21">
        <f ca="1">IFERROR(__xludf.DUMMYFUNCTION("""COMPUTED_VALUE"""),727.95)</f>
        <v>727.95</v>
      </c>
      <c r="F82" s="24">
        <f ca="1">IFERROR(__xludf.DUMMYFUNCTION("""COMPUTED_VALUE"""),0.402019369462188)</f>
        <v>0.40201936946218803</v>
      </c>
      <c r="G82" s="21">
        <f ca="1">IFERROR(__xludf.DUMMYFUNCTION("""COMPUTED_VALUE"""),429.2)</f>
        <v>429.2</v>
      </c>
      <c r="H82" s="24">
        <f ca="1">IFERROR(__xludf.DUMMYFUNCTION("""COMPUTED_VALUE"""),0.0142124883504194)</f>
        <v>1.4212488350419401E-2</v>
      </c>
      <c r="I82" s="21">
        <f ca="1">IFERROR(__xludf.DUMMYFUNCTION("""COMPUTED_VALUE"""),446.35)</f>
        <v>446.35</v>
      </c>
      <c r="J82" s="24">
        <f ca="1">IFERROR(__xludf.DUMMYFUNCTION("""COMPUTED_VALUE"""),-0.0247563571188529)</f>
        <v>-2.4756357118852899E-2</v>
      </c>
      <c r="K82" s="24" t="str">
        <f ca="1"/>
        <v>Pharma</v>
      </c>
      <c r="L82" s="24" t="str">
        <f ca="1"/>
        <v>AUROPHARMA</v>
      </c>
      <c r="M82" s="24" t="str">
        <f ca="1"/>
        <v>Yes</v>
      </c>
      <c r="N82" s="24" t="str">
        <f ca="1"/>
        <v>Yes</v>
      </c>
      <c r="O82" s="25" t="str">
        <f t="array" aca="1" ref="O82" ca="1">IF(AND(D82&lt;65,M82="No", N82="No"),"Good Stock","")</f>
        <v/>
      </c>
      <c r="P82" s="24" t="str">
        <f t="shared" ca="1" si="0"/>
        <v>Low Cap</v>
      </c>
      <c r="Q82" s="26"/>
      <c r="R82" s="26"/>
      <c r="S82" s="26"/>
      <c r="T82" s="26"/>
      <c r="U82" s="26"/>
      <c r="V82" s="26"/>
      <c r="W82" s="26"/>
      <c r="X82" s="26"/>
      <c r="Y82" s="26"/>
      <c r="Z82" s="27"/>
      <c r="AA82" s="26"/>
      <c r="AB82" s="26"/>
    </row>
    <row r="83" spans="1:28">
      <c r="A83" s="21" t="str">
        <f ca="1">IFERROR(__xludf.DUMMYFUNCTION("""COMPUTED_VALUE"""),"3M India")</f>
        <v>3M India</v>
      </c>
      <c r="B83" s="22">
        <f ca="1">IFERROR(__xludf.DUMMYFUNCTION("""COMPUTED_VALUE"""),25229.93)</f>
        <v>25229.93</v>
      </c>
      <c r="C83" s="21">
        <f ca="1">IFERROR(__xludf.DUMMYFUNCTION("""COMPUTED_VALUE"""),22300)</f>
        <v>22300</v>
      </c>
      <c r="D83" s="21">
        <f ca="1">IFERROR(__xludf.DUMMYFUNCTION("""COMPUTED_VALUE"""),68.24)</f>
        <v>68.239999999999995</v>
      </c>
      <c r="E83" s="21">
        <f ca="1">IFERROR(__xludf.DUMMYFUNCTION("""COMPUTED_VALUE"""),26943)</f>
        <v>26943</v>
      </c>
      <c r="F83" s="24">
        <f ca="1">IFERROR(__xludf.DUMMYFUNCTION("""COMPUTED_VALUE"""),0.172326763908993)</f>
        <v>0.17232676390899301</v>
      </c>
      <c r="G83" s="21">
        <f ca="1">IFERROR(__xludf.DUMMYFUNCTION("""COMPUTED_VALUE"""),17273)</f>
        <v>17273</v>
      </c>
      <c r="H83" s="24">
        <f ca="1">IFERROR(__xludf.DUMMYFUNCTION("""COMPUTED_VALUE"""),0.29103224685926)</f>
        <v>0.29103224685925999</v>
      </c>
      <c r="I83" s="21">
        <f ca="1">IFERROR(__xludf.DUMMYFUNCTION("""COMPUTED_VALUE"""),22335.4)</f>
        <v>22335.4</v>
      </c>
      <c r="J83" s="24">
        <f ca="1">IFERROR(__xludf.DUMMYFUNCTION("""COMPUTED_VALUE"""),-0.00158492796189015)</f>
        <v>-1.5849279618901501E-3</v>
      </c>
      <c r="K83" s="24" t="str">
        <f ca="1"/>
        <v>Technology</v>
      </c>
      <c r="L83" s="24" t="str">
        <f ca="1"/>
        <v>3MINDIA</v>
      </c>
      <c r="M83" s="24" t="str">
        <f ca="1"/>
        <v>No</v>
      </c>
      <c r="N83" s="24" t="str">
        <f ca="1"/>
        <v>Yes</v>
      </c>
      <c r="O83" s="25" t="str">
        <f t="array" aca="1" ref="O83" ca="1">IF(AND(D83&lt;65,M83="No", N83="No"),"Good Stock","")</f>
        <v/>
      </c>
      <c r="P83" s="24" t="str">
        <f t="shared" ca="1" si="0"/>
        <v>Low Cap</v>
      </c>
      <c r="Q83" s="26"/>
      <c r="R83" s="26"/>
      <c r="S83" s="26"/>
      <c r="T83" s="26"/>
      <c r="U83" s="26"/>
      <c r="V83" s="26"/>
      <c r="W83" s="26"/>
      <c r="X83" s="26"/>
      <c r="Y83" s="26"/>
      <c r="Z83" s="27"/>
      <c r="AA83" s="26"/>
      <c r="AB83" s="26"/>
    </row>
    <row r="84" spans="1:28">
      <c r="A84" s="21" t="str">
        <f ca="1">IFERROR(__xludf.DUMMYFUNCTION("""COMPUTED_VALUE"""),"sona comstar")</f>
        <v>sona comstar</v>
      </c>
      <c r="B84" s="22">
        <f ca="1">IFERROR(__xludf.DUMMYFUNCTION("""COMPUTED_VALUE"""),24962.9162175)</f>
        <v>24962.916217499998</v>
      </c>
      <c r="C84" s="21">
        <f ca="1">IFERROR(__xludf.DUMMYFUNCTION("""COMPUTED_VALUE"""),426)</f>
        <v>426</v>
      </c>
      <c r="D84" s="21">
        <f ca="1">IFERROR(__xludf.DUMMYFUNCTION("""COMPUTED_VALUE"""),69.24)</f>
        <v>69.239999999999995</v>
      </c>
      <c r="E84" s="21">
        <f ca="1">IFERROR(__xludf.DUMMYFUNCTION("""COMPUTED_VALUE"""),795)</f>
        <v>795</v>
      </c>
      <c r="F84" s="24">
        <f ca="1">IFERROR(__xludf.DUMMYFUNCTION("""COMPUTED_VALUE"""),0.464150943396226)</f>
        <v>0.46415094339622598</v>
      </c>
      <c r="G84" s="21">
        <f ca="1">IFERROR(__xludf.DUMMYFUNCTION("""COMPUTED_VALUE"""),397.35)</f>
        <v>397.35</v>
      </c>
      <c r="H84" s="24">
        <f ca="1">IFERROR(__xludf.DUMMYFUNCTION("""COMPUTED_VALUE"""),0.0721026802567005)</f>
        <v>7.2102680256700497E-2</v>
      </c>
      <c r="I84" s="21">
        <f ca="1">IFERROR(__xludf.DUMMYFUNCTION("""COMPUTED_VALUE"""),428.65)</f>
        <v>428.65</v>
      </c>
      <c r="J84" s="24">
        <f ca="1">IFERROR(__xludf.DUMMYFUNCTION("""COMPUTED_VALUE"""),-0.00618219993001277)</f>
        <v>-6.1821999300127701E-3</v>
      </c>
      <c r="K84" s="24" t="str">
        <f ca="1"/>
        <v>automobile</v>
      </c>
      <c r="L84" s="24" t="str">
        <f ca="1"/>
        <v>BOM:543300</v>
      </c>
      <c r="M84" s="24" t="str">
        <f ca="1"/>
        <v>Yes</v>
      </c>
      <c r="N84" s="24" t="str">
        <f ca="1"/>
        <v>Yes</v>
      </c>
      <c r="O84" s="25" t="str">
        <f t="array" aca="1" ref="O84" ca="1">IF(AND(D84&lt;65,M84="No", N84="No"),"Good Stock","")</f>
        <v/>
      </c>
      <c r="P84" s="24" t="str">
        <f t="shared" ca="1" si="0"/>
        <v>Low Cap</v>
      </c>
      <c r="Q84" s="26"/>
      <c r="R84" s="26"/>
      <c r="S84" s="26"/>
      <c r="T84" s="26"/>
      <c r="U84" s="26"/>
      <c r="V84" s="26"/>
      <c r="W84" s="26"/>
      <c r="X84" s="26"/>
      <c r="Y84" s="26"/>
      <c r="Z84" s="27"/>
      <c r="AA84" s="26"/>
      <c r="AB84" s="26"/>
    </row>
    <row r="85" spans="1:28">
      <c r="A85" s="21" t="str">
        <f ca="1">IFERROR(__xludf.DUMMYFUNCTION("""COMPUTED_VALUE"""),"Tata Chemical")</f>
        <v>Tata Chemical</v>
      </c>
      <c r="B85" s="22">
        <f ca="1">IFERROR(__xludf.DUMMYFUNCTION("""COMPUTED_VALUE"""),24851.46731)</f>
        <v>24851.46731</v>
      </c>
      <c r="C85" s="21">
        <f ca="1">IFERROR(__xludf.DUMMYFUNCTION("""COMPUTED_VALUE"""),975.8)</f>
        <v>975.8</v>
      </c>
      <c r="D85" s="21">
        <f ca="1">IFERROR(__xludf.DUMMYFUNCTION("""COMPUTED_VALUE"""),12.65)</f>
        <v>12.65</v>
      </c>
      <c r="E85" s="21">
        <f ca="1">IFERROR(__xludf.DUMMYFUNCTION("""COMPUTED_VALUE"""),1214.65)</f>
        <v>1214.6500000000001</v>
      </c>
      <c r="F85" s="24">
        <f ca="1">IFERROR(__xludf.DUMMYFUNCTION("""COMPUTED_VALUE"""),0.19664100769769)</f>
        <v>0.19664100769769</v>
      </c>
      <c r="G85" s="21">
        <f ca="1">IFERROR(__xludf.DUMMYFUNCTION("""COMPUTED_VALUE"""),773.9)</f>
        <v>773.9</v>
      </c>
      <c r="H85" s="24">
        <f ca="1">IFERROR(__xludf.DUMMYFUNCTION("""COMPUTED_VALUE"""),0.260886419434035)</f>
        <v>0.26088641943403501</v>
      </c>
      <c r="I85" s="21">
        <f ca="1">IFERROR(__xludf.DUMMYFUNCTION("""COMPUTED_VALUE"""),972.55)</f>
        <v>972.55</v>
      </c>
      <c r="J85" s="24">
        <f ca="1">IFERROR(__xludf.DUMMYFUNCTION("""COMPUTED_VALUE"""),0.0033417305022878)</f>
        <v>3.3417305022878001E-3</v>
      </c>
      <c r="K85" s="24" t="str">
        <f ca="1"/>
        <v>Chemical</v>
      </c>
      <c r="L85" s="24" t="str">
        <f ca="1"/>
        <v>BOM:500770</v>
      </c>
      <c r="M85" s="24" t="str">
        <f ca="1"/>
        <v>No</v>
      </c>
      <c r="N85" s="24" t="str">
        <f ca="1"/>
        <v>Yes</v>
      </c>
      <c r="O85" s="25" t="str">
        <f t="array" aca="1" ref="O85" ca="1">IF(AND(D85&lt;65,M85="No", N85="No"),"Good Stock","")</f>
        <v/>
      </c>
      <c r="P85" s="24" t="str">
        <f t="shared" ca="1" si="0"/>
        <v>Low Cap</v>
      </c>
      <c r="Q85" s="26"/>
      <c r="R85" s="26"/>
      <c r="S85" s="26"/>
      <c r="T85" s="26"/>
      <c r="U85" s="26"/>
      <c r="V85" s="26"/>
      <c r="W85" s="26"/>
      <c r="X85" s="26"/>
      <c r="Y85" s="26"/>
      <c r="Z85" s="27"/>
      <c r="AA85" s="26"/>
      <c r="AB85" s="26"/>
    </row>
    <row r="86" spans="1:28">
      <c r="A86" s="21" t="str">
        <f ca="1">IFERROR(__xludf.DUMMYFUNCTION("""COMPUTED_VALUE"""),"Sumitomo Chemicals")</f>
        <v>Sumitomo Chemicals</v>
      </c>
      <c r="B86" s="22">
        <f ca="1">IFERROR(__xludf.DUMMYFUNCTION("""COMPUTED_VALUE"""),24637.83)</f>
        <v>24637.83</v>
      </c>
      <c r="C86" s="21">
        <f ca="1">IFERROR(__xludf.DUMMYFUNCTION("""COMPUTED_VALUE"""),493.2)</f>
        <v>493.2</v>
      </c>
      <c r="D86" s="21">
        <f ca="1">IFERROR(__xludf.DUMMYFUNCTION("""COMPUTED_VALUE"""),48.9)</f>
        <v>48.9</v>
      </c>
      <c r="E86" s="21">
        <f ca="1">IFERROR(__xludf.DUMMYFUNCTION("""COMPUTED_VALUE"""),540.8)</f>
        <v>540.79999999999995</v>
      </c>
      <c r="F86" s="24">
        <f ca="1">IFERROR(__xludf.DUMMYFUNCTION("""COMPUTED_VALUE"""),0.0880177514792898)</f>
        <v>8.8017751479289794E-2</v>
      </c>
      <c r="G86" s="21">
        <f ca="1">IFERROR(__xludf.DUMMYFUNCTION("""COMPUTED_VALUE"""),351.5)</f>
        <v>351.5</v>
      </c>
      <c r="H86" s="24">
        <f ca="1">IFERROR(__xludf.DUMMYFUNCTION("""COMPUTED_VALUE"""),0.403129445234708)</f>
        <v>0.40312944523470801</v>
      </c>
      <c r="I86" s="21">
        <f ca="1">IFERROR(__xludf.DUMMYFUNCTION("""COMPUTED_VALUE"""),487.95)</f>
        <v>487.95</v>
      </c>
      <c r="J86" s="24">
        <f ca="1">IFERROR(__xludf.DUMMYFUNCTION("""COMPUTED_VALUE"""),0.0107592991085152)</f>
        <v>1.07592991085152E-2</v>
      </c>
      <c r="K86" s="24" t="str">
        <f ca="1"/>
        <v>Agrochemical</v>
      </c>
      <c r="L86" s="24" t="str">
        <f ca="1"/>
        <v>SUMICHEM</v>
      </c>
      <c r="M86" s="24" t="str">
        <f ca="1"/>
        <v>No</v>
      </c>
      <c r="N86" s="24" t="str">
        <f ca="1"/>
        <v>No</v>
      </c>
      <c r="O86" s="25" t="str">
        <f t="array" aca="1" ref="O86" ca="1">IF(AND(D86&lt;65,M86="No", N86="No"),"Good Stock","")</f>
        <v>Good Stock</v>
      </c>
      <c r="P86" s="24" t="str">
        <f t="shared" ca="1" si="0"/>
        <v>Low Cap</v>
      </c>
      <c r="Q86" s="26"/>
      <c r="R86" s="26"/>
      <c r="S86" s="26"/>
      <c r="T86" s="26"/>
      <c r="U86" s="26"/>
      <c r="V86" s="26"/>
      <c r="W86" s="26"/>
      <c r="X86" s="26"/>
      <c r="Y86" s="26"/>
      <c r="Z86" s="27"/>
      <c r="AA86" s="26"/>
      <c r="AB86" s="26"/>
    </row>
    <row r="87" spans="1:28">
      <c r="A87" s="21" t="str">
        <f ca="1">IFERROR(__xludf.DUMMYFUNCTION("""COMPUTED_VALUE"""),"Gland Pharma")</f>
        <v>Gland Pharma</v>
      </c>
      <c r="B87" s="22">
        <f ca="1">IFERROR(__xludf.DUMMYFUNCTION("""COMPUTED_VALUE"""),23948.9713712)</f>
        <v>23948.971371200001</v>
      </c>
      <c r="C87" s="21">
        <f ca="1">IFERROR(__xludf.DUMMYFUNCTION("""COMPUTED_VALUE"""),1453.65)</f>
        <v>1453.65</v>
      </c>
      <c r="D87" s="21">
        <f ca="1">IFERROR(__xludf.DUMMYFUNCTION("""COMPUTED_VALUE"""),23.28)</f>
        <v>23.28</v>
      </c>
      <c r="E87" s="21">
        <f ca="1">IFERROR(__xludf.DUMMYFUNCTION("""COMPUTED_VALUE"""),3773.95)</f>
        <v>3773.95</v>
      </c>
      <c r="F87" s="24">
        <f ca="1">IFERROR(__xludf.DUMMYFUNCTION("""COMPUTED_VALUE"""),0.614820016163436)</f>
        <v>0.61482001616343596</v>
      </c>
      <c r="G87" s="21">
        <f ca="1">IFERROR(__xludf.DUMMYFUNCTION("""COMPUTED_VALUE"""),1450)</f>
        <v>1450</v>
      </c>
      <c r="H87" s="24">
        <f ca="1">IFERROR(__xludf.DUMMYFUNCTION("""COMPUTED_VALUE"""),0.0025172413793104)</f>
        <v>2.5172413793103999E-3</v>
      </c>
      <c r="I87" s="21">
        <f ca="1">IFERROR(__xludf.DUMMYFUNCTION("""COMPUTED_VALUE"""),1497.85)</f>
        <v>1497.85</v>
      </c>
      <c r="J87" s="24">
        <f ca="1">IFERROR(__xludf.DUMMYFUNCTION("""COMPUTED_VALUE"""),-0.0295089628467468)</f>
        <v>-2.9508962846746801E-2</v>
      </c>
      <c r="K87" s="24" t="str">
        <f ca="1"/>
        <v>Pharma</v>
      </c>
      <c r="L87" s="24" t="str">
        <f ca="1"/>
        <v>BOM:543245</v>
      </c>
      <c r="M87" s="24" t="str">
        <f ca="1"/>
        <v>Yes</v>
      </c>
      <c r="N87" s="24" t="str">
        <f ca="1"/>
        <v>Yes</v>
      </c>
      <c r="O87" s="25" t="str">
        <f t="array" aca="1" ref="O87" ca="1">IF(AND(D87&lt;65,M87="No", N87="No"),"Good Stock","")</f>
        <v/>
      </c>
      <c r="P87" s="24" t="str">
        <f t="shared" ca="1" si="0"/>
        <v>Low Cap</v>
      </c>
      <c r="Q87" s="26"/>
      <c r="R87" s="26"/>
      <c r="S87" s="26"/>
      <c r="T87" s="26"/>
      <c r="U87" s="26"/>
      <c r="V87" s="26"/>
      <c r="W87" s="26"/>
      <c r="X87" s="26"/>
      <c r="Y87" s="26"/>
      <c r="Z87" s="27"/>
      <c r="AA87" s="26"/>
      <c r="AB87" s="26"/>
    </row>
    <row r="88" spans="1:28">
      <c r="A88" s="21" t="str">
        <f ca="1">IFERROR(__xludf.DUMMYFUNCTION("""COMPUTED_VALUE"""),"Coforge")</f>
        <v>Coforge</v>
      </c>
      <c r="B88" s="22">
        <f ca="1">IFERROR(__xludf.DUMMYFUNCTION("""COMPUTED_VALUE"""),23631.8479052)</f>
        <v>23631.8479052</v>
      </c>
      <c r="C88" s="21">
        <f ca="1">IFERROR(__xludf.DUMMYFUNCTION("""COMPUTED_VALUE"""),3868.05)</f>
        <v>3868.05</v>
      </c>
      <c r="D88" s="21">
        <f ca="1">IFERROR(__xludf.DUMMYFUNCTION("""COMPUTED_VALUE"""),32.39)</f>
        <v>32.39</v>
      </c>
      <c r="E88" s="21">
        <f ca="1">IFERROR(__xludf.DUMMYFUNCTION("""COMPUTED_VALUE"""),5862.1)</f>
        <v>5862.1</v>
      </c>
      <c r="F88" s="24">
        <f ca="1">IFERROR(__xludf.DUMMYFUNCTION("""COMPUTED_VALUE"""),0.340159669742924)</f>
        <v>0.340159669742924</v>
      </c>
      <c r="G88" s="21">
        <f ca="1">IFERROR(__xludf.DUMMYFUNCTION("""COMPUTED_VALUE"""),3210)</f>
        <v>3210</v>
      </c>
      <c r="H88" s="24">
        <f ca="1">IFERROR(__xludf.DUMMYFUNCTION("""COMPUTED_VALUE"""),0.205)</f>
        <v>0.20499999999999999</v>
      </c>
      <c r="I88" s="21">
        <f ca="1">IFERROR(__xludf.DUMMYFUNCTION("""COMPUTED_VALUE"""),3902.65)</f>
        <v>3902.65</v>
      </c>
      <c r="J88" s="24">
        <f ca="1">IFERROR(__xludf.DUMMYFUNCTION("""COMPUTED_VALUE"""),-0.00886577069427181)</f>
        <v>-8.8657706942718104E-3</v>
      </c>
      <c r="K88" s="24" t="str">
        <f ca="1"/>
        <v>Technology</v>
      </c>
      <c r="L88" s="24" t="str">
        <f ca="1"/>
        <v>BOM:532541</v>
      </c>
      <c r="M88" s="24" t="str">
        <f ca="1"/>
        <v>Yes</v>
      </c>
      <c r="N88" s="24" t="str">
        <f ca="1"/>
        <v>Yes</v>
      </c>
      <c r="O88" s="25" t="str">
        <f t="array" aca="1" ref="O88" ca="1">IF(AND(D88&lt;65,M88="No", N88="No"),"Good Stock","")</f>
        <v/>
      </c>
      <c r="P88" s="24" t="str">
        <f t="shared" ca="1" si="0"/>
        <v>Low Cap</v>
      </c>
      <c r="Q88" s="26"/>
      <c r="R88" s="26"/>
      <c r="S88" s="26"/>
      <c r="T88" s="26"/>
      <c r="U88" s="26"/>
      <c r="V88" s="26"/>
      <c r="W88" s="26"/>
      <c r="X88" s="26"/>
      <c r="Y88" s="26"/>
      <c r="Z88" s="27"/>
      <c r="AA88" s="26"/>
      <c r="AB88" s="26"/>
    </row>
    <row r="89" spans="1:28">
      <c r="A89" s="21" t="str">
        <f ca="1">IFERROR(__xludf.DUMMYFUNCTION("""COMPUTED_VALUE"""),"Atul Ltd")</f>
        <v>Atul Ltd</v>
      </c>
      <c r="B89" s="22">
        <f ca="1">IFERROR(__xludf.DUMMYFUNCTION("""COMPUTED_VALUE"""),22715.5217056)</f>
        <v>22715.5217056</v>
      </c>
      <c r="C89" s="21">
        <f ca="1">IFERROR(__xludf.DUMMYFUNCTION("""COMPUTED_VALUE"""),7701.2)</f>
        <v>7701.2</v>
      </c>
      <c r="D89" s="21">
        <f ca="1">IFERROR(__xludf.DUMMYFUNCTION("""COMPUTED_VALUE"""),37.5)</f>
        <v>37.5</v>
      </c>
      <c r="E89" s="21">
        <f ca="1">IFERROR(__xludf.DUMMYFUNCTION("""COMPUTED_VALUE"""),10859)</f>
        <v>10859</v>
      </c>
      <c r="F89" s="24">
        <f ca="1">IFERROR(__xludf.DUMMYFUNCTION("""COMPUTED_VALUE"""),0.29080025785063)</f>
        <v>0.29080025785063002</v>
      </c>
      <c r="G89" s="21">
        <f ca="1">IFERROR(__xludf.DUMMYFUNCTION("""COMPUTED_VALUE"""),7602.15)</f>
        <v>7602.15</v>
      </c>
      <c r="H89" s="24">
        <f ca="1">IFERROR(__xludf.DUMMYFUNCTION("""COMPUTED_VALUE"""),0.0130292088422354)</f>
        <v>1.30292088422354E-2</v>
      </c>
      <c r="I89" s="21">
        <f ca="1">IFERROR(__xludf.DUMMYFUNCTION("""COMPUTED_VALUE"""),7679.85)</f>
        <v>7679.85</v>
      </c>
      <c r="J89" s="24">
        <f ca="1">IFERROR(__xludf.DUMMYFUNCTION("""COMPUTED_VALUE"""),0.00278000221358482)</f>
        <v>2.7800022135848201E-3</v>
      </c>
      <c r="K89" s="24" t="str">
        <f ca="1"/>
        <v>Chemical</v>
      </c>
      <c r="L89" s="24" t="str">
        <f ca="1"/>
        <v>BOM:500027</v>
      </c>
      <c r="M89" s="24" t="str">
        <f ca="1"/>
        <v>No</v>
      </c>
      <c r="N89" s="24" t="str">
        <f ca="1"/>
        <v>Yes</v>
      </c>
      <c r="O89" s="25" t="str">
        <f t="array" aca="1" ref="O89" ca="1">IF(AND(D89&lt;65,M89="No", N89="No"),"Good Stock","")</f>
        <v/>
      </c>
      <c r="P89" s="24" t="str">
        <f t="shared" ca="1" si="0"/>
        <v>Low Cap</v>
      </c>
      <c r="Q89" s="26"/>
      <c r="R89" s="26"/>
      <c r="S89" s="26"/>
      <c r="T89" s="26"/>
      <c r="U89" s="26"/>
      <c r="V89" s="26"/>
      <c r="W89" s="26"/>
      <c r="X89" s="26"/>
      <c r="Y89" s="26"/>
      <c r="Z89" s="27"/>
      <c r="AA89" s="26"/>
      <c r="AB89" s="26"/>
    </row>
    <row r="90" spans="1:28">
      <c r="A90" s="21" t="str">
        <f ca="1">IFERROR(__xludf.DUMMYFUNCTION("""COMPUTED_VALUE"""),"J K Cement")</f>
        <v>J K Cement</v>
      </c>
      <c r="B90" s="22">
        <f ca="1">IFERROR(__xludf.DUMMYFUNCTION("""COMPUTED_VALUE"""),22430.59)</f>
        <v>22430.59</v>
      </c>
      <c r="C90" s="21">
        <f ca="1">IFERROR(__xludf.DUMMYFUNCTION("""COMPUTED_VALUE"""),2900.45)</f>
        <v>2900.45</v>
      </c>
      <c r="D90" s="21">
        <f ca="1">IFERROR(__xludf.DUMMYFUNCTION("""COMPUTED_VALUE"""),36.07)</f>
        <v>36.07</v>
      </c>
      <c r="E90" s="21">
        <f ca="1">IFERROR(__xludf.DUMMYFUNCTION("""COMPUTED_VALUE"""),3646.25)</f>
        <v>3646.25</v>
      </c>
      <c r="F90" s="24">
        <f ca="1">IFERROR(__xludf.DUMMYFUNCTION("""COMPUTED_VALUE"""),0.204538909838875)</f>
        <v>0.20453890983887499</v>
      </c>
      <c r="G90" s="21">
        <f ca="1">IFERROR(__xludf.DUMMYFUNCTION("""COMPUTED_VALUE"""),2005)</f>
        <v>2005</v>
      </c>
      <c r="H90" s="24">
        <f ca="1">IFERROR(__xludf.DUMMYFUNCTION("""COMPUTED_VALUE"""),0.446608478802992)</f>
        <v>0.44660847880299198</v>
      </c>
      <c r="I90" s="21">
        <f ca="1">IFERROR(__xludf.DUMMYFUNCTION("""COMPUTED_VALUE"""),2905.9)</f>
        <v>2905.9</v>
      </c>
      <c r="J90" s="24">
        <f ca="1">IFERROR(__xludf.DUMMYFUNCTION("""COMPUTED_VALUE"""),-0.00187549468323076)</f>
        <v>-1.8754946832307601E-3</v>
      </c>
      <c r="K90" s="24" t="str">
        <f ca="1"/>
        <v>Cement</v>
      </c>
      <c r="L90" s="24" t="str">
        <f ca="1"/>
        <v>BOM:532644</v>
      </c>
      <c r="M90" s="24" t="str">
        <f ca="1"/>
        <v>No</v>
      </c>
      <c r="N90" s="24" t="str">
        <f ca="1"/>
        <v>No</v>
      </c>
      <c r="O90" s="25" t="str">
        <f t="array" aca="1" ref="O90" ca="1">IF(AND(D90&lt;65,M90="No", N90="No"),"Good Stock","")</f>
        <v>Good Stock</v>
      </c>
      <c r="P90" s="24" t="str">
        <f t="shared" ca="1" si="0"/>
        <v>Low Cap</v>
      </c>
      <c r="Q90" s="26"/>
      <c r="R90" s="26"/>
      <c r="S90" s="26"/>
      <c r="T90" s="26"/>
      <c r="U90" s="26"/>
      <c r="V90" s="26"/>
      <c r="W90" s="26"/>
      <c r="X90" s="26"/>
      <c r="Y90" s="26"/>
      <c r="Z90" s="27"/>
      <c r="AA90" s="26"/>
      <c r="AB90" s="26"/>
    </row>
    <row r="91" spans="1:28">
      <c r="A91" s="21" t="str">
        <f ca="1">IFERROR(__xludf.DUMMYFUNCTION("""COMPUTED_VALUE"""),"Kansai Nerolac")</f>
        <v>Kansai Nerolac</v>
      </c>
      <c r="B91" s="22">
        <f ca="1">IFERROR(__xludf.DUMMYFUNCTION("""COMPUTED_VALUE"""),22276.241535)</f>
        <v>22276.241535000001</v>
      </c>
      <c r="C91" s="21">
        <f ca="1">IFERROR(__xludf.DUMMYFUNCTION("""COMPUTED_VALUE"""),415)</f>
        <v>415</v>
      </c>
      <c r="D91" s="21">
        <f ca="1">IFERROR(__xludf.DUMMYFUNCTION("""COMPUTED_VALUE"""),52.87)</f>
        <v>52.87</v>
      </c>
      <c r="E91" s="21">
        <f ca="1">IFERROR(__xludf.DUMMYFUNCTION("""COMPUTED_VALUE"""),624)</f>
        <v>624</v>
      </c>
      <c r="F91" s="24">
        <f ca="1">IFERROR(__xludf.DUMMYFUNCTION("""COMPUTED_VALUE"""),0.334935897435897)</f>
        <v>0.33493589743589702</v>
      </c>
      <c r="G91" s="21">
        <f ca="1">IFERROR(__xludf.DUMMYFUNCTION("""COMPUTED_VALUE"""),358.15)</f>
        <v>358.15</v>
      </c>
      <c r="H91" s="24">
        <f ca="1">IFERROR(__xludf.DUMMYFUNCTION("""COMPUTED_VALUE"""),0.158732374703336)</f>
        <v>0.15873237470333601</v>
      </c>
      <c r="I91" s="21">
        <f ca="1">IFERROR(__xludf.DUMMYFUNCTION("""COMPUTED_VALUE"""),413.05)</f>
        <v>413.05</v>
      </c>
      <c r="J91" s="24">
        <f ca="1">IFERROR(__xludf.DUMMYFUNCTION("""COMPUTED_VALUE"""),0.0047209780898196)</f>
        <v>4.7209780898196003E-3</v>
      </c>
      <c r="K91" s="24" t="str">
        <f ca="1"/>
        <v>Paint</v>
      </c>
      <c r="L91" s="24" t="str">
        <f ca="1"/>
        <v>KANSAINER</v>
      </c>
      <c r="M91" s="24" t="str">
        <f ca="1"/>
        <v>Yes</v>
      </c>
      <c r="N91" s="24" t="str">
        <f ca="1"/>
        <v>Yes</v>
      </c>
      <c r="O91" s="25" t="str">
        <f t="array" aca="1" ref="O91" ca="1">IF(AND(D91&lt;65,M91="No", N91="No"),"Good Stock","")</f>
        <v/>
      </c>
      <c r="P91" s="24" t="str">
        <f t="shared" ca="1" si="0"/>
        <v>Low Cap</v>
      </c>
      <c r="Q91" s="26"/>
      <c r="R91" s="26"/>
      <c r="S91" s="26"/>
      <c r="T91" s="26"/>
      <c r="U91" s="26"/>
      <c r="V91" s="26"/>
      <c r="W91" s="26"/>
      <c r="X91" s="26"/>
      <c r="Y91" s="26"/>
      <c r="Z91" s="27"/>
      <c r="AA91" s="26"/>
      <c r="AB91" s="26"/>
    </row>
    <row r="92" spans="1:28">
      <c r="A92" s="21" t="str">
        <f ca="1">IFERROR(__xludf.DUMMYFUNCTION("""COMPUTED_VALUE"""),"Crisil")</f>
        <v>Crisil</v>
      </c>
      <c r="B92" s="22">
        <f ca="1">IFERROR(__xludf.DUMMYFUNCTION("""COMPUTED_VALUE"""),22166.9)</f>
        <v>22166.9</v>
      </c>
      <c r="C92" s="21">
        <f ca="1">IFERROR(__xludf.DUMMYFUNCTION("""COMPUTED_VALUE"""),3020)</f>
        <v>3020</v>
      </c>
      <c r="D92" s="21">
        <f ca="1">IFERROR(__xludf.DUMMYFUNCTION("""COMPUTED_VALUE"""),38.36)</f>
        <v>38.36</v>
      </c>
      <c r="E92" s="21">
        <f ca="1">IFERROR(__xludf.DUMMYFUNCTION("""COMPUTED_VALUE"""),3863.55)</f>
        <v>3863.55</v>
      </c>
      <c r="F92" s="24">
        <f ca="1">IFERROR(__xludf.DUMMYFUNCTION("""COMPUTED_VALUE"""),0.218335468675182)</f>
        <v>0.218335468675182</v>
      </c>
      <c r="G92" s="21">
        <f ca="1">IFERROR(__xludf.DUMMYFUNCTION("""COMPUTED_VALUE"""),2540)</f>
        <v>2540</v>
      </c>
      <c r="H92" s="24">
        <f ca="1">IFERROR(__xludf.DUMMYFUNCTION("""COMPUTED_VALUE"""),0.188976377952755)</f>
        <v>0.18897637795275499</v>
      </c>
      <c r="I92" s="21">
        <f ca="1">IFERROR(__xludf.DUMMYFUNCTION("""COMPUTED_VALUE"""),3044.5)</f>
        <v>3044.5</v>
      </c>
      <c r="J92" s="24">
        <f ca="1">IFERROR(__xludf.DUMMYFUNCTION("""COMPUTED_VALUE"""),-0.00804729840696337)</f>
        <v>-8.0472984069633706E-3</v>
      </c>
      <c r="K92" s="24" t="str">
        <f ca="1"/>
        <v>Reserach</v>
      </c>
      <c r="L92" s="24" t="str">
        <f ca="1"/>
        <v>CRISIL</v>
      </c>
      <c r="M92" s="24" t="str">
        <f ca="1"/>
        <v>No</v>
      </c>
      <c r="N92" s="24" t="str">
        <f ca="1"/>
        <v>Yes</v>
      </c>
      <c r="O92" s="25" t="str">
        <f t="array" aca="1" ref="O92" ca="1">IF(AND(D92&lt;65,M92="No", N92="No"),"Good Stock","")</f>
        <v/>
      </c>
      <c r="P92" s="24" t="str">
        <f t="shared" ca="1" si="0"/>
        <v>Low Cap</v>
      </c>
      <c r="Q92" s="26"/>
      <c r="R92" s="26"/>
      <c r="S92" s="26"/>
      <c r="T92" s="26"/>
      <c r="U92" s="26"/>
      <c r="V92" s="26"/>
      <c r="W92" s="26"/>
      <c r="X92" s="26"/>
      <c r="Y92" s="26"/>
      <c r="Z92" s="27"/>
      <c r="AA92" s="26"/>
      <c r="AB92" s="26"/>
    </row>
    <row r="93" spans="1:28">
      <c r="A93" s="21" t="str">
        <f ca="1">IFERROR(__xludf.DUMMYFUNCTION("""COMPUTED_VALUE"""),"LIC Housing Finance")</f>
        <v>LIC Housing Finance</v>
      </c>
      <c r="B93" s="22">
        <f ca="1">IFERROR(__xludf.DUMMYFUNCTION("""COMPUTED_VALUE"""),22159.2659823)</f>
        <v>22159.265982299999</v>
      </c>
      <c r="C93" s="21">
        <f ca="1">IFERROR(__xludf.DUMMYFUNCTION("""COMPUTED_VALUE"""),402.9)</f>
        <v>402.9</v>
      </c>
      <c r="D93" s="21">
        <f ca="1">IFERROR(__xludf.DUMMYFUNCTION("""COMPUTED_VALUE"""),6.85)</f>
        <v>6.85</v>
      </c>
      <c r="E93" s="21">
        <f ca="1">IFERROR(__xludf.DUMMYFUNCTION("""COMPUTED_VALUE"""),443.5)</f>
        <v>443.5</v>
      </c>
      <c r="F93" s="24">
        <f ca="1">IFERROR(__xludf.DUMMYFUNCTION("""COMPUTED_VALUE"""),0.0915445321307779)</f>
        <v>9.15445321307779E-2</v>
      </c>
      <c r="G93" s="21">
        <f ca="1">IFERROR(__xludf.DUMMYFUNCTION("""COMPUTED_VALUE"""),291.75)</f>
        <v>291.75</v>
      </c>
      <c r="H93" s="24">
        <f ca="1">IFERROR(__xludf.DUMMYFUNCTION("""COMPUTED_VALUE"""),0.380976863753213)</f>
        <v>0.38097686375321299</v>
      </c>
      <c r="I93" s="21">
        <f ca="1">IFERROR(__xludf.DUMMYFUNCTION("""COMPUTED_VALUE"""),400.2)</f>
        <v>400.2</v>
      </c>
      <c r="J93" s="24">
        <f ca="1">IFERROR(__xludf.DUMMYFUNCTION("""COMPUTED_VALUE"""),0.00674662668665664)</f>
        <v>6.7466266866566399E-3</v>
      </c>
      <c r="K93" s="24" t="str">
        <f ca="1"/>
        <v>NBFC</v>
      </c>
      <c r="L93" s="24" t="str">
        <f ca="1"/>
        <v>BOM:500253</v>
      </c>
      <c r="M93" s="24" t="str">
        <f ca="1"/>
        <v>No</v>
      </c>
      <c r="N93" s="24" t="str">
        <f ca="1"/>
        <v>No</v>
      </c>
      <c r="O93" s="25" t="str">
        <f t="array" aca="1" ref="O93" ca="1">IF(AND(D93&lt;65,M93="No", N93="No"),"Good Stock","")</f>
        <v>Good Stock</v>
      </c>
      <c r="P93" s="24" t="str">
        <f t="shared" ca="1" si="0"/>
        <v>Low Cap</v>
      </c>
      <c r="Q93" s="26"/>
      <c r="R93" s="26"/>
      <c r="S93" s="26"/>
      <c r="T93" s="26"/>
      <c r="U93" s="26"/>
      <c r="V93" s="26"/>
      <c r="W93" s="26"/>
      <c r="X93" s="26"/>
      <c r="Y93" s="26"/>
      <c r="Z93" s="27"/>
      <c r="AA93" s="26"/>
      <c r="AB93" s="26"/>
    </row>
    <row r="94" spans="1:28">
      <c r="A94" s="21" t="str">
        <f ca="1">IFERROR(__xludf.DUMMYFUNCTION("""COMPUTED_VALUE"""),"IPCA Lab")</f>
        <v>IPCA Lab</v>
      </c>
      <c r="B94" s="22">
        <f ca="1">IFERROR(__xludf.DUMMYFUNCTION("""COMPUTED_VALUE"""),22090.03)</f>
        <v>22090.03</v>
      </c>
      <c r="C94" s="21">
        <f ca="1">IFERROR(__xludf.DUMMYFUNCTION("""COMPUTED_VALUE"""),872.85)</f>
        <v>872.85</v>
      </c>
      <c r="D94" s="21">
        <f ca="1">IFERROR(__xludf.DUMMYFUNCTION("""COMPUTED_VALUE"""),42.96)</f>
        <v>42.96</v>
      </c>
      <c r="E94" s="21">
        <f ca="1">IFERROR(__xludf.DUMMYFUNCTION("""COMPUTED_VALUE"""),1095)</f>
        <v>1095</v>
      </c>
      <c r="F94" s="24">
        <f ca="1">IFERROR(__xludf.DUMMYFUNCTION("""COMPUTED_VALUE"""),0.202876712328767)</f>
        <v>0.202876712328767</v>
      </c>
      <c r="G94" s="21">
        <f ca="1">IFERROR(__xludf.DUMMYFUNCTION("""COMPUTED_VALUE"""),830)</f>
        <v>830</v>
      </c>
      <c r="H94" s="24">
        <f ca="1">IFERROR(__xludf.DUMMYFUNCTION("""COMPUTED_VALUE"""),0.0516265060240964)</f>
        <v>5.1626506024096401E-2</v>
      </c>
      <c r="I94" s="21">
        <f ca="1">IFERROR(__xludf.DUMMYFUNCTION("""COMPUTED_VALUE"""),868.6)</f>
        <v>868.6</v>
      </c>
      <c r="J94" s="24">
        <f ca="1">IFERROR(__xludf.DUMMYFUNCTION("""COMPUTED_VALUE"""),0.00489293115358047)</f>
        <v>4.8929311535804701E-3</v>
      </c>
      <c r="K94" s="24" t="str">
        <f ca="1"/>
        <v>Pharma</v>
      </c>
      <c r="L94" s="24" t="str">
        <f ca="1"/>
        <v>IPCALAB</v>
      </c>
      <c r="M94" s="24" t="str">
        <f ca="1"/>
        <v>No</v>
      </c>
      <c r="N94" s="24" t="str">
        <f ca="1"/>
        <v>Yes</v>
      </c>
      <c r="O94" s="25" t="str">
        <f t="array" aca="1" ref="O94" ca="1">IF(AND(D94&lt;65,M94="No", N94="No"),"Good Stock","")</f>
        <v/>
      </c>
      <c r="P94" s="24" t="str">
        <f t="shared" ca="1" si="0"/>
        <v>Low Cap</v>
      </c>
      <c r="Q94" s="26"/>
      <c r="R94" s="26"/>
      <c r="S94" s="26"/>
      <c r="T94" s="26"/>
      <c r="U94" s="26"/>
      <c r="V94" s="26"/>
      <c r="W94" s="26"/>
      <c r="X94" s="26"/>
      <c r="Y94" s="26"/>
      <c r="Z94" s="27"/>
      <c r="AA94" s="26"/>
      <c r="AB94" s="26"/>
    </row>
    <row r="95" spans="1:28">
      <c r="A95" s="21" t="str">
        <f ca="1">IFERROR(__xludf.DUMMYFUNCTION("""COMPUTED_VALUE"""),"Dixon Technologies")</f>
        <v>Dixon Technologies</v>
      </c>
      <c r="B95" s="22">
        <f ca="1">IFERROR(__xludf.DUMMYFUNCTION("""COMPUTED_VALUE"""),21650.114525)</f>
        <v>21650.114525000001</v>
      </c>
      <c r="C95" s="21">
        <f ca="1">IFERROR(__xludf.DUMMYFUNCTION("""COMPUTED_VALUE"""),3635)</f>
        <v>3635</v>
      </c>
      <c r="D95" s="21">
        <f ca="1">IFERROR(__xludf.DUMMYFUNCTION("""COMPUTED_VALUE"""),93.72)</f>
        <v>93.72</v>
      </c>
      <c r="E95" s="21">
        <f ca="1">IFERROR(__xludf.DUMMYFUNCTION("""COMPUTED_VALUE"""),5444.1)</f>
        <v>5444.1</v>
      </c>
      <c r="F95" s="24">
        <f ca="1">IFERROR(__xludf.DUMMYFUNCTION("""COMPUTED_VALUE"""),0.332304696827758)</f>
        <v>0.33230469682775798</v>
      </c>
      <c r="G95" s="21">
        <f ca="1">IFERROR(__xludf.DUMMYFUNCTION("""COMPUTED_VALUE"""),3180.55)</f>
        <v>3180.55</v>
      </c>
      <c r="H95" s="24">
        <f ca="1">IFERROR(__xludf.DUMMYFUNCTION("""COMPUTED_VALUE"""),0.14288409237396)</f>
        <v>0.14288409237395999</v>
      </c>
      <c r="I95" s="21">
        <f ca="1">IFERROR(__xludf.DUMMYFUNCTION("""COMPUTED_VALUE"""),3651.05)</f>
        <v>3651.05</v>
      </c>
      <c r="J95" s="24">
        <f ca="1">IFERROR(__xludf.DUMMYFUNCTION("""COMPUTED_VALUE"""),-0.00439599567247783)</f>
        <v>-4.3959956724778301E-3</v>
      </c>
      <c r="K95" s="24" t="str">
        <f ca="1"/>
        <v>Manufacturing</v>
      </c>
      <c r="L95" s="24" t="str">
        <f ca="1"/>
        <v>DIXON</v>
      </c>
      <c r="M95" s="24" t="str">
        <f ca="1"/>
        <v>Yes</v>
      </c>
      <c r="N95" s="24" t="str">
        <f ca="1"/>
        <v>Yes</v>
      </c>
      <c r="O95" s="25" t="str">
        <f t="array" aca="1" ref="O95" ca="1">IF(AND(D95&lt;65,M95="No", N95="No"),"Good Stock","")</f>
        <v/>
      </c>
      <c r="P95" s="24" t="str">
        <f t="shared" ca="1" si="0"/>
        <v>Low Cap</v>
      </c>
      <c r="Q95" s="26"/>
      <c r="R95" s="26"/>
      <c r="S95" s="26"/>
      <c r="T95" s="26"/>
      <c r="U95" s="26"/>
      <c r="V95" s="26"/>
      <c r="W95" s="26"/>
      <c r="X95" s="26"/>
      <c r="Y95" s="26"/>
      <c r="Z95" s="27"/>
      <c r="AA95" s="26"/>
      <c r="AB95" s="26"/>
    </row>
    <row r="96" spans="1:28">
      <c r="A96" s="21" t="str">
        <f ca="1">IFERROR(__xludf.DUMMYFUNCTION("""COMPUTED_VALUE"""),"Crompton Greves")</f>
        <v>Crompton Greves</v>
      </c>
      <c r="B96" s="22">
        <f ca="1">IFERROR(__xludf.DUMMYFUNCTION("""COMPUTED_VALUE"""),21451.6044776)</f>
        <v>21451.604477600002</v>
      </c>
      <c r="C96" s="21">
        <f ca="1">IFERROR(__xludf.DUMMYFUNCTION("""COMPUTED_VALUE"""),337.35)</f>
        <v>337.35</v>
      </c>
      <c r="D96" s="21">
        <f ca="1">IFERROR(__xludf.DUMMYFUNCTION("""COMPUTED_VALUE"""),36.77)</f>
        <v>36.770000000000003</v>
      </c>
      <c r="E96" s="21">
        <f ca="1">IFERROR(__xludf.DUMMYFUNCTION("""COMPUTED_VALUE"""),451.95)</f>
        <v>451.95</v>
      </c>
      <c r="F96" s="24">
        <f ca="1">IFERROR(__xludf.DUMMYFUNCTION("""COMPUTED_VALUE"""),0.253567872552273)</f>
        <v>0.25356787255227298</v>
      </c>
      <c r="G96" s="21">
        <f ca="1">IFERROR(__xludf.DUMMYFUNCTION("""COMPUTED_VALUE"""),312)</f>
        <v>312</v>
      </c>
      <c r="H96" s="24">
        <f ca="1">IFERROR(__xludf.DUMMYFUNCTION("""COMPUTED_VALUE"""),0.08125)</f>
        <v>8.1250000000000003E-2</v>
      </c>
      <c r="I96" s="21">
        <f ca="1">IFERROR(__xludf.DUMMYFUNCTION("""COMPUTED_VALUE"""),338)</f>
        <v>338</v>
      </c>
      <c r="J96" s="24">
        <f ca="1">IFERROR(__xludf.DUMMYFUNCTION("""COMPUTED_VALUE"""),-0.00192307692307685)</f>
        <v>-1.9230769230768499E-3</v>
      </c>
      <c r="K96" s="24" t="str">
        <f ca="1"/>
        <v>Consumer Electrical</v>
      </c>
      <c r="L96" s="24" t="str">
        <f ca="1"/>
        <v>CROMPTON</v>
      </c>
      <c r="M96" s="24" t="str">
        <f ca="1"/>
        <v>No</v>
      </c>
      <c r="N96" s="24" t="str">
        <f ca="1"/>
        <v>Yes</v>
      </c>
      <c r="O96" s="25" t="str">
        <f t="array" aca="1" ref="O96" ca="1">IF(AND(D96&lt;65,M96="No", N96="No"),"Good Stock","")</f>
        <v/>
      </c>
      <c r="P96" s="24" t="str">
        <f t="shared" ca="1" si="0"/>
        <v>Low Cap</v>
      </c>
      <c r="Q96" s="26"/>
      <c r="R96" s="26"/>
      <c r="S96" s="26"/>
      <c r="T96" s="26"/>
      <c r="U96" s="26"/>
      <c r="V96" s="26"/>
      <c r="W96" s="26"/>
      <c r="X96" s="26"/>
      <c r="Y96" s="26"/>
      <c r="Z96" s="27"/>
      <c r="AA96" s="26"/>
      <c r="AB96" s="26"/>
    </row>
    <row r="97" spans="1:28">
      <c r="A97" s="21" t="str">
        <f ca="1">IFERROR(__xludf.DUMMYFUNCTION("""COMPUTED_VALUE"""),"Aarti Industries")</f>
        <v>Aarti Industries</v>
      </c>
      <c r="B97" s="22">
        <f ca="1">IFERROR(__xludf.DUMMYFUNCTION("""COMPUTED_VALUE"""),21081.42)</f>
        <v>21081.42</v>
      </c>
      <c r="C97" s="21">
        <f ca="1">IFERROR(__xludf.DUMMYFUNCTION("""COMPUTED_VALUE"""),581.8)</f>
        <v>581.79999999999995</v>
      </c>
      <c r="D97" s="21">
        <f ca="1">IFERROR(__xludf.DUMMYFUNCTION("""COMPUTED_VALUE"""),17.2)</f>
        <v>17.2</v>
      </c>
      <c r="E97" s="21">
        <f ca="1">IFERROR(__xludf.DUMMYFUNCTION("""COMPUTED_VALUE"""),1118)</f>
        <v>1118</v>
      </c>
      <c r="F97" s="24">
        <f ca="1">IFERROR(__xludf.DUMMYFUNCTION("""COMPUTED_VALUE"""),0.479606440071556)</f>
        <v>0.47960644007155601</v>
      </c>
      <c r="G97" s="21">
        <f ca="1">IFERROR(__xludf.DUMMYFUNCTION("""COMPUTED_VALUE"""),579)</f>
        <v>579</v>
      </c>
      <c r="H97" s="24">
        <f ca="1">IFERROR(__xludf.DUMMYFUNCTION("""COMPUTED_VALUE"""),0.00483592400690838)</f>
        <v>4.8359240069083802E-3</v>
      </c>
      <c r="I97" s="21">
        <f ca="1">IFERROR(__xludf.DUMMYFUNCTION("""COMPUTED_VALUE"""),592.4)</f>
        <v>592.4</v>
      </c>
      <c r="J97" s="24">
        <f ca="1">IFERROR(__xludf.DUMMYFUNCTION("""COMPUTED_VALUE"""),-0.0178933153274814)</f>
        <v>-1.78933153274814E-2</v>
      </c>
      <c r="K97" s="24" t="str">
        <f ca="1"/>
        <v>Chemical</v>
      </c>
      <c r="L97" s="24" t="str">
        <f ca="1"/>
        <v>AARTIIND</v>
      </c>
      <c r="M97" s="24" t="str">
        <f ca="1"/>
        <v>Yes</v>
      </c>
      <c r="N97" s="24" t="str">
        <f ca="1"/>
        <v>Yes</v>
      </c>
      <c r="O97" s="25" t="str">
        <f t="array" aca="1" ref="O97" ca="1">IF(AND(D97&lt;65,M97="No", N97="No"),"Good Stock","")</f>
        <v/>
      </c>
      <c r="P97" s="24" t="str">
        <f t="shared" ca="1" si="0"/>
        <v>Low Cap</v>
      </c>
      <c r="Q97" s="26"/>
      <c r="R97" s="26"/>
      <c r="S97" s="26"/>
      <c r="T97" s="26"/>
      <c r="U97" s="26"/>
      <c r="V97" s="26"/>
      <c r="W97" s="26"/>
      <c r="X97" s="26"/>
      <c r="Y97" s="26"/>
      <c r="Z97" s="27"/>
      <c r="AA97" s="26"/>
      <c r="AB97" s="26"/>
    </row>
    <row r="98" spans="1:28">
      <c r="A98" s="21" t="str">
        <f ca="1">IFERROR(__xludf.DUMMYFUNCTION("""COMPUTED_VALUE"""),"Bayer Cropscience")</f>
        <v>Bayer Cropscience</v>
      </c>
      <c r="B98" s="22">
        <f ca="1">IFERROR(__xludf.DUMMYFUNCTION("""COMPUTED_VALUE"""),21050.0222911)</f>
        <v>21050.022291099998</v>
      </c>
      <c r="C98" s="21">
        <f ca="1">IFERROR(__xludf.DUMMYFUNCTION("""COMPUTED_VALUE"""),4669.05)</f>
        <v>4669.05</v>
      </c>
      <c r="D98" s="21">
        <f ca="1">IFERROR(__xludf.DUMMYFUNCTION("""COMPUTED_VALUE"""),29.86)</f>
        <v>29.86</v>
      </c>
      <c r="E98" s="21">
        <f ca="1">IFERROR(__xludf.DUMMYFUNCTION("""COMPUTED_VALUE"""),5667.75)</f>
        <v>5667.75</v>
      </c>
      <c r="F98" s="24">
        <f ca="1">IFERROR(__xludf.DUMMYFUNCTION("""COMPUTED_VALUE"""),0.176207489744607)</f>
        <v>0.17620748974460701</v>
      </c>
      <c r="G98" s="21">
        <f ca="1">IFERROR(__xludf.DUMMYFUNCTION("""COMPUTED_VALUE"""),4218.05)</f>
        <v>4218.05</v>
      </c>
      <c r="H98" s="24">
        <f ca="1">IFERROR(__xludf.DUMMYFUNCTION("""COMPUTED_VALUE"""),0.106921444743424)</f>
        <v>0.10692144474342399</v>
      </c>
      <c r="I98" s="21">
        <f ca="1">IFERROR(__xludf.DUMMYFUNCTION("""COMPUTED_VALUE"""),4647.55)</f>
        <v>4647.55</v>
      </c>
      <c r="J98" s="24">
        <f ca="1">IFERROR(__xludf.DUMMYFUNCTION("""COMPUTED_VALUE"""),0.00462609331798474)</f>
        <v>4.6260933179847396E-3</v>
      </c>
      <c r="K98" s="24" t="str">
        <f ca="1"/>
        <v>Agrochemical</v>
      </c>
      <c r="L98" s="24" t="str">
        <f ca="1"/>
        <v>BAYERCROP</v>
      </c>
      <c r="M98" s="24" t="str">
        <f ca="1"/>
        <v>No</v>
      </c>
      <c r="N98" s="24" t="str">
        <f ca="1"/>
        <v>Yes</v>
      </c>
      <c r="O98" s="25" t="str">
        <f t="array" aca="1" ref="O98" ca="1">IF(AND(D98&lt;65,M98="No", N98="No"),"Good Stock","")</f>
        <v/>
      </c>
      <c r="P98" s="24" t="str">
        <f t="shared" ca="1" si="0"/>
        <v>Low Cap</v>
      </c>
      <c r="Q98" s="26"/>
      <c r="R98" s="26"/>
      <c r="S98" s="26"/>
      <c r="T98" s="26"/>
      <c r="U98" s="26"/>
      <c r="V98" s="26"/>
      <c r="W98" s="26"/>
      <c r="X98" s="26"/>
      <c r="Y98" s="26"/>
      <c r="Z98" s="27"/>
      <c r="AA98" s="26"/>
      <c r="AB98" s="26"/>
    </row>
    <row r="99" spans="1:28">
      <c r="A99" s="21" t="str">
        <f ca="1">IFERROR(__xludf.DUMMYFUNCTION("""COMPUTED_VALUE"""),"Vinita Organics")</f>
        <v>Vinita Organics</v>
      </c>
      <c r="B99" s="22">
        <f ca="1">IFERROR(__xludf.DUMMYFUNCTION("""COMPUTED_VALUE"""),20604.2)</f>
        <v>20604.2</v>
      </c>
      <c r="C99" s="21">
        <f ca="1">IFERROR(__xludf.DUMMYFUNCTION("""COMPUTED_VALUE"""),2000)</f>
        <v>2000</v>
      </c>
      <c r="D99" s="21">
        <f ca="1">IFERROR(__xludf.DUMMYFUNCTION("""COMPUTED_VALUE"""),51.19)</f>
        <v>51.19</v>
      </c>
      <c r="E99" s="21">
        <f ca="1">IFERROR(__xludf.DUMMYFUNCTION("""COMPUTED_VALUE"""),2377)</f>
        <v>2377</v>
      </c>
      <c r="F99" s="24">
        <f ca="1">IFERROR(__xludf.DUMMYFUNCTION("""COMPUTED_VALUE"""),0.158603281447202)</f>
        <v>0.15860328144720201</v>
      </c>
      <c r="G99" s="21">
        <f ca="1">IFERROR(__xludf.DUMMYFUNCTION("""COMPUTED_VALUE"""),1674.2)</f>
        <v>1674.2</v>
      </c>
      <c r="H99" s="24">
        <f ca="1">IFERROR(__xludf.DUMMYFUNCTION("""COMPUTED_VALUE"""),0.194600406164138)</f>
        <v>0.19460040616413801</v>
      </c>
      <c r="I99" s="21">
        <f ca="1">IFERROR(__xludf.DUMMYFUNCTION("""COMPUTED_VALUE"""),2014.85)</f>
        <v>2014.85</v>
      </c>
      <c r="J99" s="24">
        <f ca="1">IFERROR(__xludf.DUMMYFUNCTION("""COMPUTED_VALUE"""),-0.00737027570290587)</f>
        <v>-7.3702757029058697E-3</v>
      </c>
      <c r="K99" s="24" t="str">
        <f ca="1"/>
        <v>Chemical</v>
      </c>
      <c r="L99" s="24" t="str">
        <f ca="1"/>
        <v>VINATIORGA</v>
      </c>
      <c r="M99" s="24" t="str">
        <f ca="1"/>
        <v>No</v>
      </c>
      <c r="N99" s="24" t="str">
        <f ca="1"/>
        <v>Yes</v>
      </c>
      <c r="O99" s="25" t="str">
        <f t="array" aca="1" ref="O99" ca="1">IF(AND(D99&lt;65,M99="No", N99="No"),"Good Stock","")</f>
        <v/>
      </c>
      <c r="P99" s="24" t="str">
        <f t="shared" ca="1" si="0"/>
        <v>Low Cap</v>
      </c>
      <c r="Q99" s="26"/>
      <c r="R99" s="26"/>
      <c r="S99" s="26"/>
      <c r="T99" s="26"/>
      <c r="U99" s="26"/>
      <c r="V99" s="26"/>
      <c r="W99" s="26"/>
      <c r="X99" s="26"/>
      <c r="Y99" s="26"/>
      <c r="Z99" s="27"/>
      <c r="AA99" s="26"/>
      <c r="AB99" s="26"/>
    </row>
    <row r="100" spans="1:28">
      <c r="A100" s="21" t="str">
        <f ca="1">IFERROR(__xludf.DUMMYFUNCTION("""COMPUTED_VALUE"""),"Bata India")</f>
        <v>Bata India</v>
      </c>
      <c r="B100" s="22">
        <f ca="1">IFERROR(__xludf.DUMMYFUNCTION("""COMPUTED_VALUE"""),20286.8999472)</f>
        <v>20286.8999472</v>
      </c>
      <c r="C100" s="21">
        <f ca="1">IFERROR(__xludf.DUMMYFUNCTION("""COMPUTED_VALUE"""),1580)</f>
        <v>1580</v>
      </c>
      <c r="D100" s="21">
        <f ca="1">IFERROR(__xludf.DUMMYFUNCTION("""COMPUTED_VALUE"""),65.53)</f>
        <v>65.53</v>
      </c>
      <c r="E100" s="21">
        <f ca="1">IFERROR(__xludf.DUMMYFUNCTION("""COMPUTED_VALUE"""),2122)</f>
        <v>2122</v>
      </c>
      <c r="F100" s="24">
        <f ca="1">IFERROR(__xludf.DUMMYFUNCTION("""COMPUTED_VALUE"""),0.255419415645617)</f>
        <v>0.25541941564561699</v>
      </c>
      <c r="G100" s="21">
        <f ca="1">IFERROR(__xludf.DUMMYFUNCTION("""COMPUTED_VALUE"""),1551.1)</f>
        <v>1551.1</v>
      </c>
      <c r="H100" s="24">
        <f ca="1">IFERROR(__xludf.DUMMYFUNCTION("""COMPUTED_VALUE"""),0.0186319386242022)</f>
        <v>1.8631938624202201E-2</v>
      </c>
      <c r="I100" s="21">
        <f ca="1">IFERROR(__xludf.DUMMYFUNCTION("""COMPUTED_VALUE"""),1636.6)</f>
        <v>1636.6</v>
      </c>
      <c r="J100" s="24">
        <f ca="1">IFERROR(__xludf.DUMMYFUNCTION("""COMPUTED_VALUE"""),-0.0345838934376145)</f>
        <v>-3.4583893437614498E-2</v>
      </c>
      <c r="K100" s="24" t="str">
        <f ca="1"/>
        <v>Footwear</v>
      </c>
      <c r="L100" s="24" t="str">
        <f ca="1"/>
        <v>BATAINDIA</v>
      </c>
      <c r="M100" s="24" t="str">
        <f ca="1"/>
        <v>No</v>
      </c>
      <c r="N100" s="24" t="str">
        <f ca="1"/>
        <v>Yes</v>
      </c>
      <c r="O100" s="25" t="str">
        <f t="array" aca="1" ref="O100" ca="1">IF(AND(D100&lt;65,M100="No", N100="No"),"Good Stock","")</f>
        <v/>
      </c>
      <c r="P100" s="24" t="str">
        <f t="shared" ca="1" si="0"/>
        <v>Low Cap</v>
      </c>
      <c r="Q100" s="26"/>
      <c r="R100" s="26"/>
      <c r="S100" s="26"/>
      <c r="T100" s="26"/>
      <c r="U100" s="26"/>
      <c r="V100" s="26"/>
      <c r="W100" s="26"/>
      <c r="X100" s="26"/>
      <c r="Y100" s="26"/>
      <c r="Z100" s="27"/>
      <c r="AA100" s="26"/>
      <c r="AB100" s="26"/>
    </row>
    <row r="101" spans="1:28">
      <c r="A101" s="21" t="str">
        <f ca="1">IFERROR(__xludf.DUMMYFUNCTION("""COMPUTED_VALUE"""),"Navin Flourine")</f>
        <v>Navin Flourine</v>
      </c>
      <c r="B101" s="22">
        <f ca="1">IFERROR(__xludf.DUMMYFUNCTION("""COMPUTED_VALUE"""),20217.231452)</f>
        <v>20217.231452</v>
      </c>
      <c r="C101" s="21">
        <f ca="1">IFERROR(__xludf.DUMMYFUNCTION("""COMPUTED_VALUE"""),4080.6)</f>
        <v>4080.6</v>
      </c>
      <c r="D101" s="21">
        <f ca="1">IFERROR(__xludf.DUMMYFUNCTION("""COMPUTED_VALUE"""),73.24)</f>
        <v>73.239999999999995</v>
      </c>
      <c r="E101" s="21">
        <f ca="1">IFERROR(__xludf.DUMMYFUNCTION("""COMPUTED_VALUE"""),4847.35)</f>
        <v>4847.3500000000004</v>
      </c>
      <c r="F101" s="24">
        <f ca="1">IFERROR(__xludf.DUMMYFUNCTION("""COMPUTED_VALUE"""),0.15817921132165)</f>
        <v>0.15817921132165</v>
      </c>
      <c r="G101" s="21">
        <f ca="1">IFERROR(__xludf.DUMMYFUNCTION("""COMPUTED_VALUE"""),3361.45)</f>
        <v>3361.45</v>
      </c>
      <c r="H101" s="24">
        <f ca="1">IFERROR(__xludf.DUMMYFUNCTION("""COMPUTED_VALUE"""),0.213940412619554)</f>
        <v>0.21394041261955399</v>
      </c>
      <c r="I101" s="21">
        <f ca="1">IFERROR(__xludf.DUMMYFUNCTION("""COMPUTED_VALUE"""),4127.1)</f>
        <v>4127.1000000000004</v>
      </c>
      <c r="J101" s="24">
        <f ca="1">IFERROR(__xludf.DUMMYFUNCTION("""COMPUTED_VALUE"""),-0.0112669913498583)</f>
        <v>-1.1266991349858301E-2</v>
      </c>
      <c r="K101" s="24" t="str">
        <f ca="1"/>
        <v>Chemical</v>
      </c>
      <c r="L101" s="24" t="str">
        <f ca="1"/>
        <v>BOM:532504</v>
      </c>
      <c r="M101" s="24" t="str">
        <f ca="1"/>
        <v>No</v>
      </c>
      <c r="N101" s="24" t="str">
        <f ca="1"/>
        <v>Yes</v>
      </c>
      <c r="O101" s="25" t="str">
        <f t="array" aca="1" ref="O101" ca="1">IF(AND(D101&lt;65,M101="No", N101="No"),"Good Stock","")</f>
        <v/>
      </c>
      <c r="P101" s="24" t="str">
        <f t="shared" ca="1" si="0"/>
        <v>Low Cap</v>
      </c>
      <c r="Q101" s="26"/>
      <c r="R101" s="26"/>
      <c r="S101" s="26"/>
      <c r="T101" s="26"/>
      <c r="U101" s="26"/>
      <c r="V101" s="26"/>
      <c r="W101" s="26"/>
      <c r="X101" s="26"/>
      <c r="Y101" s="26"/>
      <c r="Z101" s="27"/>
      <c r="AA101" s="26"/>
      <c r="AB101" s="26"/>
    </row>
    <row r="102" spans="1:28">
      <c r="A102" s="21" t="str">
        <f ca="1">IFERROR(__xludf.DUMMYFUNCTION("""COMPUTED_VALUE"""),"Endurance Technology")</f>
        <v>Endurance Technology</v>
      </c>
      <c r="B102" s="22">
        <f ca="1">IFERROR(__xludf.DUMMYFUNCTION("""COMPUTED_VALUE"""),19679.44)</f>
        <v>19679.439999999999</v>
      </c>
      <c r="C102" s="21">
        <f ca="1">IFERROR(__xludf.DUMMYFUNCTION("""COMPUTED_VALUE"""),1398.5)</f>
        <v>1398.5</v>
      </c>
      <c r="D102" s="21">
        <f ca="1">IFERROR(__xludf.DUMMYFUNCTION("""COMPUTED_VALUE"""),42.23)</f>
        <v>42.23</v>
      </c>
      <c r="E102" s="21">
        <f ca="1">IFERROR(__xludf.DUMMYFUNCTION("""COMPUTED_VALUE"""),1736.15)</f>
        <v>1736.15</v>
      </c>
      <c r="F102" s="24">
        <f ca="1">IFERROR(__xludf.DUMMYFUNCTION("""COMPUTED_VALUE"""),0.194482043602223)</f>
        <v>0.19448204360222299</v>
      </c>
      <c r="G102" s="21">
        <f ca="1">IFERROR(__xludf.DUMMYFUNCTION("""COMPUTED_VALUE"""),1047.2)</f>
        <v>1047.2</v>
      </c>
      <c r="H102" s="24">
        <f ca="1">IFERROR(__xludf.DUMMYFUNCTION("""COMPUTED_VALUE"""),0.335466004583651)</f>
        <v>0.335466004583651</v>
      </c>
      <c r="I102" s="21">
        <f ca="1">IFERROR(__xludf.DUMMYFUNCTION("""COMPUTED_VALUE"""),1401.15)</f>
        <v>1401.15</v>
      </c>
      <c r="J102" s="24">
        <f ca="1">IFERROR(__xludf.DUMMYFUNCTION("""COMPUTED_VALUE"""),-0.00189130357206586)</f>
        <v>-1.89130357206586E-3</v>
      </c>
      <c r="K102" s="24" t="str">
        <f ca="1"/>
        <v>Automobile Ancilliary</v>
      </c>
      <c r="L102" s="24" t="str">
        <f ca="1"/>
        <v>ENDURANCE</v>
      </c>
      <c r="M102" s="24" t="str">
        <f ca="1"/>
        <v>No</v>
      </c>
      <c r="N102" s="24" t="str">
        <f ca="1"/>
        <v>No</v>
      </c>
      <c r="O102" s="25" t="str">
        <f t="array" aca="1" ref="O102" ca="1">IF(AND(D102&lt;65,M102="No", N102="No"),"Good Stock","")</f>
        <v>Good Stock</v>
      </c>
      <c r="P102" s="24" t="str">
        <f t="shared" ca="1" si="0"/>
        <v>Low Cap</v>
      </c>
      <c r="Q102" s="26"/>
      <c r="R102" s="26"/>
      <c r="S102" s="26"/>
      <c r="T102" s="26"/>
      <c r="U102" s="26"/>
      <c r="V102" s="26"/>
      <c r="W102" s="26"/>
      <c r="X102" s="26"/>
      <c r="Y102" s="26"/>
      <c r="Z102" s="27"/>
      <c r="AA102" s="26"/>
      <c r="AB102" s="26"/>
    </row>
    <row r="103" spans="1:28">
      <c r="A103" s="21" t="str">
        <f ca="1">IFERROR(__xludf.DUMMYFUNCTION("""COMPUTED_VALUE"""),"Pfizer")</f>
        <v>Pfizer</v>
      </c>
      <c r="B103" s="22">
        <f ca="1">IFERROR(__xludf.DUMMYFUNCTION("""COMPUTED_VALUE"""),19278.55)</f>
        <v>19278.55</v>
      </c>
      <c r="C103" s="21">
        <f ca="1">IFERROR(__xludf.DUMMYFUNCTION("""COMPUTED_VALUE"""),4224.9)</f>
        <v>4224.8999999999996</v>
      </c>
      <c r="D103" s="21">
        <f ca="1">IFERROR(__xludf.DUMMYFUNCTION("""COMPUTED_VALUE"""),31.52)</f>
        <v>31.52</v>
      </c>
      <c r="E103" s="21">
        <f ca="1">IFERROR(__xludf.DUMMYFUNCTION("""COMPUTED_VALUE"""),4946.1)</f>
        <v>4946.1000000000004</v>
      </c>
      <c r="F103" s="24">
        <f ca="1">IFERROR(__xludf.DUMMYFUNCTION("""COMPUTED_VALUE"""),0.145811851761994)</f>
        <v>0.14581185176199399</v>
      </c>
      <c r="G103" s="21">
        <f ca="1">IFERROR(__xludf.DUMMYFUNCTION("""COMPUTED_VALUE"""),4056)</f>
        <v>4056</v>
      </c>
      <c r="H103" s="24">
        <f ca="1">IFERROR(__xludf.DUMMYFUNCTION("""COMPUTED_VALUE"""),0.0416420118343194)</f>
        <v>4.1642011834319398E-2</v>
      </c>
      <c r="I103" s="21">
        <f ca="1">IFERROR(__xludf.DUMMYFUNCTION("""COMPUTED_VALUE"""),4254)</f>
        <v>4254</v>
      </c>
      <c r="J103" s="24">
        <f ca="1">IFERROR(__xludf.DUMMYFUNCTION("""COMPUTED_VALUE"""),-0.00684062059238372)</f>
        <v>-6.8406205923837197E-3</v>
      </c>
      <c r="K103" s="24" t="str">
        <f ca="1"/>
        <v>Pharma</v>
      </c>
      <c r="L103" s="24" t="str">
        <f ca="1"/>
        <v>BOM:500680</v>
      </c>
      <c r="M103" s="24" t="str">
        <f ca="1"/>
        <v>No</v>
      </c>
      <c r="N103" s="24" t="str">
        <f ca="1"/>
        <v>Yes</v>
      </c>
      <c r="O103" s="25" t="str">
        <f t="array" aca="1" ref="O103" ca="1">IF(AND(D103&lt;65,M103="No", N103="No"),"Good Stock","")</f>
        <v/>
      </c>
      <c r="P103" s="24" t="str">
        <f t="shared" ca="1" si="0"/>
        <v>Low Cap</v>
      </c>
      <c r="Q103" s="26"/>
      <c r="R103" s="26"/>
      <c r="S103" s="26"/>
      <c r="T103" s="26"/>
      <c r="U103" s="26"/>
      <c r="V103" s="26"/>
      <c r="W103" s="26"/>
      <c r="X103" s="26"/>
      <c r="Y103" s="26"/>
      <c r="Z103" s="27"/>
      <c r="AA103" s="26"/>
      <c r="AB103" s="26"/>
    </row>
    <row r="104" spans="1:28">
      <c r="A104" s="21" t="str">
        <f ca="1">IFERROR(__xludf.DUMMYFUNCTION("""COMPUTED_VALUE"""),"Lauras Lab")</f>
        <v>Lauras Lab</v>
      </c>
      <c r="B104" s="22">
        <f ca="1">IFERROR(__xludf.DUMMYFUNCTION("""COMPUTED_VALUE"""),19213.8702946)</f>
        <v>19213.870294600001</v>
      </c>
      <c r="C104" s="21">
        <f ca="1">IFERROR(__xludf.DUMMYFUNCTION("""COMPUTED_VALUE"""),357.4)</f>
        <v>357.4</v>
      </c>
      <c r="D104" s="21">
        <f ca="1">IFERROR(__xludf.DUMMYFUNCTION("""COMPUTED_VALUE"""),22.19)</f>
        <v>22.19</v>
      </c>
      <c r="E104" s="21">
        <f ca="1">IFERROR(__xludf.DUMMYFUNCTION("""COMPUTED_VALUE"""),626.3)</f>
        <v>626.29999999999995</v>
      </c>
      <c r="F104" s="24">
        <f ca="1">IFERROR(__xludf.DUMMYFUNCTION("""COMPUTED_VALUE"""),0.42934695832668)</f>
        <v>0.42934695832668002</v>
      </c>
      <c r="G104" s="21">
        <f ca="1">IFERROR(__xludf.DUMMYFUNCTION("""COMPUTED_VALUE"""),354)</f>
        <v>354</v>
      </c>
      <c r="H104" s="24">
        <f ca="1">IFERROR(__xludf.DUMMYFUNCTION("""COMPUTED_VALUE"""),0.00960451977401123)</f>
        <v>9.6045197740112307E-3</v>
      </c>
      <c r="I104" s="21">
        <f ca="1">IFERROR(__xludf.DUMMYFUNCTION("""COMPUTED_VALUE"""),360.4)</f>
        <v>360.4</v>
      </c>
      <c r="J104" s="24">
        <f ca="1">IFERROR(__xludf.DUMMYFUNCTION("""COMPUTED_VALUE"""),-0.00832408435072142)</f>
        <v>-8.3240843507214196E-3</v>
      </c>
      <c r="K104" s="24" t="str">
        <f ca="1"/>
        <v>Pharma</v>
      </c>
      <c r="L104" s="24" t="str">
        <f ca="1"/>
        <v>LAURUSLABS</v>
      </c>
      <c r="M104" s="24" t="str">
        <f ca="1"/>
        <v>Yes</v>
      </c>
      <c r="N104" s="24" t="str">
        <f ca="1"/>
        <v>Yes</v>
      </c>
      <c r="O104" s="25" t="str">
        <f t="array" aca="1" ref="O104" ca="1">IF(AND(D104&lt;65,M104="No", N104="No"),"Good Stock","")</f>
        <v/>
      </c>
      <c r="P104" s="24" t="str">
        <f t="shared" ca="1" si="0"/>
        <v>Low Cap</v>
      </c>
      <c r="Q104" s="26"/>
      <c r="R104" s="26"/>
      <c r="S104" s="26"/>
      <c r="T104" s="26"/>
      <c r="U104" s="26"/>
      <c r="V104" s="26"/>
      <c r="W104" s="26"/>
      <c r="X104" s="26"/>
      <c r="Y104" s="26"/>
      <c r="Z104" s="27"/>
      <c r="AA104" s="26"/>
      <c r="AB104" s="26"/>
    </row>
    <row r="105" spans="1:28">
      <c r="A105" s="21" t="str">
        <f ca="1">IFERROR(__xludf.DUMMYFUNCTION("""COMPUTED_VALUE"""),"KPIT")</f>
        <v>KPIT</v>
      </c>
      <c r="B105" s="22">
        <f ca="1">IFERROR(__xludf.DUMMYFUNCTION("""COMPUTED_VALUE"""),18827.9516699)</f>
        <v>18827.951669900001</v>
      </c>
      <c r="C105" s="21">
        <f ca="1">IFERROR(__xludf.DUMMYFUNCTION("""COMPUTED_VALUE"""),696.3)</f>
        <v>696.3</v>
      </c>
      <c r="D105" s="21">
        <f ca="1">IFERROR(__xludf.DUMMYFUNCTION("""COMPUTED_VALUE"""),59.82)</f>
        <v>59.82</v>
      </c>
      <c r="E105" s="21">
        <f ca="1">IFERROR(__xludf.DUMMYFUNCTION("""COMPUTED_VALUE"""),764.25)</f>
        <v>764.25</v>
      </c>
      <c r="F105" s="24">
        <f ca="1">IFERROR(__xludf.DUMMYFUNCTION("""COMPUTED_VALUE"""),0.0889106967615309)</f>
        <v>8.8910696761530905E-2</v>
      </c>
      <c r="G105" s="21">
        <f ca="1">IFERROR(__xludf.DUMMYFUNCTION("""COMPUTED_VALUE"""),440)</f>
        <v>440</v>
      </c>
      <c r="H105" s="24">
        <f ca="1">IFERROR(__xludf.DUMMYFUNCTION("""COMPUTED_VALUE"""),0.582499999999999)</f>
        <v>0.58249999999999902</v>
      </c>
      <c r="I105" s="21">
        <f ca="1">IFERROR(__xludf.DUMMYFUNCTION("""COMPUTED_VALUE"""),692.45)</f>
        <v>692.45</v>
      </c>
      <c r="J105" s="24">
        <f ca="1">IFERROR(__xludf.DUMMYFUNCTION("""COMPUTED_VALUE"""),0.00555996822875284)</f>
        <v>5.5599682287528398E-3</v>
      </c>
      <c r="K105" s="24" t="str">
        <f ca="1"/>
        <v>IT</v>
      </c>
      <c r="L105" s="24" t="str">
        <f ca="1"/>
        <v>BOM:542651</v>
      </c>
      <c r="M105" s="24" t="str">
        <f ca="1"/>
        <v>No</v>
      </c>
      <c r="N105" s="24" t="str">
        <f ca="1"/>
        <v>No</v>
      </c>
      <c r="O105" s="25" t="str">
        <f t="array" aca="1" ref="O105" ca="1">IF(AND(D105&lt;65,M105="No", N105="No"),"Good Stock","")</f>
        <v>Good Stock</v>
      </c>
      <c r="P105" s="24" t="str">
        <f t="shared" ca="1" si="0"/>
        <v>Low Cap</v>
      </c>
      <c r="Q105" s="26"/>
      <c r="R105" s="26"/>
      <c r="S105" s="26"/>
      <c r="T105" s="26"/>
      <c r="U105" s="26"/>
      <c r="V105" s="26"/>
      <c r="W105" s="26"/>
      <c r="X105" s="26"/>
      <c r="Y105" s="26"/>
      <c r="Z105" s="27"/>
      <c r="AA105" s="26"/>
      <c r="AB105" s="26"/>
    </row>
    <row r="106" spans="1:28">
      <c r="A106" s="21" t="str">
        <f ca="1">IFERROR(__xludf.DUMMYFUNCTION("""COMPUTED_VALUE"""),"Whirlpool")</f>
        <v>Whirlpool</v>
      </c>
      <c r="B106" s="22">
        <f ca="1">IFERROR(__xludf.DUMMYFUNCTION("""COMPUTED_VALUE"""),18318.3733666)</f>
        <v>18318.373366600001</v>
      </c>
      <c r="C106" s="21">
        <f ca="1">IFERROR(__xludf.DUMMYFUNCTION("""COMPUTED_VALUE"""),1441.55)</f>
        <v>1441.55</v>
      </c>
      <c r="D106" s="21">
        <f ca="1">IFERROR(__xludf.DUMMYFUNCTION("""COMPUTED_VALUE"""),70.52)</f>
        <v>70.52</v>
      </c>
      <c r="E106" s="21">
        <f ca="1">IFERROR(__xludf.DUMMYFUNCTION("""COMPUTED_VALUE"""),1917)</f>
        <v>1917</v>
      </c>
      <c r="F106" s="24">
        <f ca="1">IFERROR(__xludf.DUMMYFUNCTION("""COMPUTED_VALUE"""),0.248017736045905)</f>
        <v>0.24801773604590499</v>
      </c>
      <c r="G106" s="21">
        <f ca="1">IFERROR(__xludf.DUMMYFUNCTION("""COMPUTED_VALUE"""),1365.1)</f>
        <v>1365.1</v>
      </c>
      <c r="H106" s="24">
        <f ca="1">IFERROR(__xludf.DUMMYFUNCTION("""COMPUTED_VALUE"""),0.056003223207091)</f>
        <v>5.6003223207091002E-2</v>
      </c>
      <c r="I106" s="21">
        <f ca="1">IFERROR(__xludf.DUMMYFUNCTION("""COMPUTED_VALUE"""),1480.7)</f>
        <v>1480.7</v>
      </c>
      <c r="J106" s="24">
        <f ca="1">IFERROR(__xludf.DUMMYFUNCTION("""COMPUTED_VALUE"""),-0.0264401972040251)</f>
        <v>-2.6440197204025101E-2</v>
      </c>
      <c r="K106" s="24" t="str">
        <f ca="1"/>
        <v>Consumer Electrical</v>
      </c>
      <c r="L106" s="24" t="str">
        <f ca="1"/>
        <v>WHIRLPOOL</v>
      </c>
      <c r="M106" s="24" t="str">
        <f ca="1"/>
        <v>No</v>
      </c>
      <c r="N106" s="24" t="str">
        <f ca="1"/>
        <v>Yes</v>
      </c>
      <c r="O106" s="25" t="str">
        <f t="array" aca="1" ref="O106" ca="1">IF(AND(D106&lt;65,M106="No", N106="No"),"Good Stock","")</f>
        <v/>
      </c>
      <c r="P106" s="24" t="str">
        <f t="shared" ca="1" si="0"/>
        <v>Low Cap</v>
      </c>
      <c r="Q106" s="26"/>
      <c r="R106" s="26"/>
      <c r="S106" s="26"/>
      <c r="T106" s="26"/>
      <c r="U106" s="26"/>
      <c r="V106" s="26"/>
      <c r="W106" s="26"/>
      <c r="X106" s="26"/>
      <c r="Y106" s="26"/>
      <c r="Z106" s="27"/>
      <c r="AA106" s="26"/>
      <c r="AB106" s="26"/>
    </row>
    <row r="107" spans="1:28">
      <c r="A107" s="21" t="str">
        <f ca="1">IFERROR(__xludf.DUMMYFUNCTION("""COMPUTED_VALUE"""),"Dr Lal Path Lab")</f>
        <v>Dr Lal Path Lab</v>
      </c>
      <c r="B107" s="22">
        <f ca="1">IFERROR(__xludf.DUMMYFUNCTION("""COMPUTED_VALUE"""),17986.0053514)</f>
        <v>17986.005351399999</v>
      </c>
      <c r="C107" s="21">
        <f ca="1">IFERROR(__xludf.DUMMYFUNCTION("""COMPUTED_VALUE"""),2174.05)</f>
        <v>2174.0500000000002</v>
      </c>
      <c r="D107" s="21">
        <f ca="1">IFERROR(__xludf.DUMMYFUNCTION("""COMPUTED_VALUE"""),72.77)</f>
        <v>72.77</v>
      </c>
      <c r="E107" s="21">
        <f ca="1">IFERROR(__xludf.DUMMYFUNCTION("""COMPUTED_VALUE"""),3769.95)</f>
        <v>3769.95</v>
      </c>
      <c r="F107" s="24">
        <f ca="1">IFERROR(__xludf.DUMMYFUNCTION("""COMPUTED_VALUE"""),0.423321264207748)</f>
        <v>0.42332126420774802</v>
      </c>
      <c r="G107" s="21">
        <f ca="1">IFERROR(__xludf.DUMMYFUNCTION("""COMPUTED_VALUE"""),1805.55)</f>
        <v>1805.55</v>
      </c>
      <c r="H107" s="24">
        <f ca="1">IFERROR(__xludf.DUMMYFUNCTION("""COMPUTED_VALUE"""),0.204092935670571)</f>
        <v>0.20409293567057099</v>
      </c>
      <c r="I107" s="21">
        <f ca="1">IFERROR(__xludf.DUMMYFUNCTION("""COMPUTED_VALUE"""),2171.85)</f>
        <v>2171.85</v>
      </c>
      <c r="J107" s="24">
        <f ca="1">IFERROR(__xludf.DUMMYFUNCTION("""COMPUTED_VALUE"""),0.00101296130027408)</f>
        <v>1.0129613002740801E-3</v>
      </c>
      <c r="K107" s="24" t="str">
        <f ca="1"/>
        <v>Healthcare</v>
      </c>
      <c r="L107" s="24" t="str">
        <f ca="1"/>
        <v>LALPATHLAB</v>
      </c>
      <c r="M107" s="24" t="str">
        <f ca="1"/>
        <v>Yes</v>
      </c>
      <c r="N107" s="24" t="str">
        <f ca="1"/>
        <v>Yes</v>
      </c>
      <c r="O107" s="25" t="str">
        <f t="array" aca="1" ref="O107" ca="1">IF(AND(D107&lt;65,M107="No", N107="No"),"Good Stock","")</f>
        <v/>
      </c>
      <c r="P107" s="24" t="str">
        <f t="shared" ca="1" si="0"/>
        <v>Low Cap</v>
      </c>
      <c r="Q107" s="26"/>
      <c r="R107" s="26"/>
      <c r="S107" s="26"/>
      <c r="T107" s="26"/>
      <c r="U107" s="26"/>
      <c r="V107" s="26"/>
      <c r="W107" s="26"/>
      <c r="X107" s="26"/>
      <c r="Y107" s="26"/>
      <c r="Z107" s="27"/>
      <c r="AA107" s="26"/>
      <c r="AB107" s="26"/>
    </row>
    <row r="108" spans="1:28">
      <c r="A108" s="21" t="str">
        <f ca="1">IFERROR(__xludf.DUMMYFUNCTION("""COMPUTED_VALUE"""),"Kajaria Ceramic")</f>
        <v>Kajaria Ceramic</v>
      </c>
      <c r="B108" s="22">
        <f ca="1">IFERROR(__xludf.DUMMYFUNCTION("""COMPUTED_VALUE"""),17802.1935)</f>
        <v>17802.193500000001</v>
      </c>
      <c r="C108" s="21">
        <f ca="1">IFERROR(__xludf.DUMMYFUNCTION("""COMPUTED_VALUE"""),1118)</f>
        <v>1118</v>
      </c>
      <c r="D108" s="21">
        <f ca="1">IFERROR(__xludf.DUMMYFUNCTION("""COMPUTED_VALUE"""),46.87)</f>
        <v>46.87</v>
      </c>
      <c r="E108" s="21">
        <f ca="1">IFERROR(__xludf.DUMMYFUNCTION("""COMPUTED_VALUE"""),1374.55)</f>
        <v>1374.55</v>
      </c>
      <c r="F108" s="24">
        <f ca="1">IFERROR(__xludf.DUMMYFUNCTION("""COMPUTED_VALUE"""),0.186642901313157)</f>
        <v>0.186642901313157</v>
      </c>
      <c r="G108" s="21">
        <f ca="1">IFERROR(__xludf.DUMMYFUNCTION("""COMPUTED_VALUE"""),885.3)</f>
        <v>885.3</v>
      </c>
      <c r="H108" s="24">
        <f ca="1">IFERROR(__xludf.DUMMYFUNCTION("""COMPUTED_VALUE"""),0.262848751835536)</f>
        <v>0.26284875183553602</v>
      </c>
      <c r="I108" s="21">
        <f ca="1">IFERROR(__xludf.DUMMYFUNCTION("""COMPUTED_VALUE"""),1112.5)</f>
        <v>1112.5</v>
      </c>
      <c r="J108" s="24">
        <f ca="1">IFERROR(__xludf.DUMMYFUNCTION("""COMPUTED_VALUE"""),0.0049438202247191)</f>
        <v>4.9438202247190999E-3</v>
      </c>
      <c r="K108" s="24" t="str">
        <f ca="1"/>
        <v>Ceramic</v>
      </c>
      <c r="L108" s="24" t="str">
        <f ca="1"/>
        <v>KAJARIACER</v>
      </c>
      <c r="M108" s="24" t="str">
        <f ca="1"/>
        <v>No</v>
      </c>
      <c r="N108" s="24" t="str">
        <f ca="1"/>
        <v>Yes</v>
      </c>
      <c r="O108" s="25" t="str">
        <f t="array" aca="1" ref="O108" ca="1">IF(AND(D108&lt;65,M108="No", N108="No"),"Good Stock","")</f>
        <v/>
      </c>
      <c r="P108" s="24" t="str">
        <f t="shared" ca="1" si="0"/>
        <v>Low Cap</v>
      </c>
      <c r="Q108" s="26"/>
      <c r="R108" s="26"/>
      <c r="S108" s="26"/>
      <c r="T108" s="26"/>
      <c r="U108" s="26"/>
      <c r="V108" s="26"/>
      <c r="W108" s="26"/>
      <c r="X108" s="26"/>
      <c r="Y108" s="26"/>
      <c r="Z108" s="27"/>
      <c r="AA108" s="26"/>
      <c r="AB108" s="26"/>
    </row>
    <row r="109" spans="1:28">
      <c r="A109" s="21" t="str">
        <f ca="1">IFERROR(__xludf.DUMMYFUNCTION("""COMPUTED_VALUE"""),"Fine Organics")</f>
        <v>Fine Organics</v>
      </c>
      <c r="B109" s="22">
        <f ca="1">IFERROR(__xludf.DUMMYFUNCTION("""COMPUTED_VALUE"""),17277.2)</f>
        <v>17277.2</v>
      </c>
      <c r="C109" s="21">
        <f ca="1">IFERROR(__xludf.DUMMYFUNCTION("""COMPUTED_VALUE"""),5630)</f>
        <v>5630</v>
      </c>
      <c r="D109" s="21">
        <f ca="1">IFERROR(__xludf.DUMMYFUNCTION("""COMPUTED_VALUE"""),32.19)</f>
        <v>32.19</v>
      </c>
      <c r="E109" s="21">
        <f ca="1">IFERROR(__xludf.DUMMYFUNCTION("""COMPUTED_VALUE"""),7328.75)</f>
        <v>7328.75</v>
      </c>
      <c r="F109" s="24">
        <f ca="1">IFERROR(__xludf.DUMMYFUNCTION("""COMPUTED_VALUE"""),0.231792597646256)</f>
        <v>0.23179259764625601</v>
      </c>
      <c r="G109" s="21">
        <f ca="1">IFERROR(__xludf.DUMMYFUNCTION("""COMPUTED_VALUE"""),3457.1)</f>
        <v>3457.1</v>
      </c>
      <c r="H109" s="24">
        <f ca="1">IFERROR(__xludf.DUMMYFUNCTION("""COMPUTED_VALUE"""),0.628532585114691)</f>
        <v>0.62853258511469101</v>
      </c>
      <c r="I109" s="21">
        <f ca="1">IFERROR(__xludf.DUMMYFUNCTION("""COMPUTED_VALUE"""),5672.25)</f>
        <v>5672.25</v>
      </c>
      <c r="J109" s="24">
        <f ca="1">IFERROR(__xludf.DUMMYFUNCTION("""COMPUTED_VALUE"""),-0.00744854334699634)</f>
        <v>-7.4485433469963398E-3</v>
      </c>
      <c r="K109" s="24" t="str">
        <f ca="1"/>
        <v>Chemical</v>
      </c>
      <c r="L109" s="24" t="str">
        <f ca="1"/>
        <v>FINEORG</v>
      </c>
      <c r="M109" s="24" t="str">
        <f ca="1"/>
        <v>No</v>
      </c>
      <c r="N109" s="24" t="str">
        <f ca="1"/>
        <v>No</v>
      </c>
      <c r="O109" s="25" t="str">
        <f t="array" aca="1" ref="O109" ca="1">IF(AND(D109&lt;65,M109="No", N109="No"),"Good Stock","")</f>
        <v>Good Stock</v>
      </c>
      <c r="P109" s="24" t="str">
        <f t="shared" ca="1" si="0"/>
        <v>Low Cap</v>
      </c>
      <c r="Q109" s="26"/>
      <c r="R109" s="26"/>
      <c r="S109" s="26"/>
      <c r="T109" s="26"/>
      <c r="U109" s="26"/>
      <c r="V109" s="26"/>
      <c r="W109" s="26"/>
      <c r="X109" s="26"/>
      <c r="Y109" s="26"/>
      <c r="Z109" s="27"/>
      <c r="AA109" s="26"/>
      <c r="AB109" s="26"/>
    </row>
    <row r="110" spans="1:28">
      <c r="A110" s="21" t="str">
        <f ca="1">IFERROR(__xludf.DUMMYFUNCTION("""COMPUTED_VALUE"""),"Trident")</f>
        <v>Trident</v>
      </c>
      <c r="B110" s="22">
        <f ca="1">IFERROR(__xludf.DUMMYFUNCTION("""COMPUTED_VALUE"""),16896.24225)</f>
        <v>16896.242249999999</v>
      </c>
      <c r="C110" s="21">
        <f ca="1">IFERROR(__xludf.DUMMYFUNCTION("""COMPUTED_VALUE"""),33.75)</f>
        <v>33.75</v>
      </c>
      <c r="D110" s="21">
        <f ca="1">IFERROR(__xludf.DUMMYFUNCTION("""COMPUTED_VALUE"""),30.44)</f>
        <v>30.44</v>
      </c>
      <c r="E110" s="21">
        <f ca="1">IFERROR(__xludf.DUMMYFUNCTION("""COMPUTED_VALUE"""),70.9)</f>
        <v>70.900000000000006</v>
      </c>
      <c r="F110" s="24">
        <f ca="1">IFERROR(__xludf.DUMMYFUNCTION("""COMPUTED_VALUE"""),0.523977433004231)</f>
        <v>0.52397743300423105</v>
      </c>
      <c r="G110" s="21">
        <f ca="1">IFERROR(__xludf.DUMMYFUNCTION("""COMPUTED_VALUE"""),30.45)</f>
        <v>30.45</v>
      </c>
      <c r="H110" s="24">
        <f ca="1">IFERROR(__xludf.DUMMYFUNCTION("""COMPUTED_VALUE"""),0.108374384236453)</f>
        <v>0.108374384236453</v>
      </c>
      <c r="I110" s="21">
        <f ca="1">IFERROR(__xludf.DUMMYFUNCTION("""COMPUTED_VALUE"""),33.65)</f>
        <v>33.65</v>
      </c>
      <c r="J110" s="24">
        <f ca="1">IFERROR(__xludf.DUMMYFUNCTION("""COMPUTED_VALUE"""),0.00297176820208028)</f>
        <v>2.9717682020802801E-3</v>
      </c>
      <c r="K110" s="24" t="str">
        <f ca="1"/>
        <v>Textile</v>
      </c>
      <c r="L110" s="24" t="str">
        <f ca="1"/>
        <v>BOM:521064</v>
      </c>
      <c r="M110" s="24" t="str">
        <f ca="1"/>
        <v>Yes</v>
      </c>
      <c r="N110" s="24" t="str">
        <f ca="1"/>
        <v>Yes</v>
      </c>
      <c r="O110" s="25" t="str">
        <f t="array" aca="1" ref="O110" ca="1">IF(AND(D110&lt;65,M110="No", N110="No"),"Good Stock","")</f>
        <v/>
      </c>
      <c r="P110" s="24" t="str">
        <f t="shared" ca="1" si="0"/>
        <v>Low Cap</v>
      </c>
      <c r="Q110" s="26"/>
      <c r="R110" s="26"/>
      <c r="S110" s="26"/>
      <c r="T110" s="26"/>
      <c r="U110" s="26"/>
      <c r="V110" s="26"/>
      <c r="W110" s="26"/>
      <c r="X110" s="26"/>
      <c r="Y110" s="26"/>
      <c r="Z110" s="27"/>
      <c r="AA110" s="26"/>
      <c r="AB110" s="26"/>
    </row>
    <row r="111" spans="1:28">
      <c r="A111" s="21" t="str">
        <f ca="1">IFERROR(__xludf.DUMMYFUNCTION("""COMPUTED_VALUE"""),"Nippon AMC")</f>
        <v>Nippon AMC</v>
      </c>
      <c r="B111" s="22">
        <f ca="1">IFERROR(__xludf.DUMMYFUNCTION("""COMPUTED_VALUE"""),15766.33509)</f>
        <v>15766.33509</v>
      </c>
      <c r="C111" s="21">
        <f ca="1">IFERROR(__xludf.DUMMYFUNCTION("""COMPUTED_VALUE"""),252.6)</f>
        <v>252.6</v>
      </c>
      <c r="D111" s="21">
        <f ca="1">IFERROR(__xludf.DUMMYFUNCTION("""COMPUTED_VALUE"""),23.69)</f>
        <v>23.69</v>
      </c>
      <c r="E111" s="21">
        <f ca="1">IFERROR(__xludf.DUMMYFUNCTION("""COMPUTED_VALUE"""),375.2)</f>
        <v>375.2</v>
      </c>
      <c r="F111" s="24">
        <f ca="1">IFERROR(__xludf.DUMMYFUNCTION("""COMPUTED_VALUE"""),0.326759061833688)</f>
        <v>0.32675906183368802</v>
      </c>
      <c r="G111" s="21">
        <f ca="1">IFERROR(__xludf.DUMMYFUNCTION("""COMPUTED_VALUE"""),241.05)</f>
        <v>241.05</v>
      </c>
      <c r="H111" s="24">
        <f ca="1">IFERROR(__xludf.DUMMYFUNCTION("""COMPUTED_VALUE"""),0.0479153702551337)</f>
        <v>4.7915370255133698E-2</v>
      </c>
      <c r="I111" s="21">
        <f ca="1">IFERROR(__xludf.DUMMYFUNCTION("""COMPUTED_VALUE"""),251.9)</f>
        <v>251.9</v>
      </c>
      <c r="J111" s="24">
        <f ca="1">IFERROR(__xludf.DUMMYFUNCTION("""COMPUTED_VALUE"""),0.0027788805081381)</f>
        <v>2.7788805081380998E-3</v>
      </c>
      <c r="K111" s="24" t="str">
        <f ca="1"/>
        <v>AMC</v>
      </c>
      <c r="L111" s="24" t="str">
        <f ca="1"/>
        <v>BOM:540767</v>
      </c>
      <c r="M111" s="24" t="str">
        <f ca="1"/>
        <v>Yes</v>
      </c>
      <c r="N111" s="24" t="str">
        <f ca="1"/>
        <v>Yes</v>
      </c>
      <c r="O111" s="25" t="str">
        <f t="array" aca="1" ref="O111" ca="1">IF(AND(D111&lt;65,M111="No", N111="No"),"Good Stock","")</f>
        <v/>
      </c>
      <c r="P111" s="24" t="str">
        <f t="shared" ca="1" si="0"/>
        <v>Low Cap</v>
      </c>
      <c r="Q111" s="26"/>
      <c r="R111" s="26"/>
      <c r="S111" s="26"/>
      <c r="T111" s="26"/>
      <c r="U111" s="26"/>
      <c r="V111" s="26"/>
      <c r="W111" s="26"/>
      <c r="X111" s="26"/>
      <c r="Y111" s="26"/>
      <c r="Z111" s="27"/>
      <c r="AA111" s="26"/>
      <c r="AB111" s="26"/>
    </row>
    <row r="112" spans="1:28">
      <c r="A112" s="21" t="str">
        <f ca="1">IFERROR(__xludf.DUMMYFUNCTION("""COMPUTED_VALUE"""),"Exide Battery")</f>
        <v>Exide Battery</v>
      </c>
      <c r="B112" s="22">
        <f ca="1">IFERROR(__xludf.DUMMYFUNCTION("""COMPUTED_VALUE"""),15554.9906858)</f>
        <v>15554.990685799999</v>
      </c>
      <c r="C112" s="21">
        <f ca="1">IFERROR(__xludf.DUMMYFUNCTION("""COMPUTED_VALUE"""),182.85)</f>
        <v>182.85</v>
      </c>
      <c r="D112" s="21">
        <f ca="1">IFERROR(__xludf.DUMMYFUNCTION("""COMPUTED_VALUE"""),3.39)</f>
        <v>3.39</v>
      </c>
      <c r="E112" s="21">
        <f ca="1">IFERROR(__xludf.DUMMYFUNCTION("""COMPUTED_VALUE"""),194.2)</f>
        <v>194.2</v>
      </c>
      <c r="F112" s="24">
        <f ca="1">IFERROR(__xludf.DUMMYFUNCTION("""COMPUTED_VALUE"""),0.0584449021627188)</f>
        <v>5.8444902162718797E-2</v>
      </c>
      <c r="G112" s="21">
        <f ca="1">IFERROR(__xludf.DUMMYFUNCTION("""COMPUTED_VALUE"""),130.25)</f>
        <v>130.25</v>
      </c>
      <c r="H112" s="24">
        <f ca="1">IFERROR(__xludf.DUMMYFUNCTION("""COMPUTED_VALUE"""),0.40383877159309)</f>
        <v>0.40383877159309001</v>
      </c>
      <c r="I112" s="21">
        <f ca="1">IFERROR(__xludf.DUMMYFUNCTION("""COMPUTED_VALUE"""),182.65)</f>
        <v>182.65</v>
      </c>
      <c r="J112" s="24">
        <f ca="1">IFERROR(__xludf.DUMMYFUNCTION("""COMPUTED_VALUE"""),0.00109499041883377)</f>
        <v>1.0949904188337701E-3</v>
      </c>
      <c r="K112" s="24" t="str">
        <f ca="1"/>
        <v>Automobile Ancilliary</v>
      </c>
      <c r="L112" s="24" t="str">
        <f ca="1"/>
        <v>EXIDEIND</v>
      </c>
      <c r="M112" s="24" t="str">
        <f ca="1"/>
        <v>No</v>
      </c>
      <c r="N112" s="24" t="str">
        <f ca="1"/>
        <v>No</v>
      </c>
      <c r="O112" s="25" t="str">
        <f t="array" aca="1" ref="O112" ca="1">IF(AND(D112&lt;65,M112="No", N112="No"),"Good Stock","")</f>
        <v>Good Stock</v>
      </c>
      <c r="P112" s="24" t="str">
        <f t="shared" ca="1" si="0"/>
        <v>Low Cap</v>
      </c>
      <c r="Q112" s="26"/>
      <c r="R112" s="26"/>
      <c r="S112" s="26"/>
      <c r="T112" s="26"/>
      <c r="U112" s="26"/>
      <c r="V112" s="26"/>
      <c r="W112" s="26"/>
      <c r="X112" s="26"/>
      <c r="Y112" s="26"/>
      <c r="Z112" s="27"/>
      <c r="AA112" s="26"/>
      <c r="AB112" s="26"/>
    </row>
    <row r="113" spans="1:28">
      <c r="A113" s="21" t="str">
        <f ca="1">IFERROR(__xludf.DUMMYFUNCTION("""COMPUTED_VALUE"""),"clean science")</f>
        <v>clean science</v>
      </c>
      <c r="B113" s="22">
        <f ca="1">IFERROR(__xludf.DUMMYFUNCTION("""COMPUTED_VALUE"""),15538.83)</f>
        <v>15538.83</v>
      </c>
      <c r="C113" s="21">
        <f ca="1">IFERROR(__xludf.DUMMYFUNCTION("""COMPUTED_VALUE"""),1463.5)</f>
        <v>1463.5</v>
      </c>
      <c r="D113" s="21">
        <f ca="1">IFERROR(__xludf.DUMMYFUNCTION("""COMPUTED_VALUE"""),61.9)</f>
        <v>61.9</v>
      </c>
      <c r="E113" s="21">
        <f ca="1">IFERROR(__xludf.DUMMYFUNCTION("""COMPUTED_VALUE"""),2624)</f>
        <v>2624</v>
      </c>
      <c r="F113" s="24">
        <f ca="1">IFERROR(__xludf.DUMMYFUNCTION("""COMPUTED_VALUE"""),0.442263719512195)</f>
        <v>0.44226371951219501</v>
      </c>
      <c r="G113" s="21">
        <f ca="1">IFERROR(__xludf.DUMMYFUNCTION("""COMPUTED_VALUE"""),1410.1)</f>
        <v>1410.1</v>
      </c>
      <c r="H113" s="24">
        <f ca="1">IFERROR(__xludf.DUMMYFUNCTION("""COMPUTED_VALUE"""),0.0378696546344231)</f>
        <v>3.78696546344231E-2</v>
      </c>
      <c r="I113" s="21">
        <f ca="1">IFERROR(__xludf.DUMMYFUNCTION("""COMPUTED_VALUE"""),1471.05)</f>
        <v>1471.05</v>
      </c>
      <c r="J113" s="24">
        <f ca="1">IFERROR(__xludf.DUMMYFUNCTION("""COMPUTED_VALUE"""),-0.00513238843003293)</f>
        <v>-5.1323884300329302E-3</v>
      </c>
      <c r="K113" s="24" t="str">
        <f ca="1"/>
        <v>Chemical</v>
      </c>
      <c r="L113" s="24" t="str">
        <f ca="1"/>
        <v>BOM:543318</v>
      </c>
      <c r="M113" s="24" t="str">
        <f ca="1"/>
        <v>Yes</v>
      </c>
      <c r="N113" s="24" t="str">
        <f ca="1"/>
        <v>Yes</v>
      </c>
      <c r="O113" s="25" t="str">
        <f t="array" aca="1" ref="O113" ca="1">IF(AND(D113&lt;65,M113="No", N113="No"),"Good Stock","")</f>
        <v/>
      </c>
      <c r="P113" s="24" t="str">
        <f t="shared" ca="1" si="0"/>
        <v>Low Cap</v>
      </c>
      <c r="Q113" s="26"/>
      <c r="R113" s="26"/>
      <c r="S113" s="26"/>
      <c r="T113" s="26"/>
      <c r="U113" s="26"/>
      <c r="V113" s="26"/>
      <c r="W113" s="26"/>
      <c r="X113" s="26"/>
      <c r="Y113" s="26"/>
      <c r="Z113" s="27"/>
      <c r="AA113" s="26"/>
      <c r="AB113" s="26"/>
    </row>
    <row r="114" spans="1:28">
      <c r="A114" s="21" t="str">
        <f ca="1">IFERROR(__xludf.DUMMYFUNCTION("""COMPUTED_VALUE"""),"Alkyl Amine")</f>
        <v>Alkyl Amine</v>
      </c>
      <c r="B114" s="22">
        <f ca="1">IFERROR(__xludf.DUMMYFUNCTION("""COMPUTED_VALUE"""),13811.7)</f>
        <v>13811.7</v>
      </c>
      <c r="C114" s="21">
        <f ca="1">IFERROR(__xludf.DUMMYFUNCTION("""COMPUTED_VALUE"""),2714.9)</f>
        <v>2714.9</v>
      </c>
      <c r="D114" s="21">
        <f ca="1">IFERROR(__xludf.DUMMYFUNCTION("""COMPUTED_VALUE"""),61.31)</f>
        <v>61.31</v>
      </c>
      <c r="E114" s="21">
        <f ca="1">IFERROR(__xludf.DUMMYFUNCTION("""COMPUTED_VALUE"""),3797.6)</f>
        <v>3797.6</v>
      </c>
      <c r="F114" s="24">
        <f ca="1">IFERROR(__xludf.DUMMYFUNCTION("""COMPUTED_VALUE"""),0.285101116494628)</f>
        <v>0.28510111649462799</v>
      </c>
      <c r="G114" s="21">
        <f ca="1">IFERROR(__xludf.DUMMYFUNCTION("""COMPUTED_VALUE"""),2506.2)</f>
        <v>2506.1999999999998</v>
      </c>
      <c r="H114" s="24">
        <f ca="1">IFERROR(__xludf.DUMMYFUNCTION("""COMPUTED_VALUE"""),0.0832734817652223)</f>
        <v>8.3273481765222299E-2</v>
      </c>
      <c r="I114" s="21">
        <f ca="1">IFERROR(__xludf.DUMMYFUNCTION("""COMPUTED_VALUE"""),2750.75)</f>
        <v>2750.75</v>
      </c>
      <c r="J114" s="24">
        <f ca="1">IFERROR(__xludf.DUMMYFUNCTION("""COMPUTED_VALUE"""),-0.0130328092338452)</f>
        <v>-1.30328092338452E-2</v>
      </c>
      <c r="K114" s="24" t="str">
        <f ca="1"/>
        <v>Chemical</v>
      </c>
      <c r="L114" s="24" t="str">
        <f ca="1"/>
        <v>ALKYLAMINE</v>
      </c>
      <c r="M114" s="24" t="str">
        <f ca="1"/>
        <v>No</v>
      </c>
      <c r="N114" s="24" t="str">
        <f ca="1"/>
        <v>Yes</v>
      </c>
      <c r="O114" s="25" t="str">
        <f t="array" aca="1" ref="O114" ca="1">IF(AND(D114&lt;65,M114="No", N114="No"),"Good Stock","")</f>
        <v/>
      </c>
      <c r="P114" s="24" t="str">
        <f t="shared" ca="1" si="0"/>
        <v>Low Cap</v>
      </c>
      <c r="Q114" s="26"/>
      <c r="R114" s="26"/>
      <c r="S114" s="26"/>
      <c r="T114" s="26"/>
      <c r="U114" s="26"/>
      <c r="V114" s="26"/>
      <c r="W114" s="26"/>
      <c r="X114" s="26"/>
      <c r="Y114" s="26"/>
      <c r="Z114" s="27"/>
      <c r="AA114" s="26"/>
      <c r="AB114" s="26"/>
    </row>
    <row r="115" spans="1:28">
      <c r="A115" s="21" t="str">
        <f ca="1">IFERROR(__xludf.DUMMYFUNCTION("""COMPUTED_VALUE"""),"Indiamart Intermesh")</f>
        <v>Indiamart Intermesh</v>
      </c>
      <c r="B115" s="22">
        <f ca="1">IFERROR(__xludf.DUMMYFUNCTION("""COMPUTED_VALUE"""),13709.808)</f>
        <v>13709.808000000001</v>
      </c>
      <c r="C115" s="21">
        <f ca="1">IFERROR(__xludf.DUMMYFUNCTION("""COMPUTED_VALUE"""),4477)</f>
        <v>4477</v>
      </c>
      <c r="D115" s="21">
        <f ca="1">IFERROR(__xludf.DUMMYFUNCTION("""COMPUTED_VALUE"""),56.62)</f>
        <v>56.62</v>
      </c>
      <c r="E115" s="21">
        <f ca="1">IFERROR(__xludf.DUMMYFUNCTION("""COMPUTED_VALUE"""),6898.75)</f>
        <v>6898.75</v>
      </c>
      <c r="F115" s="24">
        <f ca="1">IFERROR(__xludf.DUMMYFUNCTION("""COMPUTED_VALUE"""),0.351041855408588)</f>
        <v>0.35104185540858801</v>
      </c>
      <c r="G115" s="21">
        <f ca="1">IFERROR(__xludf.DUMMYFUNCTION("""COMPUTED_VALUE"""),3676)</f>
        <v>3676</v>
      </c>
      <c r="H115" s="24">
        <f ca="1">IFERROR(__xludf.DUMMYFUNCTION("""COMPUTED_VALUE"""),0.217899891186071)</f>
        <v>0.217899891186071</v>
      </c>
      <c r="I115" s="21">
        <f ca="1">IFERROR(__xludf.DUMMYFUNCTION("""COMPUTED_VALUE"""),4446.55)</f>
        <v>4446.55</v>
      </c>
      <c r="J115" s="24">
        <f ca="1">IFERROR(__xludf.DUMMYFUNCTION("""COMPUTED_VALUE"""),0.00684800575727245)</f>
        <v>6.8480057572724504E-3</v>
      </c>
      <c r="K115" s="24" t="str">
        <f ca="1"/>
        <v>Technology</v>
      </c>
      <c r="L115" s="24" t="str">
        <f ca="1"/>
        <v>INDIAMART</v>
      </c>
      <c r="M115" s="24" t="str">
        <f ca="1"/>
        <v>Yes</v>
      </c>
      <c r="N115" s="24" t="str">
        <f ca="1"/>
        <v>Yes</v>
      </c>
      <c r="O115" s="25" t="str">
        <f t="array" aca="1" ref="O115" ca="1">IF(AND(D115&lt;65,M115="No", N115="No"),"Good Stock","")</f>
        <v/>
      </c>
      <c r="P115" s="24" t="str">
        <f t="shared" ca="1" si="0"/>
        <v>Low Cap</v>
      </c>
      <c r="Q115" s="26"/>
      <c r="R115" s="26"/>
      <c r="S115" s="26"/>
      <c r="T115" s="26"/>
      <c r="U115" s="26"/>
      <c r="V115" s="26"/>
      <c r="W115" s="26"/>
      <c r="X115" s="26"/>
      <c r="Y115" s="26"/>
      <c r="Z115" s="27"/>
      <c r="AA115" s="26"/>
      <c r="AB115" s="26"/>
    </row>
    <row r="116" spans="1:28">
      <c r="A116" s="21" t="str">
        <f ca="1">IFERROR(__xludf.DUMMYFUNCTION("""COMPUTED_VALUE"""),"Affle India")</f>
        <v>Affle India</v>
      </c>
      <c r="B116" s="22">
        <f ca="1">IFERROR(__xludf.DUMMYFUNCTION("""COMPUTED_VALUE"""),13659)</f>
        <v>13659</v>
      </c>
      <c r="C116" s="21">
        <f ca="1">IFERROR(__xludf.DUMMYFUNCTION("""COMPUTED_VALUE"""),1024)</f>
        <v>1024</v>
      </c>
      <c r="D116" s="21">
        <f ca="1">IFERROR(__xludf.DUMMYFUNCTION("""COMPUTED_VALUE"""),55.83)</f>
        <v>55.83</v>
      </c>
      <c r="E116" s="21">
        <f ca="1">IFERROR(__xludf.DUMMYFUNCTION("""COMPUTED_VALUE"""),1511)</f>
        <v>1511</v>
      </c>
      <c r="F116" s="24">
        <f ca="1">IFERROR(__xludf.DUMMYFUNCTION("""COMPUTED_VALUE"""),0.322303110522832)</f>
        <v>0.322303110522832</v>
      </c>
      <c r="G116" s="21">
        <f ca="1">IFERROR(__xludf.DUMMYFUNCTION("""COMPUTED_VALUE"""),871.55)</f>
        <v>871.55</v>
      </c>
      <c r="H116" s="24">
        <f ca="1">IFERROR(__xludf.DUMMYFUNCTION("""COMPUTED_VALUE"""),0.174918249096437)</f>
        <v>0.174918249096437</v>
      </c>
      <c r="I116" s="21">
        <f ca="1">IFERROR(__xludf.DUMMYFUNCTION("""COMPUTED_VALUE"""),1035.55)</f>
        <v>1035.55</v>
      </c>
      <c r="J116" s="24">
        <f ca="1">IFERROR(__xludf.DUMMYFUNCTION("""COMPUTED_VALUE"""),-0.0111534933127323)</f>
        <v>-1.1153493312732301E-2</v>
      </c>
      <c r="K116" s="24" t="str">
        <f ca="1"/>
        <v>Technology</v>
      </c>
      <c r="L116" s="24" t="str">
        <f ca="1"/>
        <v>AFFLE</v>
      </c>
      <c r="M116" s="24" t="str">
        <f ca="1"/>
        <v>Yes</v>
      </c>
      <c r="N116" s="24" t="str">
        <f ca="1"/>
        <v>Yes</v>
      </c>
      <c r="O116" s="25" t="str">
        <f t="array" aca="1" ref="O116" ca="1">IF(AND(D116&lt;65,M116="No", N116="No"),"Good Stock","")</f>
        <v/>
      </c>
      <c r="P116" s="24" t="str">
        <f t="shared" ca="1" si="0"/>
        <v>Low Cap</v>
      </c>
      <c r="Q116" s="26"/>
      <c r="R116" s="26"/>
      <c r="S116" s="26"/>
      <c r="T116" s="26"/>
      <c r="U116" s="26"/>
      <c r="V116" s="26"/>
      <c r="W116" s="26"/>
      <c r="X116" s="26"/>
      <c r="Y116" s="26"/>
      <c r="Z116" s="27"/>
      <c r="AA116" s="26"/>
      <c r="AB116" s="26"/>
    </row>
    <row r="117" spans="1:28">
      <c r="A117" s="21" t="str">
        <f ca="1">IFERROR(__xludf.DUMMYFUNCTION("""COMPUTED_VALUE"""),"KEI Industries")</f>
        <v>KEI Industries</v>
      </c>
      <c r="B117" s="22">
        <f ca="1">IFERROR(__xludf.DUMMYFUNCTION("""COMPUTED_VALUE"""),12966.0743501)</f>
        <v>12966.0743501</v>
      </c>
      <c r="C117" s="21">
        <f ca="1">IFERROR(__xludf.DUMMYFUNCTION("""COMPUTED_VALUE"""),1436.05)</f>
        <v>1436.05</v>
      </c>
      <c r="D117" s="21">
        <f ca="1">IFERROR(__xludf.DUMMYFUNCTION("""COMPUTED_VALUE"""),30.59)</f>
        <v>30.59</v>
      </c>
      <c r="E117" s="21">
        <f ca="1">IFERROR(__xludf.DUMMYFUNCTION("""COMPUTED_VALUE"""),1662.45)</f>
        <v>1662.45</v>
      </c>
      <c r="F117" s="24">
        <f ca="1">IFERROR(__xludf.DUMMYFUNCTION("""COMPUTED_VALUE"""),0.136184546903666)</f>
        <v>0.13618454690366599</v>
      </c>
      <c r="G117" s="21">
        <f ca="1">IFERROR(__xludf.DUMMYFUNCTION("""COMPUTED_VALUE"""),905.2)</f>
        <v>905.2</v>
      </c>
      <c r="H117" s="24">
        <f ca="1">IFERROR(__xludf.DUMMYFUNCTION("""COMPUTED_VALUE"""),0.586444984533804)</f>
        <v>0.586444984533804</v>
      </c>
      <c r="I117" s="21">
        <f ca="1">IFERROR(__xludf.DUMMYFUNCTION("""COMPUTED_VALUE"""),1435.2)</f>
        <v>1435.2</v>
      </c>
      <c r="J117" s="24">
        <f ca="1">IFERROR(__xludf.DUMMYFUNCTION("""COMPUTED_VALUE"""),0.000592251950947539)</f>
        <v>5.9225195094753905E-4</v>
      </c>
      <c r="K117" s="24" t="str">
        <f ca="1"/>
        <v>Consumer Electrical</v>
      </c>
      <c r="L117" s="24" t="str">
        <f ca="1"/>
        <v>BOM:517569</v>
      </c>
      <c r="M117" s="24" t="str">
        <f ca="1"/>
        <v>No</v>
      </c>
      <c r="N117" s="24" t="str">
        <f ca="1"/>
        <v>No</v>
      </c>
      <c r="O117" s="25" t="str">
        <f t="array" aca="1" ref="O117" ca="1">IF(AND(D117&lt;65,M117="No", N117="No"),"Good Stock","")</f>
        <v>Good Stock</v>
      </c>
      <c r="P117" s="24" t="str">
        <f t="shared" ca="1" si="0"/>
        <v>Low Cap</v>
      </c>
      <c r="Q117" s="26"/>
      <c r="R117" s="26"/>
      <c r="S117" s="26"/>
      <c r="T117" s="26"/>
      <c r="U117" s="26"/>
      <c r="V117" s="26"/>
      <c r="W117" s="26"/>
      <c r="X117" s="26"/>
      <c r="Y117" s="26"/>
      <c r="Z117" s="27"/>
      <c r="AA117" s="26"/>
      <c r="AB117" s="26"/>
    </row>
    <row r="118" spans="1:28">
      <c r="A118" s="21" t="str">
        <f ca="1">IFERROR(__xludf.DUMMYFUNCTION("""COMPUTED_VALUE"""),"IEX")</f>
        <v>IEX</v>
      </c>
      <c r="B118" s="22">
        <f ca="1">IFERROR(__xludf.DUMMYFUNCTION("""COMPUTED_VALUE"""),12685.7721399)</f>
        <v>12685.7721399</v>
      </c>
      <c r="C118" s="21">
        <f ca="1">IFERROR(__xludf.DUMMYFUNCTION("""COMPUTED_VALUE"""),141.55)</f>
        <v>141.55000000000001</v>
      </c>
      <c r="D118" s="21">
        <f ca="1">IFERROR(__xludf.DUMMYFUNCTION("""COMPUTED_VALUE"""),41.14)</f>
        <v>41.14</v>
      </c>
      <c r="E118" s="21">
        <f ca="1">IFERROR(__xludf.DUMMYFUNCTION("""COMPUTED_VALUE"""),271.95)</f>
        <v>271.95</v>
      </c>
      <c r="F118" s="24">
        <f ca="1">IFERROR(__xludf.DUMMYFUNCTION("""COMPUTED_VALUE"""),0.479499908071336)</f>
        <v>0.47949990807133602</v>
      </c>
      <c r="G118" s="21">
        <f ca="1">IFERROR(__xludf.DUMMYFUNCTION("""COMPUTED_VALUE"""),129.25)</f>
        <v>129.25</v>
      </c>
      <c r="H118" s="24">
        <f ca="1">IFERROR(__xludf.DUMMYFUNCTION("""COMPUTED_VALUE"""),0.0951644100580271)</f>
        <v>9.5164410058027102E-2</v>
      </c>
      <c r="I118" s="21">
        <f ca="1">IFERROR(__xludf.DUMMYFUNCTION("""COMPUTED_VALUE"""),141.4)</f>
        <v>141.4</v>
      </c>
      <c r="J118" s="24">
        <f ca="1">IFERROR(__xludf.DUMMYFUNCTION("""COMPUTED_VALUE"""),0.0010608203677511)</f>
        <v>1.0608203677511001E-3</v>
      </c>
      <c r="K118" s="24" t="str">
        <f ca="1"/>
        <v>Technology</v>
      </c>
      <c r="L118" s="24" t="str">
        <f ca="1"/>
        <v>BOM:540750</v>
      </c>
      <c r="M118" s="24" t="str">
        <f ca="1"/>
        <v>Yes</v>
      </c>
      <c r="N118" s="24" t="str">
        <f ca="1"/>
        <v>Yes</v>
      </c>
      <c r="O118" s="25" t="str">
        <f t="array" aca="1" ref="O118" ca="1">IF(AND(D118&lt;65,M118="No", N118="No"),"Good Stock","")</f>
        <v/>
      </c>
      <c r="P118" s="24" t="str">
        <f t="shared" ca="1" si="0"/>
        <v>Low Cap</v>
      </c>
      <c r="Q118" s="26"/>
      <c r="R118" s="26"/>
      <c r="S118" s="26"/>
      <c r="T118" s="26"/>
      <c r="U118" s="26"/>
      <c r="V118" s="26"/>
      <c r="W118" s="26"/>
      <c r="X118" s="26"/>
      <c r="Y118" s="26"/>
      <c r="Z118" s="27"/>
      <c r="AA118" s="26"/>
      <c r="AB118" s="26"/>
    </row>
    <row r="119" spans="1:28">
      <c r="A119" s="21" t="str">
        <f ca="1">IFERROR(__xludf.DUMMYFUNCTION("""COMPUTED_VALUE"""),"Happiest Mind")</f>
        <v>Happiest Mind</v>
      </c>
      <c r="B119" s="22">
        <f ca="1">IFERROR(__xludf.DUMMYFUNCTION("""COMPUTED_VALUE"""),12642.1534329)</f>
        <v>12642.153432900001</v>
      </c>
      <c r="C119" s="21">
        <f ca="1">IFERROR(__xludf.DUMMYFUNCTION("""COMPUTED_VALUE"""),885.05)</f>
        <v>885.05</v>
      </c>
      <c r="D119" s="21">
        <f ca="1">IFERROR(__xludf.DUMMYFUNCTION("""COMPUTED_VALUE"""),59.08)</f>
        <v>59.08</v>
      </c>
      <c r="E119" s="21">
        <f ca="1">IFERROR(__xludf.DUMMYFUNCTION("""COMPUTED_VALUE"""),1359.85)</f>
        <v>1359.85</v>
      </c>
      <c r="F119" s="24">
        <f ca="1">IFERROR(__xludf.DUMMYFUNCTION("""COMPUTED_VALUE"""),0.349156156929073)</f>
        <v>0.34915615692907298</v>
      </c>
      <c r="G119" s="21">
        <f ca="1">IFERROR(__xludf.DUMMYFUNCTION("""COMPUTED_VALUE"""),785.55)</f>
        <v>785.55</v>
      </c>
      <c r="H119" s="24">
        <f ca="1">IFERROR(__xludf.DUMMYFUNCTION("""COMPUTED_VALUE"""),0.126662847686334)</f>
        <v>0.12666284768633401</v>
      </c>
      <c r="I119" s="21">
        <f ca="1">IFERROR(__xludf.DUMMYFUNCTION("""COMPUTED_VALUE"""),884.65)</f>
        <v>884.65</v>
      </c>
      <c r="J119" s="24">
        <f ca="1">IFERROR(__xludf.DUMMYFUNCTION("""COMPUTED_VALUE"""),0.000452156219973975)</f>
        <v>4.5215621997397502E-4</v>
      </c>
      <c r="K119" s="24" t="str">
        <f ca="1"/>
        <v>IT</v>
      </c>
      <c r="L119" s="24" t="str">
        <f ca="1"/>
        <v>BOM:543227</v>
      </c>
      <c r="M119" s="24" t="str">
        <f ca="1"/>
        <v>Yes</v>
      </c>
      <c r="N119" s="24" t="str">
        <f ca="1"/>
        <v>Yes</v>
      </c>
      <c r="O119" s="25" t="str">
        <f t="array" aca="1" ref="O119" ca="1">IF(AND(D119&lt;65,M119="No", N119="No"),"Good Stock","")</f>
        <v/>
      </c>
      <c r="P119" s="24" t="str">
        <f t="shared" ca="1" si="0"/>
        <v>Low Cap</v>
      </c>
      <c r="Q119" s="26"/>
      <c r="R119" s="26"/>
      <c r="S119" s="26"/>
      <c r="T119" s="26"/>
      <c r="U119" s="26"/>
      <c r="V119" s="26"/>
      <c r="W119" s="26"/>
      <c r="X119" s="26"/>
      <c r="Y119" s="26"/>
      <c r="Z119" s="27"/>
      <c r="AA119" s="26"/>
      <c r="AB119" s="26"/>
    </row>
    <row r="120" spans="1:28">
      <c r="A120" s="21" t="str">
        <f ca="1">IFERROR(__xludf.DUMMYFUNCTION("""COMPUTED_VALUE"""),"Sheela Form")</f>
        <v>Sheela Form</v>
      </c>
      <c r="B120" s="22">
        <f ca="1">IFERROR(__xludf.DUMMYFUNCTION("""COMPUTED_VALUE"""),12260.1)</f>
        <v>12260.1</v>
      </c>
      <c r="C120" s="21">
        <f ca="1">IFERROR(__xludf.DUMMYFUNCTION("""COMPUTED_VALUE"""),1260)</f>
        <v>1260</v>
      </c>
      <c r="D120" s="21">
        <f ca="1">IFERROR(__xludf.DUMMYFUNCTION("""COMPUTED_VALUE"""),57.79)</f>
        <v>57.79</v>
      </c>
      <c r="E120" s="21">
        <f ca="1">IFERROR(__xludf.DUMMYFUNCTION("""COMPUTED_VALUE"""),2027)</f>
        <v>2027</v>
      </c>
      <c r="F120" s="24">
        <f ca="1">IFERROR(__xludf.DUMMYFUNCTION("""COMPUTED_VALUE"""),0.378391711889491)</f>
        <v>0.378391711889491</v>
      </c>
      <c r="G120" s="21">
        <f ca="1">IFERROR(__xludf.DUMMYFUNCTION("""COMPUTED_VALUE"""),1204.15)</f>
        <v>1204.1500000000001</v>
      </c>
      <c r="H120" s="24">
        <f ca="1">IFERROR(__xludf.DUMMYFUNCTION("""COMPUTED_VALUE"""),0.0463812647925922)</f>
        <v>4.6381264792592199E-2</v>
      </c>
      <c r="I120" s="21">
        <f ca="1">IFERROR(__xludf.DUMMYFUNCTION("""COMPUTED_VALUE"""),1251.3)</f>
        <v>1251.3</v>
      </c>
      <c r="J120" s="24">
        <f ca="1">IFERROR(__xludf.DUMMYFUNCTION("""COMPUTED_VALUE"""),0.00695276912011511)</f>
        <v>6.9527691201151098E-3</v>
      </c>
      <c r="K120" s="24" t="str">
        <f ca="1"/>
        <v>Form</v>
      </c>
      <c r="L120" s="24" t="str">
        <f ca="1"/>
        <v>BOM:540203</v>
      </c>
      <c r="M120" s="24" t="str">
        <f ca="1"/>
        <v>Yes</v>
      </c>
      <c r="N120" s="24" t="str">
        <f ca="1"/>
        <v>Yes</v>
      </c>
      <c r="O120" s="25" t="str">
        <f t="array" aca="1" ref="O120" ca="1">IF(AND(D120&lt;65,M120="No", N120="No"),"Good Stock","")</f>
        <v/>
      </c>
      <c r="P120" s="24" t="str">
        <f t="shared" ca="1" si="0"/>
        <v>Low Cap</v>
      </c>
      <c r="Q120" s="26"/>
      <c r="R120" s="26"/>
      <c r="S120" s="26"/>
      <c r="T120" s="26"/>
      <c r="U120" s="26"/>
      <c r="V120" s="26"/>
      <c r="W120" s="26"/>
      <c r="X120" s="26"/>
      <c r="Y120" s="26"/>
      <c r="Z120" s="27"/>
      <c r="AA120" s="26"/>
      <c r="AB120" s="26"/>
    </row>
    <row r="121" spans="1:28">
      <c r="A121" s="21" t="str">
        <f ca="1">IFERROR(__xludf.DUMMYFUNCTION("""COMPUTED_VALUE"""),"Century Plyboard")</f>
        <v>Century Plyboard</v>
      </c>
      <c r="B121" s="22">
        <f ca="1">IFERROR(__xludf.DUMMYFUNCTION("""COMPUTED_VALUE"""),11658.528175)</f>
        <v>11658.528174999999</v>
      </c>
      <c r="C121" s="21">
        <f ca="1">IFERROR(__xludf.DUMMYFUNCTION("""COMPUTED_VALUE"""),523.9)</f>
        <v>523.9</v>
      </c>
      <c r="D121" s="21">
        <f ca="1">IFERROR(__xludf.DUMMYFUNCTION("""COMPUTED_VALUE"""),31.54)</f>
        <v>31.54</v>
      </c>
      <c r="E121" s="21">
        <f ca="1">IFERROR(__xludf.DUMMYFUNCTION("""COMPUTED_VALUE"""),749)</f>
        <v>749</v>
      </c>
      <c r="F121" s="24">
        <f ca="1">IFERROR(__xludf.DUMMYFUNCTION("""COMPUTED_VALUE"""),0.300534045393858)</f>
        <v>0.30053404539385797</v>
      </c>
      <c r="G121" s="21">
        <f ca="1">IFERROR(__xludf.DUMMYFUNCTION("""COMPUTED_VALUE"""),484.7)</f>
        <v>484.7</v>
      </c>
      <c r="H121" s="24">
        <f ca="1">IFERROR(__xludf.DUMMYFUNCTION("""COMPUTED_VALUE"""),0.0808747678976686)</f>
        <v>8.0874767897668606E-2</v>
      </c>
      <c r="I121" s="21">
        <f ca="1">IFERROR(__xludf.DUMMYFUNCTION("""COMPUTED_VALUE"""),517.65)</f>
        <v>517.65</v>
      </c>
      <c r="J121" s="24">
        <f ca="1">IFERROR(__xludf.DUMMYFUNCTION("""COMPUTED_VALUE"""),0.0120737950352554)</f>
        <v>1.2073795035255399E-2</v>
      </c>
      <c r="K121" s="24" t="str">
        <f ca="1"/>
        <v>Playboard</v>
      </c>
      <c r="L121" s="24" t="str">
        <f ca="1"/>
        <v>BOM:532548</v>
      </c>
      <c r="M121" s="24" t="str">
        <f ca="1"/>
        <v>Yes</v>
      </c>
      <c r="N121" s="24" t="str">
        <f ca="1"/>
        <v>Yes</v>
      </c>
      <c r="O121" s="25" t="str">
        <f t="array" aca="1" ref="O121" ca="1">IF(AND(D121&lt;65,M121="No", N121="No"),"Good Stock","")</f>
        <v/>
      </c>
      <c r="P121" s="24" t="str">
        <f t="shared" ca="1" si="0"/>
        <v>Low Cap</v>
      </c>
      <c r="Q121" s="26"/>
      <c r="R121" s="26"/>
      <c r="S121" s="26"/>
      <c r="T121" s="26"/>
      <c r="U121" s="26"/>
      <c r="V121" s="26"/>
      <c r="W121" s="26"/>
      <c r="X121" s="26"/>
      <c r="Y121" s="26"/>
      <c r="Z121" s="27"/>
      <c r="AA121" s="26"/>
      <c r="AB121" s="26"/>
    </row>
    <row r="122" spans="1:28">
      <c r="A122" s="21" t="str">
        <f ca="1">IFERROR(__xludf.DUMMYFUNCTION("""COMPUTED_VALUE"""),"CDSL")</f>
        <v>CDSL</v>
      </c>
      <c r="B122" s="22">
        <f ca="1">IFERROR(__xludf.DUMMYFUNCTION("""COMPUTED_VALUE"""),11261.44)</f>
        <v>11261.44</v>
      </c>
      <c r="C122" s="21">
        <f ca="1">IFERROR(__xludf.DUMMYFUNCTION("""COMPUTED_VALUE"""),1077.9)</f>
        <v>1077.9000000000001</v>
      </c>
      <c r="D122" s="21">
        <f ca="1">IFERROR(__xludf.DUMMYFUNCTION("""COMPUTED_VALUE"""),37.61)</f>
        <v>37.61</v>
      </c>
      <c r="E122" s="21">
        <f ca="1">IFERROR(__xludf.DUMMYFUNCTION("""COMPUTED_VALUE"""),1654)</f>
        <v>1654</v>
      </c>
      <c r="F122" s="24">
        <f ca="1">IFERROR(__xludf.DUMMYFUNCTION("""COMPUTED_VALUE"""),0.348307134220072)</f>
        <v>0.34830713422007198</v>
      </c>
      <c r="G122" s="21">
        <f ca="1">IFERROR(__xludf.DUMMYFUNCTION("""COMPUTED_VALUE"""),1015)</f>
        <v>1015</v>
      </c>
      <c r="H122" s="24">
        <f ca="1">IFERROR(__xludf.DUMMYFUNCTION("""COMPUTED_VALUE"""),0.0619704433497537)</f>
        <v>6.1970443349753698E-2</v>
      </c>
      <c r="I122" s="21">
        <f ca="1">IFERROR(__xludf.DUMMYFUNCTION("""COMPUTED_VALUE"""),1078.65)</f>
        <v>1078.6500000000001</v>
      </c>
      <c r="J122" s="24">
        <f ca="1">IFERROR(__xludf.DUMMYFUNCTION("""COMPUTED_VALUE"""),-0.000695313586427478)</f>
        <v>-6.95313586427478E-4</v>
      </c>
      <c r="K122" s="24" t="str">
        <f ca="1"/>
        <v>Technology</v>
      </c>
      <c r="L122" s="24" t="str">
        <f ca="1"/>
        <v>CDSL</v>
      </c>
      <c r="M122" s="24" t="str">
        <f ca="1"/>
        <v>Yes</v>
      </c>
      <c r="N122" s="24" t="str">
        <f ca="1"/>
        <v>Yes</v>
      </c>
      <c r="O122" s="25" t="str">
        <f t="array" aca="1" ref="O122" ca="1">IF(AND(D122&lt;65,M122="No", N122="No"),"Good Stock","")</f>
        <v/>
      </c>
      <c r="P122" s="24" t="str">
        <f t="shared" ca="1" si="0"/>
        <v>Low Cap</v>
      </c>
      <c r="Q122" s="26"/>
      <c r="R122" s="26"/>
      <c r="S122" s="26"/>
      <c r="T122" s="26"/>
      <c r="U122" s="26"/>
      <c r="V122" s="26"/>
      <c r="W122" s="26"/>
      <c r="X122" s="26"/>
      <c r="Y122" s="26"/>
      <c r="Z122" s="27"/>
      <c r="AA122" s="26"/>
      <c r="AB122" s="26"/>
    </row>
    <row r="123" spans="1:28">
      <c r="A123" s="21" t="str">
        <f ca="1">IFERROR(__xludf.DUMMYFUNCTION("""COMPUTED_VALUE"""),"CAMS")</f>
        <v>CAMS</v>
      </c>
      <c r="B123" s="22">
        <f ca="1">IFERROR(__xludf.DUMMYFUNCTION("""COMPUTED_VALUE"""),11180.9471528)</f>
        <v>11180.947152799999</v>
      </c>
      <c r="C123" s="21">
        <f ca="1">IFERROR(__xludf.DUMMYFUNCTION("""COMPUTED_VALUE"""),2274)</f>
        <v>2274</v>
      </c>
      <c r="D123" s="21">
        <f ca="1">IFERROR(__xludf.DUMMYFUNCTION("""COMPUTED_VALUE"""),38.87)</f>
        <v>38.869999999999997</v>
      </c>
      <c r="E123" s="21">
        <f ca="1">IFERROR(__xludf.DUMMYFUNCTION("""COMPUTED_VALUE"""),2971.5)</f>
        <v>2971.5</v>
      </c>
      <c r="F123" s="24">
        <f ca="1">IFERROR(__xludf.DUMMYFUNCTION("""COMPUTED_VALUE"""),0.234729934376577)</f>
        <v>0.23472993437657699</v>
      </c>
      <c r="G123" s="21">
        <f ca="1">IFERROR(__xludf.DUMMYFUNCTION("""COMPUTED_VALUE"""),2037.15)</f>
        <v>2037.15</v>
      </c>
      <c r="H123" s="24">
        <f ca="1">IFERROR(__xludf.DUMMYFUNCTION("""COMPUTED_VALUE"""),0.116265370738531)</f>
        <v>0.11626537073853099</v>
      </c>
      <c r="I123" s="21">
        <f ca="1">IFERROR(__xludf.DUMMYFUNCTION("""COMPUTED_VALUE"""),2235.75)</f>
        <v>2235.75</v>
      </c>
      <c r="J123" s="24">
        <f ca="1">IFERROR(__xludf.DUMMYFUNCTION("""COMPUTED_VALUE"""),0.0171083529017108)</f>
        <v>1.71083529017108E-2</v>
      </c>
      <c r="K123" s="24" t="str">
        <f ca="1"/>
        <v>Technology</v>
      </c>
      <c r="L123" s="24" t="str">
        <f ca="1"/>
        <v>NSE:CAMS</v>
      </c>
      <c r="M123" s="24" t="str">
        <f ca="1"/>
        <v>No</v>
      </c>
      <c r="N123" s="24" t="str">
        <f ca="1"/>
        <v>Yes</v>
      </c>
      <c r="O123" s="25" t="str">
        <f t="array" aca="1" ref="O123" ca="1">IF(AND(D123&lt;65,M123="No", N123="No"),"Good Stock","")</f>
        <v/>
      </c>
      <c r="P123" s="24" t="str">
        <f t="shared" ca="1" si="0"/>
        <v>Low Cap</v>
      </c>
      <c r="Q123" s="26"/>
      <c r="R123" s="26"/>
      <c r="S123" s="26"/>
      <c r="T123" s="26"/>
      <c r="U123" s="26"/>
      <c r="V123" s="26"/>
      <c r="W123" s="26"/>
      <c r="X123" s="26"/>
      <c r="Y123" s="26"/>
      <c r="Z123" s="27"/>
      <c r="AA123" s="26"/>
      <c r="AB123" s="26"/>
    </row>
    <row r="124" spans="1:28">
      <c r="A124" s="21" t="str">
        <f ca="1">IFERROR(__xludf.DUMMYFUNCTION("""COMPUTED_VALUE"""),"HDFC Bank")</f>
        <v>HDFC Bank</v>
      </c>
      <c r="B124" s="22">
        <f ca="1">IFERROR(__xludf.DUMMYFUNCTION("""COMPUTED_VALUE"""),11060.0657861)</f>
        <v>11060.0657861</v>
      </c>
      <c r="C124" s="21">
        <f ca="1">IFERROR(__xludf.DUMMYFUNCTION("""COMPUTED_VALUE"""),1601)</f>
        <v>1601</v>
      </c>
      <c r="D124" s="21">
        <f ca="1">IFERROR(__xludf.DUMMYFUNCTION("""COMPUTED_VALUE"""),21.39)</f>
        <v>21.39</v>
      </c>
      <c r="E124" s="21">
        <f ca="1">IFERROR(__xludf.DUMMYFUNCTION("""COMPUTED_VALUE"""),1722.1)</f>
        <v>1722.1</v>
      </c>
      <c r="F124" s="24">
        <f ca="1">IFERROR(__xludf.DUMMYFUNCTION("""COMPUTED_VALUE"""),0.0703211195633238)</f>
        <v>7.0321119563323806E-2</v>
      </c>
      <c r="G124" s="21">
        <f ca="1">IFERROR(__xludf.DUMMYFUNCTION("""COMPUTED_VALUE"""),1271.6)</f>
        <v>1271.5999999999999</v>
      </c>
      <c r="H124" s="24">
        <f ca="1">IFERROR(__xludf.DUMMYFUNCTION("""COMPUTED_VALUE"""),0.259043724441648)</f>
        <v>0.25904372444164803</v>
      </c>
      <c r="I124" s="21">
        <f ca="1">IFERROR(__xludf.DUMMYFUNCTION("""COMPUTED_VALUE"""),1599.4)</f>
        <v>1599.4</v>
      </c>
      <c r="J124" s="24">
        <f ca="1">IFERROR(__xludf.DUMMYFUNCTION("""COMPUTED_VALUE"""),0.00100037514067769)</f>
        <v>1.0003751406776899E-3</v>
      </c>
      <c r="K124" s="24" t="str">
        <f ca="1"/>
        <v>Bank</v>
      </c>
      <c r="L124" s="24" t="str">
        <f ca="1"/>
        <v>HDFCBANK</v>
      </c>
      <c r="M124" s="24" t="str">
        <f ca="1"/>
        <v>No</v>
      </c>
      <c r="N124" s="24" t="str">
        <f ca="1"/>
        <v>Yes</v>
      </c>
      <c r="O124" s="25" t="str">
        <f t="array" aca="1" ref="O124" ca="1">IF(AND(D124&lt;65,M124="No", N124="No"),"Good Stock","")</f>
        <v/>
      </c>
      <c r="P124" s="24" t="str">
        <f t="shared" ca="1" si="0"/>
        <v>Low Cap</v>
      </c>
      <c r="Q124" s="26"/>
      <c r="R124" s="26"/>
      <c r="S124" s="26"/>
      <c r="T124" s="26"/>
      <c r="U124" s="26"/>
      <c r="V124" s="26"/>
      <c r="W124" s="26"/>
      <c r="X124" s="26"/>
      <c r="Y124" s="26"/>
      <c r="Z124" s="27"/>
      <c r="AA124" s="26"/>
      <c r="AB124" s="26"/>
    </row>
    <row r="125" spans="1:28">
      <c r="A125" s="21" t="str">
        <f ca="1">IFERROR(__xludf.DUMMYFUNCTION("""COMPUTED_VALUE"""),"TTK Prestige")</f>
        <v>TTK Prestige</v>
      </c>
      <c r="B125" s="22">
        <f ca="1">IFERROR(__xludf.DUMMYFUNCTION("""COMPUTED_VALUE"""),10943.5753)</f>
        <v>10943.5753</v>
      </c>
      <c r="C125" s="21">
        <f ca="1">IFERROR(__xludf.DUMMYFUNCTION("""COMPUTED_VALUE"""),789.5)</f>
        <v>789.5</v>
      </c>
      <c r="D125" s="21">
        <f ca="1">IFERROR(__xludf.DUMMYFUNCTION("""COMPUTED_VALUE"""),35.54)</f>
        <v>35.54</v>
      </c>
      <c r="E125" s="21">
        <f ca="1">IFERROR(__xludf.DUMMYFUNCTION("""COMPUTED_VALUE"""),1049.9)</f>
        <v>1049.9000000000001</v>
      </c>
      <c r="F125" s="24">
        <f ca="1">IFERROR(__xludf.DUMMYFUNCTION("""COMPUTED_VALUE"""),0.248023621297266)</f>
        <v>0.24802362129726599</v>
      </c>
      <c r="G125" s="21">
        <f ca="1">IFERROR(__xludf.DUMMYFUNCTION("""COMPUTED_VALUE"""),744.7)</f>
        <v>744.7</v>
      </c>
      <c r="H125" s="24">
        <f ca="1">IFERROR(__xludf.DUMMYFUNCTION("""COMPUTED_VALUE"""),0.0601584530683496)</f>
        <v>6.0158453068349597E-2</v>
      </c>
      <c r="I125" s="21">
        <f ca="1">IFERROR(__xludf.DUMMYFUNCTION("""COMPUTED_VALUE"""),794.05)</f>
        <v>794.05</v>
      </c>
      <c r="J125" s="24">
        <f ca="1">IFERROR(__xludf.DUMMYFUNCTION("""COMPUTED_VALUE"""),-0.0057301177507713)</f>
        <v>-5.7301177507713E-3</v>
      </c>
      <c r="K125" s="24" t="str">
        <f ca="1"/>
        <v>Consumer Electrical</v>
      </c>
      <c r="L125" s="24" t="str">
        <f ca="1"/>
        <v>TTKPRESTIG</v>
      </c>
      <c r="M125" s="24" t="str">
        <f ca="1"/>
        <v>No</v>
      </c>
      <c r="N125" s="24" t="str">
        <f ca="1"/>
        <v>Yes</v>
      </c>
      <c r="O125" s="25" t="str">
        <f t="array" aca="1" ref="O125" ca="1">IF(AND(D125&lt;65,M125="No", N125="No"),"Good Stock","")</f>
        <v/>
      </c>
      <c r="P125" s="24" t="str">
        <f t="shared" ca="1" si="0"/>
        <v>Low Cap</v>
      </c>
      <c r="Q125" s="26"/>
      <c r="R125" s="26"/>
      <c r="S125" s="26"/>
      <c r="T125" s="26"/>
      <c r="U125" s="26"/>
      <c r="V125" s="26"/>
      <c r="W125" s="26"/>
      <c r="X125" s="26"/>
      <c r="Y125" s="26"/>
      <c r="Z125" s="27"/>
      <c r="AA125" s="26"/>
      <c r="AB125" s="26"/>
    </row>
    <row r="126" spans="1:28">
      <c r="A126" s="21" t="str">
        <f ca="1">IFERROR(__xludf.DUMMYFUNCTION("""COMPUTED_VALUE"""),"Alembic Pharma")</f>
        <v>Alembic Pharma</v>
      </c>
      <c r="B126" s="22">
        <f ca="1">IFERROR(__xludf.DUMMYFUNCTION("""COMPUTED_VALUE"""),10913.18)</f>
        <v>10913.18</v>
      </c>
      <c r="C126" s="21">
        <f ca="1">IFERROR(__xludf.DUMMYFUNCTION("""COMPUTED_VALUE"""),555)</f>
        <v>555</v>
      </c>
      <c r="D126" s="21">
        <f ca="1">IFERROR(__xludf.DUMMYFUNCTION("""COMPUTED_VALUE"""),42.84)</f>
        <v>42.84</v>
      </c>
      <c r="E126" s="21">
        <f ca="1">IFERROR(__xludf.DUMMYFUNCTION("""COMPUTED_VALUE"""),822.8)</f>
        <v>822.8</v>
      </c>
      <c r="F126" s="24">
        <f ca="1">IFERROR(__xludf.DUMMYFUNCTION("""COMPUTED_VALUE"""),0.325473991249392)</f>
        <v>0.32547399124939203</v>
      </c>
      <c r="G126" s="21">
        <f ca="1">IFERROR(__xludf.DUMMYFUNCTION("""COMPUTED_VALUE"""),540)</f>
        <v>540</v>
      </c>
      <c r="H126" s="24">
        <f ca="1">IFERROR(__xludf.DUMMYFUNCTION("""COMPUTED_VALUE"""),0.0277777777777777)</f>
        <v>2.77777777777777E-2</v>
      </c>
      <c r="I126" s="21">
        <f ca="1">IFERROR(__xludf.DUMMYFUNCTION("""COMPUTED_VALUE"""),557.4)</f>
        <v>557.4</v>
      </c>
      <c r="J126" s="24">
        <f ca="1">IFERROR(__xludf.DUMMYFUNCTION("""COMPUTED_VALUE"""),-0.0043057050592034)</f>
        <v>-4.3057050592033999E-3</v>
      </c>
      <c r="K126" s="24" t="str">
        <f ca="1"/>
        <v>Pharma</v>
      </c>
      <c r="L126" s="24" t="str">
        <f ca="1"/>
        <v>APLLTD</v>
      </c>
      <c r="M126" s="24" t="str">
        <f ca="1"/>
        <v>Yes</v>
      </c>
      <c r="N126" s="24" t="str">
        <f ca="1"/>
        <v>Yes</v>
      </c>
      <c r="O126" s="25" t="str">
        <f t="array" aca="1" ref="O126" ca="1">IF(AND(D126&lt;65,M126="No", N126="No"),"Good Stock","")</f>
        <v/>
      </c>
      <c r="P126" s="24" t="str">
        <f t="shared" ca="1" si="0"/>
        <v>Low Cap</v>
      </c>
      <c r="Q126" s="26"/>
      <c r="R126" s="26"/>
      <c r="S126" s="26"/>
      <c r="T126" s="26"/>
      <c r="U126" s="26"/>
      <c r="V126" s="26"/>
      <c r="W126" s="26"/>
      <c r="X126" s="26"/>
      <c r="Y126" s="26"/>
      <c r="Z126" s="27"/>
      <c r="AA126" s="26"/>
      <c r="AB126" s="26"/>
    </row>
    <row r="127" spans="1:28">
      <c r="A127" s="21" t="str">
        <f ca="1">IFERROR(__xludf.DUMMYFUNCTION("""COMPUTED_VALUE"""),"Finolex Industries")</f>
        <v>Finolex Industries</v>
      </c>
      <c r="B127" s="22">
        <f ca="1">IFERROR(__xludf.DUMMYFUNCTION("""COMPUTED_VALUE"""),10644.74)</f>
        <v>10644.74</v>
      </c>
      <c r="C127" s="21">
        <f ca="1">IFERROR(__xludf.DUMMYFUNCTION("""COMPUTED_VALUE"""),173)</f>
        <v>173</v>
      </c>
      <c r="D127" s="21">
        <f ca="1">IFERROR(__xludf.DUMMYFUNCTION("""COMPUTED_VALUE"""),15.85)</f>
        <v>15.85</v>
      </c>
      <c r="E127" s="21">
        <f ca="1">IFERROR(__xludf.DUMMYFUNCTION("""COMPUTED_VALUE"""),204.5)</f>
        <v>204.5</v>
      </c>
      <c r="F127" s="24">
        <f ca="1">IFERROR(__xludf.DUMMYFUNCTION("""COMPUTED_VALUE"""),0.15403422982885)</f>
        <v>0.15403422982885001</v>
      </c>
      <c r="G127" s="21">
        <f ca="1">IFERROR(__xludf.DUMMYFUNCTION("""COMPUTED_VALUE"""),128)</f>
        <v>128</v>
      </c>
      <c r="H127" s="24">
        <f ca="1">IFERROR(__xludf.DUMMYFUNCTION("""COMPUTED_VALUE"""),0.3515625)</f>
        <v>0.3515625</v>
      </c>
      <c r="I127" s="21">
        <f ca="1">IFERROR(__xludf.DUMMYFUNCTION("""COMPUTED_VALUE"""),170.9)</f>
        <v>170.9</v>
      </c>
      <c r="J127" s="24">
        <f ca="1">IFERROR(__xludf.DUMMYFUNCTION("""COMPUTED_VALUE"""),0.0122878876535985)</f>
        <v>1.2287887653598501E-2</v>
      </c>
      <c r="K127" s="24" t="str">
        <f ca="1"/>
        <v>Piping</v>
      </c>
      <c r="L127" s="24" t="str">
        <f ca="1"/>
        <v>BOM:500940</v>
      </c>
      <c r="M127" s="24" t="str">
        <f ca="1"/>
        <v>No</v>
      </c>
      <c r="N127" s="24" t="str">
        <f ca="1"/>
        <v>No</v>
      </c>
      <c r="O127" s="25" t="str">
        <f t="array" aca="1" ref="O127" ca="1">IF(AND(D127&lt;65,M127="No", N127="No"),"Good Stock","")</f>
        <v>Good Stock</v>
      </c>
      <c r="P127" s="24" t="str">
        <f t="shared" ca="1" si="0"/>
        <v>Low Cap</v>
      </c>
      <c r="Q127" s="26"/>
      <c r="R127" s="26"/>
      <c r="S127" s="26"/>
      <c r="T127" s="26"/>
      <c r="U127" s="26"/>
      <c r="V127" s="26"/>
      <c r="W127" s="26"/>
      <c r="X127" s="26"/>
      <c r="Y127" s="26"/>
      <c r="Z127" s="27"/>
      <c r="AA127" s="26"/>
      <c r="AB127" s="26"/>
    </row>
    <row r="128" spans="1:28">
      <c r="A128" s="21" t="str">
        <f ca="1">IFERROR(__xludf.DUMMYFUNCTION("""COMPUTED_VALUE"""),"Mannapuran Finance")</f>
        <v>Mannapuran Finance</v>
      </c>
      <c r="B128" s="22">
        <f ca="1">IFERROR(__xludf.DUMMYFUNCTION("""COMPUTED_VALUE"""),10287.9254057)</f>
        <v>10287.9254057</v>
      </c>
      <c r="C128" s="21">
        <f ca="1">IFERROR(__xludf.DUMMYFUNCTION("""COMPUTED_VALUE"""),121.55)</f>
        <v>121.55</v>
      </c>
      <c r="D128" s="21">
        <f ca="1">IFERROR(__xludf.DUMMYFUNCTION("""COMPUTED_VALUE"""),8.7)</f>
        <v>8.6999999999999993</v>
      </c>
      <c r="E128" s="21">
        <f ca="1">IFERROR(__xludf.DUMMYFUNCTION("""COMPUTED_VALUE"""),173.75)</f>
        <v>173.75</v>
      </c>
      <c r="F128" s="24">
        <f ca="1">IFERROR(__xludf.DUMMYFUNCTION("""COMPUTED_VALUE"""),0.300431654676259)</f>
        <v>0.30043165467625899</v>
      </c>
      <c r="G128" s="21">
        <f ca="1">IFERROR(__xludf.DUMMYFUNCTION("""COMPUTED_VALUE"""),81.5)</f>
        <v>81.5</v>
      </c>
      <c r="H128" s="24">
        <f ca="1">IFERROR(__xludf.DUMMYFUNCTION("""COMPUTED_VALUE"""),0.491411042944785)</f>
        <v>0.49141104294478499</v>
      </c>
      <c r="I128" s="21">
        <f ca="1">IFERROR(__xludf.DUMMYFUNCTION("""COMPUTED_VALUE"""),120.15)</f>
        <v>120.15</v>
      </c>
      <c r="J128" s="24">
        <f ca="1">IFERROR(__xludf.DUMMYFUNCTION("""COMPUTED_VALUE"""),0.0116521015397419)</f>
        <v>1.16521015397419E-2</v>
      </c>
      <c r="K128" s="24" t="str">
        <f ca="1"/>
        <v>NBFC</v>
      </c>
      <c r="L128" s="24" t="str">
        <f ca="1"/>
        <v>MANAPPURAM</v>
      </c>
      <c r="M128" s="24" t="str">
        <f ca="1"/>
        <v>Yes</v>
      </c>
      <c r="N128" s="24" t="str">
        <f ca="1"/>
        <v>No</v>
      </c>
      <c r="O128" s="25" t="str">
        <f t="array" aca="1" ref="O128" ca="1">IF(AND(D128&lt;65,M128="No", N128="No"),"Good Stock","")</f>
        <v/>
      </c>
      <c r="P128" s="24" t="str">
        <f t="shared" ca="1" si="0"/>
        <v>Low Cap</v>
      </c>
      <c r="Q128" s="26"/>
      <c r="R128" s="26"/>
      <c r="S128" s="26"/>
      <c r="T128" s="26"/>
      <c r="U128" s="26"/>
      <c r="V128" s="26"/>
      <c r="W128" s="26"/>
      <c r="X128" s="26"/>
      <c r="Y128" s="26"/>
      <c r="Z128" s="27"/>
      <c r="AA128" s="26"/>
      <c r="AB128" s="26"/>
    </row>
    <row r="129" spans="1:28">
      <c r="A129" s="21" t="str">
        <f ca="1">IFERROR(__xludf.DUMMYFUNCTION("""COMPUTED_VALUE"""),"UTI AMC")</f>
        <v>UTI AMC</v>
      </c>
      <c r="B129" s="22">
        <f ca="1">IFERROR(__xludf.DUMMYFUNCTION("""COMPUTED_VALUE"""),10284.2865)</f>
        <v>10284.2865</v>
      </c>
      <c r="C129" s="21">
        <f ca="1">IFERROR(__xludf.DUMMYFUNCTION("""COMPUTED_VALUE"""),807.2)</f>
        <v>807.2</v>
      </c>
      <c r="D129" s="21">
        <f ca="1">IFERROR(__xludf.DUMMYFUNCTION("""COMPUTED_VALUE"""),21.59)</f>
        <v>21.59</v>
      </c>
      <c r="E129" s="21">
        <f ca="1">IFERROR(__xludf.DUMMYFUNCTION("""COMPUTED_VALUE"""),1096.05)</f>
        <v>1096.05</v>
      </c>
      <c r="F129" s="24">
        <f ca="1">IFERROR(__xludf.DUMMYFUNCTION("""COMPUTED_VALUE"""),0.263537247388349)</f>
        <v>0.26353724738834899</v>
      </c>
      <c r="G129" s="21">
        <f ca="1">IFERROR(__xludf.DUMMYFUNCTION("""COMPUTED_VALUE"""),595)</f>
        <v>595</v>
      </c>
      <c r="H129" s="24">
        <f ca="1">IFERROR(__xludf.DUMMYFUNCTION("""COMPUTED_VALUE"""),0.356638655462184)</f>
        <v>0.35663865546218398</v>
      </c>
      <c r="I129" s="21">
        <f ca="1">IFERROR(__xludf.DUMMYFUNCTION("""COMPUTED_VALUE"""),812.9)</f>
        <v>812.9</v>
      </c>
      <c r="J129" s="24">
        <f ca="1">IFERROR(__xludf.DUMMYFUNCTION("""COMPUTED_VALUE"""),-0.00701193258703399)</f>
        <v>-7.0119325870339902E-3</v>
      </c>
      <c r="K129" s="24" t="str">
        <f ca="1"/>
        <v>AMC</v>
      </c>
      <c r="L129" s="24" t="str">
        <f ca="1"/>
        <v>BOM:543238</v>
      </c>
      <c r="M129" s="24" t="str">
        <f ca="1"/>
        <v>No</v>
      </c>
      <c r="N129" s="24" t="str">
        <f ca="1"/>
        <v>No</v>
      </c>
      <c r="O129" s="25" t="str">
        <f t="array" aca="1" ref="O129" ca="1">IF(AND(D129&lt;65,M129="No", N129="No"),"Good Stock","")</f>
        <v>Good Stock</v>
      </c>
      <c r="P129" s="24" t="str">
        <f t="shared" ca="1" si="0"/>
        <v>Low Cap</v>
      </c>
      <c r="Q129" s="26"/>
      <c r="R129" s="26"/>
      <c r="S129" s="26"/>
      <c r="T129" s="26"/>
      <c r="U129" s="26"/>
      <c r="V129" s="26"/>
      <c r="W129" s="26"/>
      <c r="X129" s="26"/>
      <c r="Y129" s="26"/>
      <c r="Z129" s="27"/>
      <c r="AA129" s="26"/>
      <c r="AB129" s="26"/>
    </row>
    <row r="130" spans="1:28">
      <c r="A130" s="21" t="str">
        <f ca="1">IFERROR(__xludf.DUMMYFUNCTION("""COMPUTED_VALUE"""),"HFCL")</f>
        <v>HFCL</v>
      </c>
      <c r="B130" s="22">
        <f ca="1">IFERROR(__xludf.DUMMYFUNCTION("""COMPUTED_VALUE"""),10126.79307)</f>
        <v>10126.79307</v>
      </c>
      <c r="C130" s="21">
        <f ca="1">IFERROR(__xludf.DUMMYFUNCTION("""COMPUTED_VALUE"""),73.6)</f>
        <v>73.599999999999994</v>
      </c>
      <c r="D130" s="21">
        <f ca="1">IFERROR(__xludf.DUMMYFUNCTION("""COMPUTED_VALUE"""),36.15)</f>
        <v>36.15</v>
      </c>
      <c r="E130" s="21">
        <f ca="1">IFERROR(__xludf.DUMMYFUNCTION("""COMPUTED_VALUE"""),101.35)</f>
        <v>101.35</v>
      </c>
      <c r="F130" s="24">
        <f ca="1">IFERROR(__xludf.DUMMYFUNCTION("""COMPUTED_VALUE"""),0.273803650715342)</f>
        <v>0.27380365071534202</v>
      </c>
      <c r="G130" s="21">
        <f ca="1">IFERROR(__xludf.DUMMYFUNCTION("""COMPUTED_VALUE"""),51.55)</f>
        <v>51.55</v>
      </c>
      <c r="H130" s="24">
        <f ca="1">IFERROR(__xludf.DUMMYFUNCTION("""COMPUTED_VALUE"""),0.427740058195926)</f>
        <v>0.42774005819592598</v>
      </c>
      <c r="I130" s="21">
        <f ca="1">IFERROR(__xludf.DUMMYFUNCTION("""COMPUTED_VALUE"""),72.4)</f>
        <v>72.400000000000006</v>
      </c>
      <c r="J130" s="24">
        <f ca="1">IFERROR(__xludf.DUMMYFUNCTION("""COMPUTED_VALUE"""),0.0165745856353589)</f>
        <v>1.65745856353589E-2</v>
      </c>
      <c r="K130" s="24" t="str">
        <f ca="1"/>
        <v>Telecom</v>
      </c>
      <c r="L130" s="24" t="str">
        <f ca="1"/>
        <v>BOM:500183</v>
      </c>
      <c r="M130" s="24" t="str">
        <f ca="1"/>
        <v>No</v>
      </c>
      <c r="N130" s="24" t="str">
        <f ca="1"/>
        <v>No</v>
      </c>
      <c r="O130" s="25" t="str">
        <f t="array" aca="1" ref="O130" ca="1">IF(AND(D130&lt;65,M130="No", N130="No"),"Good Stock","")</f>
        <v>Good Stock</v>
      </c>
      <c r="P130" s="24" t="str">
        <f t="shared" ca="1" si="0"/>
        <v>Low Cap</v>
      </c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26"/>
      <c r="AB130" s="26"/>
    </row>
    <row r="131" spans="1:28">
      <c r="A131" s="21" t="str">
        <f ca="1">IFERROR(__xludf.DUMMYFUNCTION("""COMPUTED_VALUE"""),"Tanla Platform")</f>
        <v>Tanla Platform</v>
      </c>
      <c r="B131" s="22">
        <f ca="1">IFERROR(__xludf.DUMMYFUNCTION("""COMPUTED_VALUE"""),9951.4177429)</f>
        <v>9951.4177428999992</v>
      </c>
      <c r="C131" s="21">
        <f ca="1">IFERROR(__xludf.DUMMYFUNCTION("""COMPUTED_VALUE"""),731.9)</f>
        <v>731.9</v>
      </c>
      <c r="D131" s="21">
        <f ca="1">IFERROR(__xludf.DUMMYFUNCTION("""COMPUTED_VALUE"""),19.49)</f>
        <v>19.489999999999998</v>
      </c>
      <c r="E131" s="21">
        <f ca="1">IFERROR(__xludf.DUMMYFUNCTION("""COMPUTED_VALUE"""),2094.4)</f>
        <v>2094.4</v>
      </c>
      <c r="F131" s="24">
        <f ca="1">IFERROR(__xludf.DUMMYFUNCTION("""COMPUTED_VALUE"""),0.650544308632543)</f>
        <v>0.65054430863254298</v>
      </c>
      <c r="G131" s="21">
        <f ca="1">IFERROR(__xludf.DUMMYFUNCTION("""COMPUTED_VALUE"""),584.8)</f>
        <v>584.79999999999995</v>
      </c>
      <c r="H131" s="24">
        <f ca="1">IFERROR(__xludf.DUMMYFUNCTION("""COMPUTED_VALUE"""),0.251538987688098)</f>
        <v>0.25153898768809801</v>
      </c>
      <c r="I131" s="21">
        <f ca="1">IFERROR(__xludf.DUMMYFUNCTION("""COMPUTED_VALUE"""),724.3)</f>
        <v>724.3</v>
      </c>
      <c r="J131" s="24">
        <f ca="1">IFERROR(__xludf.DUMMYFUNCTION("""COMPUTED_VALUE"""),0.0104928896865939)</f>
        <v>1.04928896865939E-2</v>
      </c>
      <c r="K131" s="24" t="str">
        <f ca="1"/>
        <v>Technology</v>
      </c>
      <c r="L131" s="24" t="str">
        <f ca="1"/>
        <v>BOM:532790</v>
      </c>
      <c r="M131" s="24" t="str">
        <f ca="1"/>
        <v>Yes</v>
      </c>
      <c r="N131" s="24" t="str">
        <f ca="1"/>
        <v>Yes</v>
      </c>
      <c r="O131" s="25" t="str">
        <f t="array" aca="1" ref="O131" ca="1">IF(AND(D131&lt;65,M131="No", N131="No"),"Good Stock","")</f>
        <v/>
      </c>
      <c r="P131" s="24" t="str">
        <f t="shared" ca="1" si="0"/>
        <v>Low Cap</v>
      </c>
      <c r="Q131" s="26"/>
      <c r="R131" s="26"/>
      <c r="S131" s="26"/>
      <c r="T131" s="26"/>
      <c r="U131" s="26"/>
      <c r="V131" s="26"/>
      <c r="W131" s="26"/>
      <c r="X131" s="26"/>
      <c r="Y131" s="26"/>
      <c r="Z131" s="27"/>
      <c r="AA131" s="26"/>
      <c r="AB131" s="26"/>
    </row>
    <row r="132" spans="1:28">
      <c r="A132" s="21" t="str">
        <f ca="1">IFERROR(__xludf.DUMMYFUNCTION("""COMPUTED_VALUE"""),"Amara Raja Batter")</f>
        <v>Amara Raja Batter</v>
      </c>
      <c r="B132" s="22">
        <f ca="1">IFERROR(__xludf.DUMMYFUNCTION("""COMPUTED_VALUE"""),9847.33486)</f>
        <v>9847.3348600000008</v>
      </c>
      <c r="C132" s="21">
        <f ca="1">IFERROR(__xludf.DUMMYFUNCTION("""COMPUTED_VALUE"""),576.5)</f>
        <v>576.5</v>
      </c>
      <c r="D132" s="21">
        <f ca="1">IFERROR(__xludf.DUMMYFUNCTION("""COMPUTED_VALUE"""),17.05)</f>
        <v>17.05</v>
      </c>
      <c r="E132" s="21">
        <f ca="1">IFERROR(__xludf.DUMMYFUNCTION("""COMPUTED_VALUE"""),668.15)</f>
        <v>668.15</v>
      </c>
      <c r="F132" s="24">
        <f ca="1">IFERROR(__xludf.DUMMYFUNCTION("""COMPUTED_VALUE"""),0.137169797201227)</f>
        <v>0.13716979720122699</v>
      </c>
      <c r="G132" s="21">
        <f ca="1">IFERROR(__xludf.DUMMYFUNCTION("""COMPUTED_VALUE"""),438.05)</f>
        <v>438.05</v>
      </c>
      <c r="H132" s="24">
        <f ca="1">IFERROR(__xludf.DUMMYFUNCTION("""COMPUTED_VALUE"""),0.316059810523912)</f>
        <v>0.31605981052391202</v>
      </c>
      <c r="I132" s="21">
        <f ca="1">IFERROR(__xludf.DUMMYFUNCTION("""COMPUTED_VALUE"""),590.95)</f>
        <v>590.95000000000005</v>
      </c>
      <c r="J132" s="24">
        <f ca="1">IFERROR(__xludf.DUMMYFUNCTION("""COMPUTED_VALUE"""),-0.024452153312463)</f>
        <v>-2.4452153312463001E-2</v>
      </c>
      <c r="K132" s="24" t="str">
        <f ca="1"/>
        <v>Automobile Ancilliary</v>
      </c>
      <c r="L132" s="24" t="str">
        <f ca="1"/>
        <v>AMARAJABAT</v>
      </c>
      <c r="M132" s="24" t="str">
        <f ca="1"/>
        <v>No</v>
      </c>
      <c r="N132" s="24" t="str">
        <f ca="1"/>
        <v>No</v>
      </c>
      <c r="O132" s="25" t="str">
        <f t="array" aca="1" ref="O132" ca="1">IF(AND(D132&lt;65,M132="No", N132="No"),"Good Stock","")</f>
        <v>Good Stock</v>
      </c>
      <c r="P132" s="24" t="str">
        <f t="shared" ca="1" si="0"/>
        <v>Low Cap</v>
      </c>
      <c r="Q132" s="26"/>
      <c r="R132" s="26"/>
      <c r="S132" s="26"/>
      <c r="T132" s="26"/>
      <c r="U132" s="26"/>
      <c r="V132" s="26"/>
      <c r="W132" s="26"/>
      <c r="X132" s="26"/>
      <c r="Y132" s="26"/>
      <c r="Z132" s="27"/>
      <c r="AA132" s="26"/>
      <c r="AB132" s="26"/>
    </row>
    <row r="133" spans="1:28">
      <c r="A133" s="21" t="str">
        <f ca="1">IFERROR(__xludf.DUMMYFUNCTION("""COMPUTED_VALUE"""),"Cyient")</f>
        <v>Cyient</v>
      </c>
      <c r="B133" s="22">
        <f ca="1">IFERROR(__xludf.DUMMYFUNCTION("""COMPUTED_VALUE"""),9606.1541)</f>
        <v>9606.1540999999997</v>
      </c>
      <c r="C133" s="21">
        <f ca="1">IFERROR(__xludf.DUMMYFUNCTION("""COMPUTED_VALUE"""),876)</f>
        <v>876</v>
      </c>
      <c r="D133" s="21">
        <f ca="1">IFERROR(__xludf.DUMMYFUNCTION("""COMPUTED_VALUE"""),19.98)</f>
        <v>19.98</v>
      </c>
      <c r="E133" s="21">
        <f ca="1">IFERROR(__xludf.DUMMYFUNCTION("""COMPUTED_VALUE"""),1051.85)</f>
        <v>1051.8499999999999</v>
      </c>
      <c r="F133" s="24">
        <f ca="1">IFERROR(__xludf.DUMMYFUNCTION("""COMPUTED_VALUE"""),0.167181632362028)</f>
        <v>0.16718163236202799</v>
      </c>
      <c r="G133" s="21">
        <f ca="1">IFERROR(__xludf.DUMMYFUNCTION("""COMPUTED_VALUE"""),720)</f>
        <v>720</v>
      </c>
      <c r="H133" s="24">
        <f ca="1">IFERROR(__xludf.DUMMYFUNCTION("""COMPUTED_VALUE"""),0.216666666666666)</f>
        <v>0.21666666666666601</v>
      </c>
      <c r="I133" s="21">
        <f ca="1">IFERROR(__xludf.DUMMYFUNCTION("""COMPUTED_VALUE"""),883.3)</f>
        <v>883.3</v>
      </c>
      <c r="J133" s="24">
        <f ca="1">IFERROR(__xludf.DUMMYFUNCTION("""COMPUTED_VALUE"""),-0.0082644628099173)</f>
        <v>-8.2644628099173001E-3</v>
      </c>
      <c r="K133" s="24" t="str">
        <f ca="1"/>
        <v>IT-Software</v>
      </c>
      <c r="L133" s="24" t="str">
        <f ca="1"/>
        <v>CYIENT</v>
      </c>
      <c r="M133" s="24" t="str">
        <f ca="1"/>
        <v>No</v>
      </c>
      <c r="N133" s="24" t="str">
        <f ca="1"/>
        <v>Yes</v>
      </c>
      <c r="O133" s="25" t="str">
        <f t="array" aca="1" ref="O133" ca="1">IF(AND(D133&lt;65,M133="No", N133="No"),"Good Stock","")</f>
        <v/>
      </c>
      <c r="P133" s="24" t="str">
        <f t="shared" ca="1" si="0"/>
        <v>Low Cap</v>
      </c>
      <c r="Q133" s="26"/>
      <c r="R133" s="26"/>
      <c r="S133" s="26"/>
      <c r="T133" s="26"/>
      <c r="U133" s="26"/>
      <c r="V133" s="26"/>
      <c r="W133" s="26"/>
      <c r="X133" s="26"/>
      <c r="Y133" s="26"/>
      <c r="Z133" s="27"/>
      <c r="AA133" s="26"/>
      <c r="AB133" s="26"/>
    </row>
    <row r="134" spans="1:28">
      <c r="A134" s="21" t="str">
        <f ca="1">IFERROR(__xludf.DUMMYFUNCTION("""COMPUTED_VALUE"""),"Astrazeneca")</f>
        <v>Astrazeneca</v>
      </c>
      <c r="B134" s="22">
        <f ca="1">IFERROR(__xludf.DUMMYFUNCTION("""COMPUTED_VALUE"""),8815.8228535)</f>
        <v>8815.8228534999998</v>
      </c>
      <c r="C134" s="21">
        <f ca="1">IFERROR(__xludf.DUMMYFUNCTION("""COMPUTED_VALUE"""),3515.05)</f>
        <v>3515.05</v>
      </c>
      <c r="D134" s="21">
        <f ca="1">IFERROR(__xludf.DUMMYFUNCTION("""COMPUTED_VALUE"""),95.35)</f>
        <v>95.35</v>
      </c>
      <c r="E134" s="21">
        <f ca="1">IFERROR(__xludf.DUMMYFUNCTION("""COMPUTED_VALUE"""),3619.7)</f>
        <v>3619.7</v>
      </c>
      <c r="F134" s="24">
        <f ca="1">IFERROR(__xludf.DUMMYFUNCTION("""COMPUTED_VALUE"""),0.0289112357377682)</f>
        <v>2.8911235737768201E-2</v>
      </c>
      <c r="G134" s="21">
        <f ca="1">IFERROR(__xludf.DUMMYFUNCTION("""COMPUTED_VALUE"""),2437.75)</f>
        <v>2437.75</v>
      </c>
      <c r="H134" s="24">
        <f ca="1">IFERROR(__xludf.DUMMYFUNCTION("""COMPUTED_VALUE"""),0.441923905240488)</f>
        <v>0.44192390524048802</v>
      </c>
      <c r="I134" s="21">
        <f ca="1">IFERROR(__xludf.DUMMYFUNCTION("""COMPUTED_VALUE"""),3443.4)</f>
        <v>3443.4</v>
      </c>
      <c r="J134" s="24">
        <f ca="1">IFERROR(__xludf.DUMMYFUNCTION("""COMPUTED_VALUE"""),0.0208079224022768)</f>
        <v>2.0807922402276802E-2</v>
      </c>
      <c r="K134" s="24" t="str">
        <f ca="1"/>
        <v>Pharma</v>
      </c>
      <c r="L134" s="24" t="str">
        <f ca="1"/>
        <v>BOM:506820</v>
      </c>
      <c r="M134" s="24" t="str">
        <f ca="1"/>
        <v>No</v>
      </c>
      <c r="N134" s="24" t="str">
        <f ca="1"/>
        <v>No</v>
      </c>
      <c r="O134" s="25" t="str">
        <f t="array" aca="1" ref="O134" ca="1">IF(AND(D134&lt;65,M134="No", N134="No"),"Good Stock","")</f>
        <v/>
      </c>
      <c r="P134" s="24" t="str">
        <f t="shared" ca="1" si="0"/>
        <v>Low Cap</v>
      </c>
      <c r="Q134" s="26"/>
      <c r="R134" s="26"/>
      <c r="S134" s="26"/>
      <c r="T134" s="26"/>
      <c r="U134" s="26"/>
      <c r="V134" s="26"/>
      <c r="W134" s="26"/>
      <c r="X134" s="26"/>
      <c r="Y134" s="26"/>
      <c r="Z134" s="27"/>
      <c r="AA134" s="26"/>
      <c r="AB134" s="26"/>
    </row>
    <row r="135" spans="1:28">
      <c r="A135" s="21" t="str">
        <f ca="1">IFERROR(__xludf.DUMMYFUNCTION("""COMPUTED_VALUE"""),"Poly Medicure Ltd")</f>
        <v>Poly Medicure Ltd</v>
      </c>
      <c r="B135" s="22">
        <f ca="1">IFERROR(__xludf.DUMMYFUNCTION("""COMPUTED_VALUE"""),8584.669055)</f>
        <v>8584.6690550000003</v>
      </c>
      <c r="C135" s="21">
        <f ca="1">IFERROR(__xludf.DUMMYFUNCTION("""COMPUTED_VALUE"""),891.5)</f>
        <v>891.5</v>
      </c>
      <c r="D135" s="21">
        <f ca="1">IFERROR(__xludf.DUMMYFUNCTION("""COMPUTED_VALUE"""),61.12)</f>
        <v>61.12</v>
      </c>
      <c r="E135" s="21">
        <f ca="1">IFERROR(__xludf.DUMMYFUNCTION("""COMPUTED_VALUE"""),1044.4)</f>
        <v>1044.4000000000001</v>
      </c>
      <c r="F135" s="24">
        <f ca="1">IFERROR(__xludf.DUMMYFUNCTION("""COMPUTED_VALUE"""),0.146399846801991)</f>
        <v>0.146399846801991</v>
      </c>
      <c r="G135" s="21">
        <f ca="1">IFERROR(__xludf.DUMMYFUNCTION("""COMPUTED_VALUE"""),652.3)</f>
        <v>652.29999999999995</v>
      </c>
      <c r="H135" s="24">
        <f ca="1">IFERROR(__xludf.DUMMYFUNCTION("""COMPUTED_VALUE"""),0.366702437528744)</f>
        <v>0.36670243752874399</v>
      </c>
      <c r="I135" s="21">
        <f ca="1">IFERROR(__xludf.DUMMYFUNCTION("""COMPUTED_VALUE"""),897.9)</f>
        <v>897.9</v>
      </c>
      <c r="J135" s="24">
        <f ca="1">IFERROR(__xludf.DUMMYFUNCTION("""COMPUTED_VALUE"""),-0.00712774251030179)</f>
        <v>-7.1277425103017898E-3</v>
      </c>
      <c r="K135" s="24" t="str">
        <f ca="1"/>
        <v>Healthcare</v>
      </c>
      <c r="L135" s="24" t="str">
        <f ca="1"/>
        <v>BOM:531768</v>
      </c>
      <c r="M135" s="24" t="str">
        <f ca="1"/>
        <v>No</v>
      </c>
      <c r="N135" s="24" t="str">
        <f ca="1"/>
        <v>No</v>
      </c>
      <c r="O135" s="25" t="str">
        <f t="array" aca="1" ref="O135" ca="1">IF(AND(D135&lt;65,M135="No", N135="No"),"Good Stock","")</f>
        <v>Good Stock</v>
      </c>
      <c r="P135" s="24" t="str">
        <f t="shared" ca="1" si="0"/>
        <v>Low Cap</v>
      </c>
      <c r="Q135" s="26"/>
      <c r="R135" s="26"/>
      <c r="S135" s="26"/>
      <c r="T135" s="26"/>
      <c r="U135" s="26"/>
      <c r="V135" s="26"/>
      <c r="W135" s="26"/>
      <c r="X135" s="26"/>
      <c r="Y135" s="26"/>
      <c r="Z135" s="27"/>
      <c r="AA135" s="26"/>
      <c r="AB135" s="26"/>
    </row>
    <row r="136" spans="1:28">
      <c r="A136" s="21" t="str">
        <f ca="1">IFERROR(__xludf.DUMMYFUNCTION("""COMPUTED_VALUE"""),"Finolex Cable")</f>
        <v>Finolex Cable</v>
      </c>
      <c r="B136" s="22">
        <f ca="1">IFERROR(__xludf.DUMMYFUNCTION("""COMPUTED_VALUE"""),8463.6612353)</f>
        <v>8463.6612353</v>
      </c>
      <c r="C136" s="21">
        <f ca="1">IFERROR(__xludf.DUMMYFUNCTION("""COMPUTED_VALUE"""),553.4)</f>
        <v>553.4</v>
      </c>
      <c r="D136" s="21">
        <f ca="1">IFERROR(__xludf.DUMMYFUNCTION("""COMPUTED_VALUE"""),15.6)</f>
        <v>15.6</v>
      </c>
      <c r="E136" s="21">
        <f ca="1">IFERROR(__xludf.DUMMYFUNCTION("""COMPUTED_VALUE"""),593.9)</f>
        <v>593.9</v>
      </c>
      <c r="F136" s="24">
        <f ca="1">IFERROR(__xludf.DUMMYFUNCTION("""COMPUTED_VALUE"""),0.0681932985351069)</f>
        <v>6.8193298535106903E-2</v>
      </c>
      <c r="G136" s="21">
        <f ca="1">IFERROR(__xludf.DUMMYFUNCTION("""COMPUTED_VALUE"""),343.5)</f>
        <v>343.5</v>
      </c>
      <c r="H136" s="24">
        <f ca="1">IFERROR(__xludf.DUMMYFUNCTION("""COMPUTED_VALUE"""),0.611062590975254)</f>
        <v>0.61106259097525395</v>
      </c>
      <c r="I136" s="21">
        <f ca="1">IFERROR(__xludf.DUMMYFUNCTION("""COMPUTED_VALUE"""),539.85)</f>
        <v>539.85</v>
      </c>
      <c r="J136" s="24">
        <f ca="1">IFERROR(__xludf.DUMMYFUNCTION("""COMPUTED_VALUE"""),0.0250995646938963)</f>
        <v>2.5099564693896299E-2</v>
      </c>
      <c r="K136" s="24" t="str">
        <f ca="1"/>
        <v>Consumer Electrical</v>
      </c>
      <c r="L136" s="24" t="str">
        <f ca="1"/>
        <v>FINCABLES</v>
      </c>
      <c r="M136" s="24" t="str">
        <f ca="1"/>
        <v>No</v>
      </c>
      <c r="N136" s="24" t="str">
        <f ca="1"/>
        <v>No</v>
      </c>
      <c r="O136" s="25" t="str">
        <f t="array" aca="1" ref="O136" ca="1">IF(AND(D136&lt;65,M136="No", N136="No"),"Good Stock","")</f>
        <v>Good Stock</v>
      </c>
      <c r="P136" s="24" t="str">
        <f t="shared" ca="1" si="0"/>
        <v>Low Cap</v>
      </c>
      <c r="Q136" s="26"/>
      <c r="R136" s="26"/>
      <c r="S136" s="26"/>
      <c r="T136" s="26"/>
      <c r="U136" s="26"/>
      <c r="V136" s="26"/>
      <c r="W136" s="26"/>
      <c r="X136" s="26"/>
      <c r="Y136" s="26"/>
      <c r="Z136" s="27"/>
      <c r="AA136" s="26"/>
      <c r="AB136" s="26"/>
    </row>
    <row r="137" spans="1:28">
      <c r="A137" s="21" t="str">
        <f ca="1">IFERROR(__xludf.DUMMYFUNCTION("""COMPUTED_VALUE"""),"Mahangar Gas")</f>
        <v>Mahangar Gas</v>
      </c>
      <c r="B137" s="22">
        <f ca="1">IFERROR(__xludf.DUMMYFUNCTION("""COMPUTED_VALUE"""),8445.006)</f>
        <v>8445.0059999999994</v>
      </c>
      <c r="C137" s="21">
        <f ca="1">IFERROR(__xludf.DUMMYFUNCTION("""COMPUTED_VALUE"""),853.05)</f>
        <v>853.05</v>
      </c>
      <c r="D137" s="21">
        <f ca="1">IFERROR(__xludf.DUMMYFUNCTION("""COMPUTED_VALUE"""),15.67)</f>
        <v>15.67</v>
      </c>
      <c r="E137" s="21">
        <f ca="1">IFERROR(__xludf.DUMMYFUNCTION("""COMPUTED_VALUE"""),925)</f>
        <v>925</v>
      </c>
      <c r="F137" s="24">
        <f ca="1">IFERROR(__xludf.DUMMYFUNCTION("""COMPUTED_VALUE"""),0.0777837837837838)</f>
        <v>7.7783783783783797E-2</v>
      </c>
      <c r="G137" s="21">
        <f ca="1">IFERROR(__xludf.DUMMYFUNCTION("""COMPUTED_VALUE"""),666.35)</f>
        <v>666.35</v>
      </c>
      <c r="H137" s="24">
        <f ca="1">IFERROR(__xludf.DUMMYFUNCTION("""COMPUTED_VALUE"""),0.280183086966308)</f>
        <v>0.280183086966308</v>
      </c>
      <c r="I137" s="21">
        <f ca="1">IFERROR(__xludf.DUMMYFUNCTION("""COMPUTED_VALUE"""),862.5)</f>
        <v>862.5</v>
      </c>
      <c r="J137" s="24">
        <f ca="1">IFERROR(__xludf.DUMMYFUNCTION("""COMPUTED_VALUE"""),-0.0109565217391304)</f>
        <v>-1.09565217391304E-2</v>
      </c>
      <c r="K137" s="24" t="str">
        <f ca="1"/>
        <v>Utility</v>
      </c>
      <c r="L137" s="24" t="str">
        <f ca="1"/>
        <v>BOM:539957</v>
      </c>
      <c r="M137" s="24" t="str">
        <f ca="1"/>
        <v>No</v>
      </c>
      <c r="N137" s="24" t="str">
        <f ca="1"/>
        <v>Yes</v>
      </c>
      <c r="O137" s="25" t="str">
        <f t="array" aca="1" ref="O137" ca="1">IF(AND(D137&lt;65,M137="No", N137="No"),"Good Stock","")</f>
        <v/>
      </c>
      <c r="P137" s="24" t="str">
        <f t="shared" ca="1" si="0"/>
        <v>Low Cap</v>
      </c>
      <c r="Q137" s="26"/>
      <c r="R137" s="26"/>
      <c r="S137" s="26"/>
      <c r="T137" s="26"/>
      <c r="U137" s="26"/>
      <c r="V137" s="26"/>
      <c r="W137" s="26"/>
      <c r="X137" s="26"/>
      <c r="Y137" s="26"/>
      <c r="Z137" s="27"/>
      <c r="AA137" s="26"/>
      <c r="AB137" s="26"/>
    </row>
    <row r="138" spans="1:28">
      <c r="A138" s="21" t="str">
        <f ca="1">IFERROR(__xludf.DUMMYFUNCTION("""COMPUTED_VALUE"""),"Galaxy Surfactant")</f>
        <v>Galaxy Surfactant</v>
      </c>
      <c r="B138" s="22">
        <f ca="1">IFERROR(__xludf.DUMMYFUNCTION("""COMPUTED_VALUE"""),8341.1378051)</f>
        <v>8341.1378050999992</v>
      </c>
      <c r="C138" s="21">
        <f ca="1">IFERROR(__xludf.DUMMYFUNCTION("""COMPUTED_VALUE"""),2358)</f>
        <v>2358</v>
      </c>
      <c r="D138" s="21">
        <f ca="1">IFERROR(__xludf.DUMMYFUNCTION("""COMPUTED_VALUE"""),25.47)</f>
        <v>25.47</v>
      </c>
      <c r="E138" s="21">
        <f ca="1">IFERROR(__xludf.DUMMYFUNCTION("""COMPUTED_VALUE"""),3447.55)</f>
        <v>3447.55</v>
      </c>
      <c r="F138" s="24">
        <f ca="1">IFERROR(__xludf.DUMMYFUNCTION("""COMPUTED_VALUE"""),0.316036025583385)</f>
        <v>0.31603602558338501</v>
      </c>
      <c r="G138" s="21">
        <f ca="1">IFERROR(__xludf.DUMMYFUNCTION("""COMPUTED_VALUE"""),2310.1)</f>
        <v>2310.1</v>
      </c>
      <c r="H138" s="24">
        <f ca="1">IFERROR(__xludf.DUMMYFUNCTION("""COMPUTED_VALUE"""),0.0207350331154495)</f>
        <v>2.0735033115449501E-2</v>
      </c>
      <c r="I138" s="21">
        <f ca="1">IFERROR(__xludf.DUMMYFUNCTION("""COMPUTED_VALUE"""),2340.5)</f>
        <v>2340.5</v>
      </c>
      <c r="J138" s="24">
        <f ca="1">IFERROR(__xludf.DUMMYFUNCTION("""COMPUTED_VALUE"""),0.00747703482161931)</f>
        <v>7.4770348216193104E-3</v>
      </c>
      <c r="K138" s="24" t="str">
        <f ca="1"/>
        <v>Chemical</v>
      </c>
      <c r="L138" s="24" t="str">
        <f ca="1"/>
        <v>GALAXYSURF</v>
      </c>
      <c r="M138" s="24" t="str">
        <f ca="1"/>
        <v>Yes</v>
      </c>
      <c r="N138" s="24" t="str">
        <f ca="1"/>
        <v>Yes</v>
      </c>
      <c r="O138" s="25" t="str">
        <f t="array" aca="1" ref="O138" ca="1">IF(AND(D138&lt;65,M138="No", N138="No"),"Good Stock","")</f>
        <v/>
      </c>
      <c r="P138" s="24" t="str">
        <f t="shared" ca="1" si="0"/>
        <v>Low Cap</v>
      </c>
      <c r="Q138" s="26"/>
      <c r="R138" s="26"/>
      <c r="S138" s="26"/>
      <c r="T138" s="26"/>
      <c r="U138" s="26"/>
      <c r="V138" s="26"/>
      <c r="W138" s="26"/>
      <c r="X138" s="26"/>
      <c r="Y138" s="26"/>
      <c r="Z138" s="27"/>
      <c r="AA138" s="26"/>
      <c r="AB138" s="26"/>
    </row>
    <row r="139" spans="1:28">
      <c r="A139" s="21" t="str">
        <f ca="1">IFERROR(__xludf.DUMMYFUNCTION("""COMPUTED_VALUE"""),"Balaji Amine")</f>
        <v>Balaji Amine</v>
      </c>
      <c r="B139" s="22">
        <f ca="1">IFERROR(__xludf.DUMMYFUNCTION("""COMPUTED_VALUE"""),8293.1763762)</f>
        <v>8293.1763761999991</v>
      </c>
      <c r="C139" s="21">
        <f ca="1">IFERROR(__xludf.DUMMYFUNCTION("""COMPUTED_VALUE"""),2562.7)</f>
        <v>2562.6999999999998</v>
      </c>
      <c r="D139" s="21">
        <f ca="1">IFERROR(__xludf.DUMMYFUNCTION("""COMPUTED_VALUE"""),20.06)</f>
        <v>20.059999999999999</v>
      </c>
      <c r="E139" s="21">
        <f ca="1">IFERROR(__xludf.DUMMYFUNCTION("""COMPUTED_VALUE"""),3841.85)</f>
        <v>3841.85</v>
      </c>
      <c r="F139" s="24">
        <f ca="1">IFERROR(__xludf.DUMMYFUNCTION("""COMPUTED_VALUE"""),0.332951572809974)</f>
        <v>0.33295157280997401</v>
      </c>
      <c r="G139" s="21">
        <f ca="1">IFERROR(__xludf.DUMMYFUNCTION("""COMPUTED_VALUE"""),2530)</f>
        <v>2530</v>
      </c>
      <c r="H139" s="24">
        <f ca="1">IFERROR(__xludf.DUMMYFUNCTION("""COMPUTED_VALUE"""),0.0129249011857706)</f>
        <v>1.2924901185770599E-2</v>
      </c>
      <c r="I139" s="21">
        <f ca="1">IFERROR(__xludf.DUMMYFUNCTION("""COMPUTED_VALUE"""),2557.4)</f>
        <v>2557.4</v>
      </c>
      <c r="J139" s="24">
        <f ca="1">IFERROR(__xludf.DUMMYFUNCTION("""COMPUTED_VALUE"""),0.002072417298819)</f>
        <v>2.0724172988189999E-3</v>
      </c>
      <c r="K139" s="24" t="str">
        <f ca="1"/>
        <v>Chemical</v>
      </c>
      <c r="L139" s="24" t="str">
        <f ca="1"/>
        <v>BOM:530999</v>
      </c>
      <c r="M139" s="24" t="str">
        <f ca="1"/>
        <v>Yes</v>
      </c>
      <c r="N139" s="24" t="str">
        <f ca="1"/>
        <v>Yes</v>
      </c>
      <c r="O139" s="25" t="str">
        <f t="array" aca="1" ref="O139" ca="1">IF(AND(D139&lt;65,M139="No", N139="No"),"Good Stock","")</f>
        <v/>
      </c>
      <c r="P139" s="24" t="str">
        <f t="shared" ca="1" si="0"/>
        <v>Low Cap</v>
      </c>
      <c r="Q139" s="26"/>
      <c r="R139" s="26"/>
      <c r="S139" s="26"/>
      <c r="T139" s="26"/>
      <c r="U139" s="26"/>
      <c r="V139" s="26"/>
      <c r="W139" s="26"/>
      <c r="X139" s="26"/>
      <c r="Y139" s="26"/>
      <c r="Z139" s="27"/>
      <c r="AA139" s="26"/>
      <c r="AB139" s="26"/>
    </row>
    <row r="140" spans="1:28">
      <c r="A140" s="21" t="str">
        <f ca="1">IFERROR(__xludf.DUMMYFUNCTION("""COMPUTED_VALUE"""),"Sonata Software")</f>
        <v>Sonata Software</v>
      </c>
      <c r="B140" s="22">
        <f ca="1">IFERROR(__xludf.DUMMYFUNCTION("""COMPUTED_VALUE"""),8104.163)</f>
        <v>8104.1629999999996</v>
      </c>
      <c r="C140" s="21">
        <f ca="1">IFERROR(__xludf.DUMMYFUNCTION("""COMPUTED_VALUE"""),582)</f>
        <v>582</v>
      </c>
      <c r="D140" s="21">
        <f ca="1">IFERROR(__xludf.DUMMYFUNCTION("""COMPUTED_VALUE"""),19.25)</f>
        <v>19.25</v>
      </c>
      <c r="E140" s="21">
        <f ca="1">IFERROR(__xludf.DUMMYFUNCTION("""COMPUTED_VALUE"""),694.5)</f>
        <v>694.5</v>
      </c>
      <c r="F140" s="24">
        <f ca="1">IFERROR(__xludf.DUMMYFUNCTION("""COMPUTED_VALUE"""),0.161987041036717)</f>
        <v>0.16198704103671699</v>
      </c>
      <c r="G140" s="21">
        <f ca="1">IFERROR(__xludf.DUMMYFUNCTION("""COMPUTED_VALUE"""),457.58)</f>
        <v>457.58</v>
      </c>
      <c r="H140" s="24">
        <f ca="1">IFERROR(__xludf.DUMMYFUNCTION("""COMPUTED_VALUE"""),0.271908737269985)</f>
        <v>0.27190873726998499</v>
      </c>
      <c r="I140" s="21">
        <f ca="1">IFERROR(__xludf.DUMMYFUNCTION("""COMPUTED_VALUE"""),574.4)</f>
        <v>574.4</v>
      </c>
      <c r="J140" s="24">
        <f ca="1">IFERROR(__xludf.DUMMYFUNCTION("""COMPUTED_VALUE"""),0.0132311977715877)</f>
        <v>1.32311977715877E-2</v>
      </c>
      <c r="K140" s="24" t="str">
        <f ca="1"/>
        <v>IT-Software</v>
      </c>
      <c r="L140" s="24" t="str">
        <f ca="1"/>
        <v>SONATSOFTW</v>
      </c>
      <c r="M140" s="24" t="str">
        <f ca="1"/>
        <v>No</v>
      </c>
      <c r="N140" s="24" t="str">
        <f ca="1"/>
        <v>Yes</v>
      </c>
      <c r="O140" s="25" t="str">
        <f t="array" aca="1" ref="O140" ca="1">IF(AND(D140&lt;65,M140="No", N140="No"),"Good Stock","")</f>
        <v/>
      </c>
      <c r="P140" s="24" t="str">
        <f t="shared" ca="1" si="0"/>
        <v>Low Cap</v>
      </c>
      <c r="Q140" s="26"/>
      <c r="R140" s="26"/>
      <c r="S140" s="26"/>
      <c r="T140" s="26"/>
      <c r="U140" s="26"/>
      <c r="V140" s="26"/>
      <c r="W140" s="26"/>
      <c r="X140" s="26"/>
      <c r="Y140" s="26"/>
      <c r="Z140" s="27"/>
      <c r="AA140" s="26"/>
      <c r="AB140" s="26"/>
    </row>
    <row r="141" spans="1:28">
      <c r="A141" s="21" t="str">
        <f ca="1">IFERROR(__xludf.DUMMYFUNCTION("""COMPUTED_VALUE"""),"Granules India")</f>
        <v>Granules India</v>
      </c>
      <c r="B141" s="22">
        <f ca="1">IFERROR(__xludf.DUMMYFUNCTION("""COMPUTED_VALUE"""),7705.431)</f>
        <v>7705.4309999999996</v>
      </c>
      <c r="C141" s="21">
        <f ca="1">IFERROR(__xludf.DUMMYFUNCTION("""COMPUTED_VALUE"""),318.6)</f>
        <v>318.60000000000002</v>
      </c>
      <c r="D141" s="21">
        <f ca="1">IFERROR(__xludf.DUMMYFUNCTION("""COMPUTED_VALUE"""),16.36)</f>
        <v>16.36</v>
      </c>
      <c r="E141" s="21">
        <f ca="1">IFERROR(__xludf.DUMMYFUNCTION("""COMPUTED_VALUE"""),381.25)</f>
        <v>381.25</v>
      </c>
      <c r="F141" s="24">
        <f ca="1">IFERROR(__xludf.DUMMYFUNCTION("""COMPUTED_VALUE"""),0.164327868852458)</f>
        <v>0.16432786885245801</v>
      </c>
      <c r="G141" s="21">
        <f ca="1">IFERROR(__xludf.DUMMYFUNCTION("""COMPUTED_VALUE"""),227)</f>
        <v>227</v>
      </c>
      <c r="H141" s="24">
        <f ca="1">IFERROR(__xludf.DUMMYFUNCTION("""COMPUTED_VALUE"""),0.40352422907489)</f>
        <v>0.40352422907489</v>
      </c>
      <c r="I141" s="21">
        <f ca="1">IFERROR(__xludf.DUMMYFUNCTION("""COMPUTED_VALUE"""),318.15)</f>
        <v>318.14999999999998</v>
      </c>
      <c r="J141" s="24">
        <f ca="1">IFERROR(__xludf.DUMMYFUNCTION("""COMPUTED_VALUE"""),0.00141442715700155)</f>
        <v>1.41442715700155E-3</v>
      </c>
      <c r="K141" s="24" t="str">
        <f ca="1"/>
        <v>Pharma</v>
      </c>
      <c r="L141" s="24" t="str">
        <f ca="1"/>
        <v>BOM:532482</v>
      </c>
      <c r="M141" s="24" t="str">
        <f ca="1"/>
        <v>No</v>
      </c>
      <c r="N141" s="24" t="str">
        <f ca="1"/>
        <v>No</v>
      </c>
      <c r="O141" s="25" t="str">
        <f t="array" aca="1" ref="O141" ca="1">IF(AND(D141&lt;65,M141="No", N141="No"),"Good Stock","")</f>
        <v>Good Stock</v>
      </c>
      <c r="P141" s="24" t="str">
        <f t="shared" ca="1" si="0"/>
        <v>Low Cap</v>
      </c>
      <c r="Q141" s="26"/>
      <c r="R141" s="26"/>
      <c r="S141" s="26"/>
      <c r="T141" s="26"/>
      <c r="U141" s="26"/>
      <c r="V141" s="26"/>
      <c r="W141" s="26"/>
      <c r="X141" s="26"/>
      <c r="Y141" s="26"/>
      <c r="Z141" s="27"/>
      <c r="AA141" s="26"/>
      <c r="AB141" s="26"/>
    </row>
    <row r="142" spans="1:28">
      <c r="A142" s="21" t="str">
        <f ca="1">IFERROR(__xludf.DUMMYFUNCTION("""COMPUTED_VALUE"""),"Laxmi Orgamic")</f>
        <v>Laxmi Orgamic</v>
      </c>
      <c r="B142" s="22">
        <f ca="1">IFERROR(__xludf.DUMMYFUNCTION("""COMPUTED_VALUE"""),7672.4308321)</f>
        <v>7672.4308320999999</v>
      </c>
      <c r="C142" s="21">
        <f ca="1">IFERROR(__xludf.DUMMYFUNCTION("""COMPUTED_VALUE"""),289.4)</f>
        <v>289.39999999999998</v>
      </c>
      <c r="D142" s="21">
        <f ca="1">IFERROR(__xludf.DUMMYFUNCTION("""COMPUTED_VALUE"""),36.41)</f>
        <v>36.409999999999997</v>
      </c>
      <c r="E142" s="21">
        <f ca="1">IFERROR(__xludf.DUMMYFUNCTION("""COMPUTED_VALUE"""),501.6)</f>
        <v>501.6</v>
      </c>
      <c r="F142" s="24">
        <f ca="1">IFERROR(__xludf.DUMMYFUNCTION("""COMPUTED_VALUE"""),0.42304625199362)</f>
        <v>0.42304625199362</v>
      </c>
      <c r="G142" s="21">
        <f ca="1">IFERROR(__xludf.DUMMYFUNCTION("""COMPUTED_VALUE"""),274.35)</f>
        <v>274.35000000000002</v>
      </c>
      <c r="H142" s="24">
        <f ca="1">IFERROR(__xludf.DUMMYFUNCTION("""COMPUTED_VALUE"""),0.054856934572626)</f>
        <v>5.4856934572625998E-2</v>
      </c>
      <c r="I142" s="21">
        <f ca="1">IFERROR(__xludf.DUMMYFUNCTION("""COMPUTED_VALUE"""),289.25)</f>
        <v>289.25</v>
      </c>
      <c r="J142" s="24">
        <f ca="1">IFERROR(__xludf.DUMMYFUNCTION("""COMPUTED_VALUE"""),0.000518582541054372)</f>
        <v>5.1858254105437195E-4</v>
      </c>
      <c r="K142" s="24" t="str">
        <f ca="1"/>
        <v>Chemical</v>
      </c>
      <c r="L142" s="24" t="str">
        <f ca="1"/>
        <v>BOM:543277</v>
      </c>
      <c r="M142" s="24" t="str">
        <f ca="1"/>
        <v>Yes</v>
      </c>
      <c r="N142" s="24" t="str">
        <f ca="1"/>
        <v>Yes</v>
      </c>
      <c r="O142" s="25" t="str">
        <f t="array" aca="1" ref="O142" ca="1">IF(AND(D142&lt;65,M142="No", N142="No"),"Good Stock","")</f>
        <v/>
      </c>
      <c r="P142" s="24" t="str">
        <f t="shared" ca="1" si="0"/>
        <v>Low Cap</v>
      </c>
      <c r="Q142" s="26"/>
      <c r="R142" s="26"/>
      <c r="S142" s="26"/>
      <c r="T142" s="26"/>
      <c r="U142" s="26"/>
      <c r="V142" s="26"/>
      <c r="W142" s="26"/>
      <c r="X142" s="26"/>
      <c r="Y142" s="26"/>
      <c r="Z142" s="27"/>
      <c r="AA142" s="26"/>
      <c r="AB142" s="26"/>
    </row>
    <row r="143" spans="1:28">
      <c r="A143" s="21" t="str">
        <f ca="1">IFERROR(__xludf.DUMMYFUNCTION("""COMPUTED_VALUE"""),"Infosys")</f>
        <v>Infosys</v>
      </c>
      <c r="B143" s="22">
        <f ca="1">IFERROR(__xludf.DUMMYFUNCTION("""COMPUTED_VALUE"""),7658.1331612)</f>
        <v>7658.1331612000004</v>
      </c>
      <c r="C143" s="21">
        <f ca="1">IFERROR(__xludf.DUMMYFUNCTION("""COMPUTED_VALUE"""),1503.5)</f>
        <v>1503.5</v>
      </c>
      <c r="D143" s="21">
        <f ca="1">IFERROR(__xludf.DUMMYFUNCTION("""COMPUTED_VALUE"""),27.61)</f>
        <v>27.61</v>
      </c>
      <c r="E143" s="21">
        <f ca="1">IFERROR(__xludf.DUMMYFUNCTION("""COMPUTED_VALUE"""),1953.7)</f>
        <v>1953.7</v>
      </c>
      <c r="F143" s="24">
        <f ca="1">IFERROR(__xludf.DUMMYFUNCTION("""COMPUTED_VALUE"""),0.230434560065516)</f>
        <v>0.23043456006551599</v>
      </c>
      <c r="G143" s="21">
        <f ca="1">IFERROR(__xludf.DUMMYFUNCTION("""COMPUTED_VALUE"""),1355.5)</f>
        <v>1355.5</v>
      </c>
      <c r="H143" s="24">
        <f ca="1">IFERROR(__xludf.DUMMYFUNCTION("""COMPUTED_VALUE"""),0.109184802655846)</f>
        <v>0.109184802655846</v>
      </c>
      <c r="I143" s="21">
        <f ca="1">IFERROR(__xludf.DUMMYFUNCTION("""COMPUTED_VALUE"""),1480.55)</f>
        <v>1480.55</v>
      </c>
      <c r="J143" s="24">
        <f ca="1">IFERROR(__xludf.DUMMYFUNCTION("""COMPUTED_VALUE"""),0.015500996251393)</f>
        <v>1.5500996251393E-2</v>
      </c>
      <c r="K143" s="24" t="str">
        <f ca="1"/>
        <v>IT</v>
      </c>
      <c r="L143" s="24" t="str">
        <f ca="1"/>
        <v>BOM:500209</v>
      </c>
      <c r="M143" s="24" t="str">
        <f ca="1"/>
        <v>No</v>
      </c>
      <c r="N143" s="24" t="str">
        <f ca="1"/>
        <v>Yes</v>
      </c>
      <c r="O143" s="25" t="str">
        <f t="array" aca="1" ref="O143" ca="1">IF(AND(D143&lt;65,M143="No", N143="No"),"Good Stock","")</f>
        <v/>
      </c>
      <c r="P143" s="24" t="str">
        <f t="shared" ca="1" si="0"/>
        <v>Low Cap</v>
      </c>
      <c r="Q143" s="26"/>
      <c r="R143" s="26"/>
      <c r="S143" s="26"/>
      <c r="T143" s="26"/>
      <c r="U143" s="26"/>
      <c r="V143" s="26"/>
      <c r="W143" s="26"/>
      <c r="X143" s="26"/>
      <c r="Y143" s="26"/>
      <c r="Z143" s="27"/>
      <c r="AA143" s="26"/>
      <c r="AB143" s="26"/>
    </row>
    <row r="144" spans="1:28">
      <c r="A144" s="21" t="str">
        <f ca="1">IFERROR(__xludf.DUMMYFUNCTION("""COMPUTED_VALUE"""),"Latent View")</f>
        <v>Latent View</v>
      </c>
      <c r="B144" s="22">
        <f ca="1">IFERROR(__xludf.DUMMYFUNCTION("""COMPUTED_VALUE"""),7452.986336)</f>
        <v>7452.9863359999999</v>
      </c>
      <c r="C144" s="21">
        <f ca="1">IFERROR(__xludf.DUMMYFUNCTION("""COMPUTED_VALUE"""),367.25)</f>
        <v>367.25</v>
      </c>
      <c r="D144" s="21">
        <f ca="1">IFERROR(__xludf.DUMMYFUNCTION("""COMPUTED_VALUE"""),49.25)</f>
        <v>49.25</v>
      </c>
      <c r="E144" s="21">
        <f ca="1">IFERROR(__xludf.DUMMYFUNCTION("""COMPUTED_VALUE"""),617.4)</f>
        <v>617.4</v>
      </c>
      <c r="F144" s="24">
        <f ca="1">IFERROR(__xludf.DUMMYFUNCTION("""COMPUTED_VALUE"""),0.405166828636216)</f>
        <v>0.405166828636216</v>
      </c>
      <c r="G144" s="21">
        <f ca="1">IFERROR(__xludf.DUMMYFUNCTION("""COMPUTED_VALUE"""),305.25)</f>
        <v>305.25</v>
      </c>
      <c r="H144" s="24">
        <f ca="1">IFERROR(__xludf.DUMMYFUNCTION("""COMPUTED_VALUE"""),0.203112203112203)</f>
        <v>0.20311220311220299</v>
      </c>
      <c r="I144" s="21">
        <f ca="1">IFERROR(__xludf.DUMMYFUNCTION("""COMPUTED_VALUE"""),368.4)</f>
        <v>368.4</v>
      </c>
      <c r="J144" s="24">
        <f ca="1">IFERROR(__xludf.DUMMYFUNCTION("""COMPUTED_VALUE"""),-0.00312160694896845)</f>
        <v>-3.1216069489684501E-3</v>
      </c>
      <c r="K144" s="24" t="str">
        <f ca="1"/>
        <v>IT</v>
      </c>
      <c r="L144" s="24" t="str">
        <f ca="1"/>
        <v>BOM:543398</v>
      </c>
      <c r="M144" s="24" t="str">
        <f ca="1"/>
        <v>Yes</v>
      </c>
      <c r="N144" s="24" t="str">
        <f ca="1"/>
        <v>Yes</v>
      </c>
      <c r="O144" s="25" t="str">
        <f t="array" aca="1" ref="O144" ca="1">IF(AND(D144&lt;65,M144="No", N144="No"),"Good Stock","")</f>
        <v/>
      </c>
      <c r="P144" s="24" t="str">
        <f t="shared" ca="1" si="0"/>
        <v>Low Cap</v>
      </c>
      <c r="Q144" s="26"/>
      <c r="R144" s="26"/>
      <c r="S144" s="26"/>
      <c r="T144" s="26"/>
      <c r="U144" s="26"/>
      <c r="V144" s="26"/>
      <c r="W144" s="26"/>
      <c r="X144" s="26"/>
      <c r="Y144" s="26"/>
      <c r="Z144" s="27"/>
      <c r="AA144" s="26"/>
      <c r="AB144" s="26"/>
    </row>
    <row r="145" spans="1:28">
      <c r="A145" s="21" t="str">
        <f ca="1">IFERROR(__xludf.DUMMYFUNCTION("""COMPUTED_VALUE"""),"ICICI Bank")</f>
        <v>ICICI Bank</v>
      </c>
      <c r="B145" s="22">
        <f ca="1">IFERROR(__xludf.DUMMYFUNCTION("""COMPUTED_VALUE"""),7451.4657292)</f>
        <v>7451.4657292000002</v>
      </c>
      <c r="C145" s="21">
        <f ca="1">IFERROR(__xludf.DUMMYFUNCTION("""COMPUTED_VALUE"""),873.25)</f>
        <v>873.25</v>
      </c>
      <c r="D145" s="21">
        <f ca="1">IFERROR(__xludf.DUMMYFUNCTION("""COMPUTED_VALUE"""),20.88)</f>
        <v>20.88</v>
      </c>
      <c r="E145" s="21">
        <f ca="1">IFERROR(__xludf.DUMMYFUNCTION("""COMPUTED_VALUE"""),958)</f>
        <v>958</v>
      </c>
      <c r="F145" s="24">
        <f ca="1">IFERROR(__xludf.DUMMYFUNCTION("""COMPUTED_VALUE"""),0.0884655532359081)</f>
        <v>8.8465553235908101E-2</v>
      </c>
      <c r="G145" s="21">
        <f ca="1">IFERROR(__xludf.DUMMYFUNCTION("""COMPUTED_VALUE"""),642)</f>
        <v>642</v>
      </c>
      <c r="H145" s="24">
        <f ca="1">IFERROR(__xludf.DUMMYFUNCTION("""COMPUTED_VALUE"""),0.360202492211838)</f>
        <v>0.36020249221183798</v>
      </c>
      <c r="I145" s="21">
        <f ca="1">IFERROR(__xludf.DUMMYFUNCTION("""COMPUTED_VALUE"""),861.2)</f>
        <v>861.2</v>
      </c>
      <c r="J145" s="24">
        <f ca="1">IFERROR(__xludf.DUMMYFUNCTION("""COMPUTED_VALUE"""),0.0139921040408731)</f>
        <v>1.39921040408731E-2</v>
      </c>
      <c r="K145" s="24" t="str">
        <f ca="1"/>
        <v>Bank</v>
      </c>
      <c r="L145" s="24" t="str">
        <f ca="1"/>
        <v>BOM:532174</v>
      </c>
      <c r="M145" s="24" t="str">
        <f ca="1"/>
        <v>No</v>
      </c>
      <c r="N145" s="24" t="str">
        <f ca="1"/>
        <v>No</v>
      </c>
      <c r="O145" s="25" t="str">
        <f t="array" aca="1" ref="O145" ca="1">IF(AND(D145&lt;65,M145="No", N145="No"),"Good Stock","")</f>
        <v>Good Stock</v>
      </c>
      <c r="P145" s="24" t="str">
        <f t="shared" ca="1" si="0"/>
        <v>Low Cap</v>
      </c>
      <c r="Q145" s="26"/>
      <c r="R145" s="26"/>
      <c r="S145" s="26"/>
      <c r="T145" s="26"/>
      <c r="U145" s="26"/>
      <c r="V145" s="26"/>
      <c r="W145" s="26"/>
      <c r="X145" s="26"/>
      <c r="Y145" s="26"/>
      <c r="Z145" s="27"/>
      <c r="AA145" s="26"/>
      <c r="AB145" s="26"/>
    </row>
    <row r="146" spans="1:28">
      <c r="A146" s="21" t="str">
        <f ca="1">IFERROR(__xludf.DUMMYFUNCTION("""COMPUTED_VALUE"""),"Route Mobile")</f>
        <v>Route Mobile</v>
      </c>
      <c r="B146" s="22">
        <f ca="1">IFERROR(__xludf.DUMMYFUNCTION("""COMPUTED_VALUE"""),7415.8287656)</f>
        <v>7415.8287656000002</v>
      </c>
      <c r="C146" s="21">
        <f ca="1">IFERROR(__xludf.DUMMYFUNCTION("""COMPUTED_VALUE"""),1190.8)</f>
        <v>1190.8</v>
      </c>
      <c r="D146" s="21">
        <f ca="1">IFERROR(__xludf.DUMMYFUNCTION("""COMPUTED_VALUE"""),32.12)</f>
        <v>32.119999999999997</v>
      </c>
      <c r="E146" s="21">
        <f ca="1">IFERROR(__xludf.DUMMYFUNCTION("""COMPUTED_VALUE"""),1919)</f>
        <v>1919</v>
      </c>
      <c r="F146" s="24">
        <f ca="1">IFERROR(__xludf.DUMMYFUNCTION("""COMPUTED_VALUE"""),0.379468473163105)</f>
        <v>0.379468473163105</v>
      </c>
      <c r="G146" s="21">
        <f ca="1">IFERROR(__xludf.DUMMYFUNCTION("""COMPUTED_VALUE"""),1052.6)</f>
        <v>1052.5999999999999</v>
      </c>
      <c r="H146" s="24">
        <f ca="1">IFERROR(__xludf.DUMMYFUNCTION("""COMPUTED_VALUE"""),0.131293938818164)</f>
        <v>0.13129393881816401</v>
      </c>
      <c r="I146" s="21">
        <f ca="1">IFERROR(__xludf.DUMMYFUNCTION("""COMPUTED_VALUE"""),1197.6)</f>
        <v>1197.5999999999999</v>
      </c>
      <c r="J146" s="24">
        <f ca="1">IFERROR(__xludf.DUMMYFUNCTION("""COMPUTED_VALUE"""),-0.00567802271209081)</f>
        <v>-5.6780227120908104E-3</v>
      </c>
      <c r="K146" s="24" t="str">
        <f ca="1"/>
        <v>Technology</v>
      </c>
      <c r="L146" s="24" t="str">
        <f ca="1"/>
        <v>BOM:543228</v>
      </c>
      <c r="M146" s="24" t="str">
        <f ca="1"/>
        <v>Yes</v>
      </c>
      <c r="N146" s="24" t="str">
        <f ca="1"/>
        <v>Yes</v>
      </c>
      <c r="O146" s="25" t="str">
        <f t="array" aca="1" ref="O146" ca="1">IF(AND(D146&lt;65,M146="No", N146="No"),"Good Stock","")</f>
        <v/>
      </c>
      <c r="P146" s="24" t="str">
        <f t="shared" ca="1" si="0"/>
        <v>Low Cap</v>
      </c>
      <c r="Q146" s="26"/>
      <c r="R146" s="26"/>
      <c r="S146" s="26"/>
      <c r="T146" s="26"/>
      <c r="U146" s="26"/>
      <c r="V146" s="26"/>
      <c r="W146" s="26"/>
      <c r="X146" s="26"/>
      <c r="Y146" s="26"/>
      <c r="Z146" s="27"/>
      <c r="AA146" s="26"/>
      <c r="AB146" s="26"/>
    </row>
    <row r="147" spans="1:28">
      <c r="A147" s="21" t="str">
        <f ca="1">IFERROR(__xludf.DUMMYFUNCTION("""COMPUTED_VALUE"""),"craftsman automation")</f>
        <v>craftsman automation</v>
      </c>
      <c r="B147" s="22">
        <f ca="1">IFERROR(__xludf.DUMMYFUNCTION("""COMPUTED_VALUE"""),7324.341471)</f>
        <v>7324.3414709999997</v>
      </c>
      <c r="C147" s="21">
        <f ca="1">IFERROR(__xludf.DUMMYFUNCTION("""COMPUTED_VALUE"""),3465.1)</f>
        <v>3465.1</v>
      </c>
      <c r="D147" s="21">
        <f ca="1">IFERROR(__xludf.DUMMYFUNCTION("""COMPUTED_VALUE"""),35.75)</f>
        <v>35.75</v>
      </c>
      <c r="E147" s="21">
        <f ca="1">IFERROR(__xludf.DUMMYFUNCTION("""COMPUTED_VALUE"""),3709.95)</f>
        <v>3709.95</v>
      </c>
      <c r="F147" s="24">
        <f ca="1">IFERROR(__xludf.DUMMYFUNCTION("""COMPUTED_VALUE"""),0.0659981940457418)</f>
        <v>6.5998194045741795E-2</v>
      </c>
      <c r="G147" s="21">
        <f ca="1">IFERROR(__xludf.DUMMYFUNCTION("""COMPUTED_VALUE"""),1845)</f>
        <v>1845</v>
      </c>
      <c r="H147" s="24">
        <f ca="1">IFERROR(__xludf.DUMMYFUNCTION("""COMPUTED_VALUE"""),0.87810298102981)</f>
        <v>0.87810298102980999</v>
      </c>
      <c r="I147" s="21">
        <f ca="1">IFERROR(__xludf.DUMMYFUNCTION("""COMPUTED_VALUE"""),3461.8)</f>
        <v>3461.8</v>
      </c>
      <c r="J147" s="24">
        <f ca="1">IFERROR(__xludf.DUMMYFUNCTION("""COMPUTED_VALUE"""),0.000953261309145452)</f>
        <v>9.5326130914545203E-4</v>
      </c>
      <c r="K147" s="24" t="str">
        <f ca="1"/>
        <v>automobile</v>
      </c>
      <c r="L147" s="24" t="str">
        <f ca="1"/>
        <v>BOM:543276</v>
      </c>
      <c r="M147" s="24" t="str">
        <f ca="1"/>
        <v>No</v>
      </c>
      <c r="N147" s="24" t="str">
        <f ca="1"/>
        <v>No</v>
      </c>
      <c r="O147" s="25" t="str">
        <f t="array" aca="1" ref="O147" ca="1">IF(AND(D147&lt;65,M147="No", N147="No"),"Good Stock","")</f>
        <v>Good Stock</v>
      </c>
      <c r="P147" s="24" t="str">
        <f t="shared" ca="1" si="0"/>
        <v>Low Cap</v>
      </c>
      <c r="Q147" s="26"/>
      <c r="R147" s="26"/>
      <c r="S147" s="26"/>
      <c r="T147" s="26"/>
      <c r="U147" s="26"/>
      <c r="V147" s="26"/>
      <c r="W147" s="26"/>
      <c r="X147" s="26"/>
      <c r="Y147" s="26"/>
      <c r="Z147" s="27"/>
      <c r="AA147" s="26"/>
      <c r="AB147" s="26"/>
    </row>
    <row r="148" spans="1:28">
      <c r="A148" s="21" t="str">
        <f ca="1">IFERROR(__xludf.DUMMYFUNCTION("""COMPUTED_VALUE"""),"Metropolis Healthcare")</f>
        <v>Metropolis Healthcare</v>
      </c>
      <c r="B148" s="22">
        <f ca="1">IFERROR(__xludf.DUMMYFUNCTION("""COMPUTED_VALUE"""),7063.23)</f>
        <v>7063.23</v>
      </c>
      <c r="C148" s="21">
        <f ca="1">IFERROR(__xludf.DUMMYFUNCTION("""COMPUTED_VALUE"""),1380.05)</f>
        <v>1380.05</v>
      </c>
      <c r="D148" s="21">
        <f ca="1">IFERROR(__xludf.DUMMYFUNCTION("""COMPUTED_VALUE"""),45.85)</f>
        <v>45.85</v>
      </c>
      <c r="E148" s="21">
        <f ca="1">IFERROR(__xludf.DUMMYFUNCTION("""COMPUTED_VALUE"""),3142)</f>
        <v>3142</v>
      </c>
      <c r="F148" s="24">
        <f ca="1">IFERROR(__xludf.DUMMYFUNCTION("""COMPUTED_VALUE"""),0.560773392743475)</f>
        <v>0.56077339274347504</v>
      </c>
      <c r="G148" s="21">
        <f ca="1">IFERROR(__xludf.DUMMYFUNCTION("""COMPUTED_VALUE"""),1267.05)</f>
        <v>1267.05</v>
      </c>
      <c r="H148" s="24">
        <f ca="1">IFERROR(__xludf.DUMMYFUNCTION("""COMPUTED_VALUE"""),0.0891835365613038)</f>
        <v>8.9183536561303803E-2</v>
      </c>
      <c r="I148" s="21">
        <f ca="1">IFERROR(__xludf.DUMMYFUNCTION("""COMPUTED_VALUE"""),1382.35)</f>
        <v>1382.35</v>
      </c>
      <c r="J148" s="24">
        <f ca="1">IFERROR(__xludf.DUMMYFUNCTION("""COMPUTED_VALUE"""),-0.00166383332730491)</f>
        <v>-1.6638333273049099E-3</v>
      </c>
      <c r="K148" s="24" t="str">
        <f ca="1"/>
        <v>Healthcare</v>
      </c>
      <c r="L148" s="24" t="str">
        <f ca="1"/>
        <v>METROPOLIS</v>
      </c>
      <c r="M148" s="24" t="str">
        <f ca="1"/>
        <v>Yes</v>
      </c>
      <c r="N148" s="24" t="str">
        <f ca="1"/>
        <v>Yes</v>
      </c>
      <c r="O148" s="25" t="str">
        <f t="array" aca="1" ref="O148" ca="1">IF(AND(D148&lt;65,M148="No", N148="No"),"Good Stock","")</f>
        <v/>
      </c>
      <c r="P148" s="24" t="str">
        <f t="shared" ca="1" si="0"/>
        <v>Low Cap</v>
      </c>
      <c r="Q148" s="26"/>
      <c r="R148" s="26"/>
      <c r="S148" s="26"/>
      <c r="T148" s="26"/>
      <c r="U148" s="26"/>
      <c r="V148" s="26"/>
      <c r="W148" s="26"/>
      <c r="X148" s="26"/>
      <c r="Y148" s="26"/>
      <c r="Z148" s="27"/>
      <c r="AA148" s="26"/>
      <c r="AB148" s="26"/>
    </row>
    <row r="149" spans="1:28">
      <c r="A149" s="21" t="str">
        <f ca="1">IFERROR(__xludf.DUMMYFUNCTION("""COMPUTED_VALUE"""),"GMM Pfaudler")</f>
        <v>GMM Pfaudler</v>
      </c>
      <c r="B149" s="22">
        <f ca="1">IFERROR(__xludf.DUMMYFUNCTION("""COMPUTED_VALUE"""),7046.8192293)</f>
        <v>7046.8192293000002</v>
      </c>
      <c r="C149" s="21">
        <f ca="1">IFERROR(__xludf.DUMMYFUNCTION("""COMPUTED_VALUE"""),1567.45)</f>
        <v>1567.45</v>
      </c>
      <c r="D149" s="21">
        <f ca="1">IFERROR(__xludf.DUMMYFUNCTION("""COMPUTED_VALUE"""),53.87)</f>
        <v>53.87</v>
      </c>
      <c r="E149" s="21">
        <f ca="1">IFERROR(__xludf.DUMMYFUNCTION("""COMPUTED_VALUE"""),2110)</f>
        <v>2110</v>
      </c>
      <c r="F149" s="24">
        <f ca="1">IFERROR(__xludf.DUMMYFUNCTION("""COMPUTED_VALUE"""),0.2571327014218)</f>
        <v>0.2571327014218</v>
      </c>
      <c r="G149" s="21">
        <f ca="1">IFERROR(__xludf.DUMMYFUNCTION("""COMPUTED_VALUE"""),1256.67)</f>
        <v>1256.67</v>
      </c>
      <c r="H149" s="24">
        <f ca="1">IFERROR(__xludf.DUMMYFUNCTION("""COMPUTED_VALUE"""),0.247304383808)</f>
        <v>0.24730438380799999</v>
      </c>
      <c r="I149" s="21">
        <f ca="1">IFERROR(__xludf.DUMMYFUNCTION("""COMPUTED_VALUE"""),1576.95)</f>
        <v>1576.95</v>
      </c>
      <c r="J149" s="24">
        <f ca="1">IFERROR(__xludf.DUMMYFUNCTION("""COMPUTED_VALUE"""),-0.00602428739021528)</f>
        <v>-6.0242873902152799E-3</v>
      </c>
      <c r="K149" s="24" t="str">
        <f ca="1"/>
        <v>Manufacturing</v>
      </c>
      <c r="L149" s="24" t="str">
        <f ca="1"/>
        <v>GMMPFAUDLR</v>
      </c>
      <c r="M149" s="24" t="str">
        <f ca="1"/>
        <v>No</v>
      </c>
      <c r="N149" s="24" t="str">
        <f ca="1"/>
        <v>Yes</v>
      </c>
      <c r="O149" s="25" t="str">
        <f t="array" aca="1" ref="O149" ca="1">IF(AND(D149&lt;65,M149="No", N149="No"),"Good Stock","")</f>
        <v/>
      </c>
      <c r="P149" s="24" t="str">
        <f t="shared" ca="1" si="0"/>
        <v>Low Cap</v>
      </c>
      <c r="Q149" s="26"/>
      <c r="R149" s="26"/>
      <c r="S149" s="26"/>
      <c r="T149" s="26"/>
      <c r="U149" s="26"/>
      <c r="V149" s="26"/>
      <c r="W149" s="26"/>
      <c r="X149" s="26"/>
      <c r="Y149" s="26"/>
      <c r="Z149" s="27"/>
      <c r="AA149" s="26"/>
      <c r="AB149" s="26"/>
    </row>
    <row r="150" spans="1:28">
      <c r="A150" s="21" t="str">
        <f ca="1">IFERROR(__xludf.DUMMYFUNCTION("""COMPUTED_VALUE"""),"TCI Express")</f>
        <v>TCI Express</v>
      </c>
      <c r="B150" s="22">
        <f ca="1">IFERROR(__xludf.DUMMYFUNCTION("""COMPUTED_VALUE"""),6985.583)</f>
        <v>6985.5829999999996</v>
      </c>
      <c r="C150" s="21">
        <f ca="1">IFERROR(__xludf.DUMMYFUNCTION("""COMPUTED_VALUE"""),1795)</f>
        <v>1795</v>
      </c>
      <c r="D150" s="21">
        <f ca="1">IFERROR(__xludf.DUMMYFUNCTION("""COMPUTED_VALUE"""),49.5)</f>
        <v>49.5</v>
      </c>
      <c r="E150" s="21">
        <f ca="1">IFERROR(__xludf.DUMMYFUNCTION("""COMPUTED_VALUE"""),2249)</f>
        <v>2249</v>
      </c>
      <c r="F150" s="24">
        <f ca="1">IFERROR(__xludf.DUMMYFUNCTION("""COMPUTED_VALUE"""),0.201867496665184)</f>
        <v>0.201867496665184</v>
      </c>
      <c r="G150" s="21">
        <f ca="1">IFERROR(__xludf.DUMMYFUNCTION("""COMPUTED_VALUE"""),1444.5)</f>
        <v>1444.5</v>
      </c>
      <c r="H150" s="24">
        <f ca="1">IFERROR(__xludf.DUMMYFUNCTION("""COMPUTED_VALUE"""),0.242644513672551)</f>
        <v>0.24264451367255099</v>
      </c>
      <c r="I150" s="21">
        <f ca="1">IFERROR(__xludf.DUMMYFUNCTION("""COMPUTED_VALUE"""),1807.4)</f>
        <v>1807.4</v>
      </c>
      <c r="J150" s="24">
        <f ca="1">IFERROR(__xludf.DUMMYFUNCTION("""COMPUTED_VALUE"""),-0.00686068385526175)</f>
        <v>-6.8606838552617497E-3</v>
      </c>
      <c r="K150" s="24" t="str">
        <f ca="1"/>
        <v>Logistic</v>
      </c>
      <c r="L150" s="24" t="str">
        <f ca="1"/>
        <v>BOM:540212</v>
      </c>
      <c r="M150" s="24" t="str">
        <f ca="1"/>
        <v>No</v>
      </c>
      <c r="N150" s="24" t="str">
        <f ca="1"/>
        <v>Yes</v>
      </c>
      <c r="O150" s="25" t="str">
        <f t="array" aca="1" ref="O150" ca="1">IF(AND(D150&lt;65,M150="No", N150="No"),"Good Stock","")</f>
        <v/>
      </c>
      <c r="P150" s="24" t="str">
        <f t="shared" ca="1" si="0"/>
        <v>Low Cap</v>
      </c>
      <c r="Q150" s="26"/>
      <c r="R150" s="26"/>
      <c r="S150" s="26"/>
      <c r="T150" s="26"/>
      <c r="U150" s="26"/>
      <c r="V150" s="26"/>
      <c r="W150" s="26"/>
      <c r="X150" s="26"/>
      <c r="Y150" s="26"/>
      <c r="Z150" s="27"/>
      <c r="AA150" s="26"/>
      <c r="AB150" s="26"/>
    </row>
    <row r="151" spans="1:28">
      <c r="A151" s="21" t="str">
        <f ca="1">IFERROR(__xludf.DUMMYFUNCTION("""COMPUTED_VALUE"""),"Cera Sanitaryware")</f>
        <v>Cera Sanitaryware</v>
      </c>
      <c r="B151" s="22">
        <f ca="1">IFERROR(__xludf.DUMMYFUNCTION("""COMPUTED_VALUE"""),6919.97)</f>
        <v>6919.97</v>
      </c>
      <c r="C151" s="21">
        <f ca="1">IFERROR(__xludf.DUMMYFUNCTION("""COMPUTED_VALUE"""),5294)</f>
        <v>5294</v>
      </c>
      <c r="D151" s="21">
        <f ca="1">IFERROR(__xludf.DUMMYFUNCTION("""COMPUTED_VALUE"""),37)</f>
        <v>37</v>
      </c>
      <c r="E151" s="21">
        <f ca="1">IFERROR(__xludf.DUMMYFUNCTION("""COMPUTED_VALUE"""),6067.95)</f>
        <v>6067.95</v>
      </c>
      <c r="F151" s="24">
        <f ca="1">IFERROR(__xludf.DUMMYFUNCTION("""COMPUTED_VALUE"""),0.127547194686838)</f>
        <v>0.12754719468683801</v>
      </c>
      <c r="G151" s="21">
        <f ca="1">IFERROR(__xludf.DUMMYFUNCTION("""COMPUTED_VALUE"""),3518.6)</f>
        <v>3518.6</v>
      </c>
      <c r="H151" s="24">
        <f ca="1">IFERROR(__xludf.DUMMYFUNCTION("""COMPUTED_VALUE"""),0.504575683510487)</f>
        <v>0.50457568351048698</v>
      </c>
      <c r="I151" s="21">
        <f ca="1">IFERROR(__xludf.DUMMYFUNCTION("""COMPUTED_VALUE"""),5320)</f>
        <v>5320</v>
      </c>
      <c r="J151" s="24">
        <f ca="1">IFERROR(__xludf.DUMMYFUNCTION("""COMPUTED_VALUE"""),-0.00488721804511278)</f>
        <v>-4.8872180451127803E-3</v>
      </c>
      <c r="K151" s="24" t="str">
        <f ca="1"/>
        <v>Ceramics</v>
      </c>
      <c r="L151" s="24" t="str">
        <f ca="1"/>
        <v>BOM:532443</v>
      </c>
      <c r="M151" s="24" t="str">
        <f ca="1"/>
        <v>No</v>
      </c>
      <c r="N151" s="24" t="str">
        <f ca="1"/>
        <v>No</v>
      </c>
      <c r="O151" s="25" t="str">
        <f t="array" aca="1" ref="O151" ca="1">IF(AND(D151&lt;65,M151="No", N151="No"),"Good Stock","")</f>
        <v>Good Stock</v>
      </c>
      <c r="P151" s="24" t="str">
        <f t="shared" ca="1" si="0"/>
        <v>Low Cap</v>
      </c>
      <c r="Q151" s="26"/>
      <c r="R151" s="26"/>
      <c r="S151" s="26"/>
      <c r="T151" s="26"/>
      <c r="U151" s="26"/>
      <c r="V151" s="26"/>
      <c r="W151" s="26"/>
      <c r="X151" s="26"/>
      <c r="Y151" s="26"/>
      <c r="Z151" s="27"/>
      <c r="AA151" s="26"/>
      <c r="AB151" s="26"/>
    </row>
    <row r="152" spans="1:28">
      <c r="A152" s="21" t="str">
        <f ca="1">IFERROR(__xludf.DUMMYFUNCTION("""COMPUTED_VALUE"""),"Prince Pipe")</f>
        <v>Prince Pipe</v>
      </c>
      <c r="B152" s="22">
        <f ca="1">IFERROR(__xludf.DUMMYFUNCTION("""COMPUTED_VALUE"""),6524.233845)</f>
        <v>6524.2338449999997</v>
      </c>
      <c r="C152" s="21">
        <f ca="1">IFERROR(__xludf.DUMMYFUNCTION("""COMPUTED_VALUE"""),590.7)</f>
        <v>590.70000000000005</v>
      </c>
      <c r="D152" s="21">
        <f ca="1">IFERROR(__xludf.DUMMYFUNCTION("""COMPUTED_VALUE"""),44.19)</f>
        <v>44.19</v>
      </c>
      <c r="E152" s="21">
        <f ca="1">IFERROR(__xludf.DUMMYFUNCTION("""COMPUTED_VALUE"""),748)</f>
        <v>748</v>
      </c>
      <c r="F152" s="24">
        <f ca="1">IFERROR(__xludf.DUMMYFUNCTION("""COMPUTED_VALUE"""),0.210294117647058)</f>
        <v>0.21029411764705799</v>
      </c>
      <c r="G152" s="21">
        <f ca="1">IFERROR(__xludf.DUMMYFUNCTION("""COMPUTED_VALUE"""),513.1)</f>
        <v>513.1</v>
      </c>
      <c r="H152" s="24">
        <f ca="1">IFERROR(__xludf.DUMMYFUNCTION("""COMPUTED_VALUE"""),0.15123757552134)</f>
        <v>0.15123757552134001</v>
      </c>
      <c r="I152" s="21">
        <f ca="1">IFERROR(__xludf.DUMMYFUNCTION("""COMPUTED_VALUE"""),575.3)</f>
        <v>575.29999999999995</v>
      </c>
      <c r="J152" s="24">
        <f ca="1">IFERROR(__xludf.DUMMYFUNCTION("""COMPUTED_VALUE"""),0.0267686424474189)</f>
        <v>2.6768642447418899E-2</v>
      </c>
      <c r="K152" s="24" t="str">
        <f ca="1"/>
        <v>Piping</v>
      </c>
      <c r="L152" s="24" t="str">
        <f ca="1"/>
        <v>BOM:542907</v>
      </c>
      <c r="M152" s="24" t="str">
        <f ca="1"/>
        <v>No</v>
      </c>
      <c r="N152" s="24" t="str">
        <f ca="1"/>
        <v>Yes</v>
      </c>
      <c r="O152" s="25" t="str">
        <f t="array" aca="1" ref="O152" ca="1">IF(AND(D152&lt;65,M152="No", N152="No"),"Good Stock","")</f>
        <v/>
      </c>
      <c r="P152" s="24" t="str">
        <f t="shared" ca="1" si="0"/>
        <v>Low Cap</v>
      </c>
      <c r="Q152" s="26"/>
      <c r="R152" s="26"/>
      <c r="S152" s="26"/>
      <c r="T152" s="26"/>
      <c r="U152" s="26"/>
      <c r="V152" s="26"/>
      <c r="W152" s="26"/>
      <c r="X152" s="26"/>
      <c r="Y152" s="26"/>
      <c r="Z152" s="27"/>
      <c r="AA152" s="26"/>
      <c r="AB152" s="26"/>
    </row>
    <row r="153" spans="1:28">
      <c r="A153" s="21" t="str">
        <f ca="1">IFERROR(__xludf.DUMMYFUNCTION("""COMPUTED_VALUE"""),"Praj Industries")</f>
        <v>Praj Industries</v>
      </c>
      <c r="B153" s="22">
        <f ca="1">IFERROR(__xludf.DUMMYFUNCTION("""COMPUTED_VALUE"""),6488.72245)</f>
        <v>6488.7224500000002</v>
      </c>
      <c r="C153" s="21">
        <f ca="1">IFERROR(__xludf.DUMMYFUNCTION("""COMPUTED_VALUE"""),353)</f>
        <v>353</v>
      </c>
      <c r="D153" s="21">
        <f ca="1">IFERROR(__xludf.DUMMYFUNCTION("""COMPUTED_VALUE"""),35.19)</f>
        <v>35.19</v>
      </c>
      <c r="E153" s="21">
        <f ca="1">IFERROR(__xludf.DUMMYFUNCTION("""COMPUTED_VALUE"""),461.5)</f>
        <v>461.5</v>
      </c>
      <c r="F153" s="24">
        <f ca="1">IFERROR(__xludf.DUMMYFUNCTION("""COMPUTED_VALUE"""),0.23510292524377)</f>
        <v>0.23510292524376999</v>
      </c>
      <c r="G153" s="21">
        <f ca="1">IFERROR(__xludf.DUMMYFUNCTION("""COMPUTED_VALUE"""),289.05)</f>
        <v>289.05</v>
      </c>
      <c r="H153" s="24">
        <f ca="1">IFERROR(__xludf.DUMMYFUNCTION("""COMPUTED_VALUE"""),0.221241999654039)</f>
        <v>0.22124199965403901</v>
      </c>
      <c r="I153" s="21">
        <f ca="1">IFERROR(__xludf.DUMMYFUNCTION("""COMPUTED_VALUE"""),355.1)</f>
        <v>355.1</v>
      </c>
      <c r="J153" s="24">
        <f ca="1">IFERROR(__xludf.DUMMYFUNCTION("""COMPUTED_VALUE"""),-0.00591382709096035)</f>
        <v>-5.9138270909603503E-3</v>
      </c>
      <c r="K153" s="24" t="str">
        <f ca="1"/>
        <v>Manufacturing</v>
      </c>
      <c r="L153" s="24" t="str">
        <f ca="1"/>
        <v>BOM:522205</v>
      </c>
      <c r="M153" s="24" t="str">
        <f ca="1"/>
        <v>No</v>
      </c>
      <c r="N153" s="24" t="str">
        <f ca="1"/>
        <v>Yes</v>
      </c>
      <c r="O153" s="25" t="str">
        <f t="array" aca="1" ref="O153" ca="1">IF(AND(D153&lt;65,M153="No", N153="No"),"Good Stock","")</f>
        <v/>
      </c>
      <c r="P153" s="24" t="str">
        <f t="shared" ca="1" si="0"/>
        <v>Low Cap</v>
      </c>
      <c r="Q153" s="26"/>
      <c r="R153" s="26"/>
      <c r="S153" s="26"/>
      <c r="T153" s="26"/>
      <c r="U153" s="26"/>
      <c r="V153" s="26"/>
      <c r="W153" s="26"/>
      <c r="X153" s="26"/>
      <c r="Y153" s="26"/>
      <c r="Z153" s="27"/>
      <c r="AA153" s="26"/>
      <c r="AB153" s="26"/>
    </row>
    <row r="154" spans="1:28">
      <c r="A154" s="21" t="str">
        <f ca="1">IFERROR(__xludf.DUMMYFUNCTION("""COMPUTED_VALUE"""),"Data Pattern")</f>
        <v>Data Pattern</v>
      </c>
      <c r="B154" s="22">
        <f ca="1">IFERROR(__xludf.DUMMYFUNCTION("""COMPUTED_VALUE"""),6367.8328518)</f>
        <v>6367.8328517999998</v>
      </c>
      <c r="C154" s="21">
        <f ca="1">IFERROR(__xludf.DUMMYFUNCTION("""COMPUTED_VALUE"""),1227.1)</f>
        <v>1227.0999999999999</v>
      </c>
      <c r="D154" s="21">
        <f ca="1">IFERROR(__xludf.DUMMYFUNCTION("""COMPUTED_VALUE"""),59.65)</f>
        <v>59.65</v>
      </c>
      <c r="E154" s="21">
        <f ca="1">IFERROR(__xludf.DUMMYFUNCTION("""COMPUTED_VALUE"""),1480)</f>
        <v>1480</v>
      </c>
      <c r="F154" s="24">
        <f ca="1">IFERROR(__xludf.DUMMYFUNCTION("""COMPUTED_VALUE"""),0.170878378378378)</f>
        <v>0.17087837837837799</v>
      </c>
      <c r="G154" s="21">
        <f ca="1">IFERROR(__xludf.DUMMYFUNCTION("""COMPUTED_VALUE"""),575)</f>
        <v>575</v>
      </c>
      <c r="H154" s="24">
        <f ca="1">IFERROR(__xludf.DUMMYFUNCTION("""COMPUTED_VALUE"""),1.13408695652173)</f>
        <v>1.13408695652173</v>
      </c>
      <c r="I154" s="21">
        <f ca="1">IFERROR(__xludf.DUMMYFUNCTION("""COMPUTED_VALUE"""),1161.25)</f>
        <v>1161.25</v>
      </c>
      <c r="J154" s="24">
        <f ca="1">IFERROR(__xludf.DUMMYFUNCTION("""COMPUTED_VALUE"""),0.0567061356297092)</f>
        <v>5.6706135629709199E-2</v>
      </c>
      <c r="K154" s="24" t="str">
        <f ca="1"/>
        <v>Technology</v>
      </c>
      <c r="L154" s="24" t="str">
        <f ca="1"/>
        <v>BOM:543428</v>
      </c>
      <c r="M154" s="24" t="str">
        <f ca="1"/>
        <v>No</v>
      </c>
      <c r="N154" s="24" t="str">
        <f ca="1"/>
        <v>No</v>
      </c>
      <c r="O154" s="25" t="str">
        <f t="array" aca="1" ref="O154" ca="1">IF(AND(D154&lt;65,M154="No", N154="No"),"Good Stock","")</f>
        <v>Good Stock</v>
      </c>
      <c r="P154" s="24" t="str">
        <f t="shared" ca="1" si="0"/>
        <v>Low Cap</v>
      </c>
      <c r="Q154" s="26"/>
      <c r="R154" s="26"/>
      <c r="S154" s="26"/>
      <c r="T154" s="26"/>
      <c r="U154" s="26"/>
      <c r="V154" s="26"/>
      <c r="W154" s="26"/>
      <c r="X154" s="26"/>
      <c r="Y154" s="26"/>
      <c r="Z154" s="27"/>
      <c r="AA154" s="26"/>
      <c r="AB154" s="26"/>
    </row>
    <row r="155" spans="1:28">
      <c r="A155" s="21" t="str">
        <f ca="1">IFERROR(__xludf.DUMMYFUNCTION("""COMPUTED_VALUE"""),"Amber Enterprise")</f>
        <v>Amber Enterprise</v>
      </c>
      <c r="B155" s="22">
        <f ca="1">IFERROR(__xludf.DUMMYFUNCTION("""COMPUTED_VALUE"""),6297.527)</f>
        <v>6297.527</v>
      </c>
      <c r="C155" s="21">
        <f ca="1">IFERROR(__xludf.DUMMYFUNCTION("""COMPUTED_VALUE"""),1870)</f>
        <v>1870</v>
      </c>
      <c r="D155" s="21">
        <f ca="1">IFERROR(__xludf.DUMMYFUNCTION("""COMPUTED_VALUE"""),49.07)</f>
        <v>49.07</v>
      </c>
      <c r="E155" s="21">
        <f ca="1">IFERROR(__xludf.DUMMYFUNCTION("""COMPUTED_VALUE"""),4023.65)</f>
        <v>4023.65</v>
      </c>
      <c r="F155" s="24">
        <f ca="1">IFERROR(__xludf.DUMMYFUNCTION("""COMPUTED_VALUE"""),0.535247847103997)</f>
        <v>0.53524784710399698</v>
      </c>
      <c r="G155" s="21">
        <f ca="1">IFERROR(__xludf.DUMMYFUNCTION("""COMPUTED_VALUE"""),1844.15)</f>
        <v>1844.15</v>
      </c>
      <c r="H155" s="24">
        <f ca="1">IFERROR(__xludf.DUMMYFUNCTION("""COMPUTED_VALUE"""),0.0140172979421413)</f>
        <v>1.40172979421413E-2</v>
      </c>
      <c r="I155" s="21">
        <f ca="1">IFERROR(__xludf.DUMMYFUNCTION("""COMPUTED_VALUE"""),1876)</f>
        <v>1876</v>
      </c>
      <c r="J155" s="24">
        <f ca="1">IFERROR(__xludf.DUMMYFUNCTION("""COMPUTED_VALUE"""),-0.00319829424307036)</f>
        <v>-3.1982942430703598E-3</v>
      </c>
      <c r="K155" s="24" t="str">
        <f ca="1"/>
        <v>Manufacturing</v>
      </c>
      <c r="L155" s="24" t="str">
        <f ca="1"/>
        <v>BOM:540902</v>
      </c>
      <c r="M155" s="24" t="str">
        <f ca="1"/>
        <v>Yes</v>
      </c>
      <c r="N155" s="24" t="str">
        <f ca="1"/>
        <v>Yes</v>
      </c>
      <c r="O155" s="25" t="str">
        <f t="array" aca="1" ref="O155" ca="1">IF(AND(D155&lt;65,M155="No", N155="No"),"Good Stock","")</f>
        <v/>
      </c>
      <c r="P155" s="24" t="str">
        <f t="shared" ca="1" si="0"/>
        <v>Low Cap</v>
      </c>
      <c r="Q155" s="26"/>
      <c r="R155" s="26"/>
      <c r="S155" s="26"/>
      <c r="T155" s="26"/>
      <c r="U155" s="26"/>
      <c r="V155" s="26"/>
      <c r="W155" s="26"/>
      <c r="X155" s="26"/>
      <c r="Y155" s="26"/>
      <c r="Z155" s="27"/>
      <c r="AA155" s="26"/>
      <c r="AB155" s="26"/>
    </row>
    <row r="156" spans="1:28">
      <c r="A156" s="21" t="str">
        <f ca="1">IFERROR(__xludf.DUMMYFUNCTION("""COMPUTED_VALUE"""),"Garware technical")</f>
        <v>Garware technical</v>
      </c>
      <c r="B156" s="22">
        <f ca="1">IFERROR(__xludf.DUMMYFUNCTION("""COMPUTED_VALUE"""),6152.5851506)</f>
        <v>6152.5851505999999</v>
      </c>
      <c r="C156" s="21">
        <f ca="1">IFERROR(__xludf.DUMMYFUNCTION("""COMPUTED_VALUE"""),3024.95)</f>
        <v>3024.95</v>
      </c>
      <c r="D156" s="21">
        <f ca="1">IFERROR(__xludf.DUMMYFUNCTION("""COMPUTED_VALUE"""),37.14)</f>
        <v>37.14</v>
      </c>
      <c r="E156" s="21">
        <f ca="1">IFERROR(__xludf.DUMMYFUNCTION("""COMPUTED_VALUE"""),3754.85)</f>
        <v>3754.85</v>
      </c>
      <c r="F156" s="24">
        <f ca="1">IFERROR(__xludf.DUMMYFUNCTION("""COMPUTED_VALUE"""),0.194388590755955)</f>
        <v>0.19438859075595499</v>
      </c>
      <c r="G156" s="21">
        <f ca="1">IFERROR(__xludf.DUMMYFUNCTION("""COMPUTED_VALUE"""),2619.8)</f>
        <v>2619.8000000000002</v>
      </c>
      <c r="H156" s="24">
        <f ca="1">IFERROR(__xludf.DUMMYFUNCTION("""COMPUTED_VALUE"""),0.154649209863348)</f>
        <v>0.15464920986334799</v>
      </c>
      <c r="I156" s="21">
        <f ca="1">IFERROR(__xludf.DUMMYFUNCTION("""COMPUTED_VALUE"""),3026.7)</f>
        <v>3026.7</v>
      </c>
      <c r="J156" s="24">
        <f ca="1">IFERROR(__xludf.DUMMYFUNCTION("""COMPUTED_VALUE"""),-0.000578187464895761)</f>
        <v>-5.7818746489576097E-4</v>
      </c>
      <c r="K156" s="24" t="str">
        <f ca="1"/>
        <v>Textile</v>
      </c>
      <c r="L156" s="24" t="str">
        <f ca="1"/>
        <v>GARFIBRES</v>
      </c>
      <c r="M156" s="24" t="str">
        <f ca="1"/>
        <v>No</v>
      </c>
      <c r="N156" s="24" t="str">
        <f ca="1"/>
        <v>Yes</v>
      </c>
      <c r="O156" s="25" t="str">
        <f t="array" aca="1" ref="O156" ca="1">IF(AND(D156&lt;65,M156="No", N156="No"),"Good Stock","")</f>
        <v/>
      </c>
      <c r="P156" s="24" t="str">
        <f t="shared" ca="1" si="0"/>
        <v>Low Cap</v>
      </c>
      <c r="Q156" s="26"/>
      <c r="R156" s="26"/>
      <c r="S156" s="26"/>
      <c r="T156" s="26"/>
      <c r="U156" s="26"/>
      <c r="V156" s="26"/>
      <c r="W156" s="26"/>
      <c r="X156" s="26"/>
      <c r="Y156" s="26"/>
      <c r="Z156" s="27"/>
      <c r="AA156" s="26"/>
      <c r="AB156" s="26"/>
    </row>
    <row r="157" spans="1:28">
      <c r="A157" s="21" t="str">
        <f ca="1">IFERROR(__xludf.DUMMYFUNCTION("""COMPUTED_VALUE"""),"MapmyIndia")</f>
        <v>MapmyIndia</v>
      </c>
      <c r="B157" s="22">
        <f ca="1">IFERROR(__xludf.DUMMYFUNCTION("""COMPUTED_VALUE"""),5752.7067025)</f>
        <v>5752.7067024999997</v>
      </c>
      <c r="C157" s="21">
        <f ca="1">IFERROR(__xludf.DUMMYFUNCTION("""COMPUTED_VALUE"""),1071.5)</f>
        <v>1071.5</v>
      </c>
      <c r="D157" s="21">
        <f ca="1">IFERROR(__xludf.DUMMYFUNCTION("""COMPUTED_VALUE"""),65.24)</f>
        <v>65.239999999999995</v>
      </c>
      <c r="E157" s="21">
        <f ca="1">IFERROR(__xludf.DUMMYFUNCTION("""COMPUTED_VALUE"""),1918.35)</f>
        <v>1918.35</v>
      </c>
      <c r="F157" s="24">
        <f ca="1">IFERROR(__xludf.DUMMYFUNCTION("""COMPUTED_VALUE"""),0.441447076915057)</f>
        <v>0.44144707691505702</v>
      </c>
      <c r="G157" s="21">
        <f ca="1">IFERROR(__xludf.DUMMYFUNCTION("""COMPUTED_VALUE"""),1023.2)</f>
        <v>1023.2</v>
      </c>
      <c r="H157" s="24">
        <f ca="1">IFERROR(__xludf.DUMMYFUNCTION("""COMPUTED_VALUE"""),0.0472048475371383)</f>
        <v>4.72048475371383E-2</v>
      </c>
      <c r="I157" s="21">
        <f ca="1">IFERROR(__xludf.DUMMYFUNCTION("""COMPUTED_VALUE"""),1069.9)</f>
        <v>1069.9000000000001</v>
      </c>
      <c r="J157" s="24">
        <f ca="1">IFERROR(__xludf.DUMMYFUNCTION("""COMPUTED_VALUE"""),0.00149546686606216)</f>
        <v>1.4954668660621599E-3</v>
      </c>
      <c r="K157" s="24" t="str">
        <f ca="1"/>
        <v>Technology</v>
      </c>
      <c r="L157" s="24" t="str">
        <f ca="1"/>
        <v>BOM:543425</v>
      </c>
      <c r="M157" s="24" t="str">
        <f ca="1"/>
        <v>Yes</v>
      </c>
      <c r="N157" s="24" t="str">
        <f ca="1"/>
        <v>Yes</v>
      </c>
      <c r="O157" s="25" t="str">
        <f t="array" aca="1" ref="O157" ca="1">IF(AND(D157&lt;65,M157="No", N157="No"),"Good Stock","")</f>
        <v/>
      </c>
      <c r="P157" s="24" t="str">
        <f t="shared" ca="1" si="0"/>
        <v>Low Cap</v>
      </c>
      <c r="Q157" s="26"/>
      <c r="R157" s="26"/>
      <c r="S157" s="26"/>
      <c r="T157" s="26"/>
      <c r="U157" s="26"/>
      <c r="V157" s="26"/>
      <c r="W157" s="26"/>
      <c r="X157" s="26"/>
      <c r="Y157" s="26"/>
      <c r="Z157" s="27"/>
      <c r="AA157" s="26"/>
      <c r="AB157" s="26"/>
    </row>
    <row r="158" spans="1:28">
      <c r="A158" s="21" t="str">
        <f ca="1">IFERROR(__xludf.DUMMYFUNCTION("""COMPUTED_VALUE"""),"Borosil Renewable")</f>
        <v>Borosil Renewable</v>
      </c>
      <c r="B158" s="22">
        <f ca="1">IFERROR(__xludf.DUMMYFUNCTION("""COMPUTED_VALUE"""),5686.243)</f>
        <v>5686.2430000000004</v>
      </c>
      <c r="C158" s="21">
        <f ca="1">IFERROR(__xludf.DUMMYFUNCTION("""COMPUTED_VALUE"""),499.35)</f>
        <v>499.35</v>
      </c>
      <c r="D158" s="21">
        <f ca="1">IFERROR(__xludf.DUMMYFUNCTION("""COMPUTED_VALUE"""),39.43)</f>
        <v>39.43</v>
      </c>
      <c r="E158" s="21">
        <f ca="1">IFERROR(__xludf.DUMMYFUNCTION("""COMPUTED_VALUE"""),833)</f>
        <v>833</v>
      </c>
      <c r="F158" s="24">
        <f ca="1">IFERROR(__xludf.DUMMYFUNCTION("""COMPUTED_VALUE"""),0.400540216086434)</f>
        <v>0.40054021608643398</v>
      </c>
      <c r="G158" s="21">
        <f ca="1">IFERROR(__xludf.DUMMYFUNCTION("""COMPUTED_VALUE"""),468)</f>
        <v>468</v>
      </c>
      <c r="H158" s="24">
        <f ca="1">IFERROR(__xludf.DUMMYFUNCTION("""COMPUTED_VALUE"""),0.0669871794871795)</f>
        <v>6.6987179487179499E-2</v>
      </c>
      <c r="I158" s="21">
        <f ca="1">IFERROR(__xludf.DUMMYFUNCTION("""COMPUTED_VALUE"""),494.9)</f>
        <v>494.9</v>
      </c>
      <c r="J158" s="24">
        <f ca="1">IFERROR(__xludf.DUMMYFUNCTION("""COMPUTED_VALUE"""),0.00899171549808051)</f>
        <v>8.9917154980805099E-3</v>
      </c>
      <c r="K158" s="24" t="str">
        <f ca="1"/>
        <v>Manufacturing</v>
      </c>
      <c r="L158" s="24" t="str">
        <f ca="1"/>
        <v>BOM:502219</v>
      </c>
      <c r="M158" s="24" t="str">
        <f ca="1"/>
        <v>Yes</v>
      </c>
      <c r="N158" s="24" t="str">
        <f ca="1"/>
        <v>Yes</v>
      </c>
      <c r="O158" s="25" t="str">
        <f t="array" aca="1" ref="O158" ca="1">IF(AND(D158&lt;65,M158="No", N158="No"),"Good Stock","")</f>
        <v/>
      </c>
      <c r="P158" s="24" t="str">
        <f t="shared" ca="1" si="0"/>
        <v>Low Cap</v>
      </c>
      <c r="Q158" s="26"/>
      <c r="R158" s="26"/>
      <c r="S158" s="26"/>
      <c r="T158" s="26"/>
      <c r="U158" s="26"/>
      <c r="V158" s="26"/>
      <c r="W158" s="26"/>
      <c r="X158" s="26"/>
      <c r="Y158" s="26"/>
      <c r="Z158" s="27"/>
      <c r="AA158" s="26"/>
      <c r="AB158" s="26"/>
    </row>
    <row r="159" spans="1:28">
      <c r="A159" s="21" t="str">
        <f ca="1">IFERROR(__xludf.DUMMYFUNCTION("""COMPUTED_VALUE"""),"Orient Electric")</f>
        <v>Orient Electric</v>
      </c>
      <c r="B159" s="22">
        <f ca="1">IFERROR(__xludf.DUMMYFUNCTION("""COMPUTED_VALUE"""),5679.5794914)</f>
        <v>5679.5794913999998</v>
      </c>
      <c r="C159" s="21">
        <f ca="1">IFERROR(__xludf.DUMMYFUNCTION("""COMPUTED_VALUE"""),267.2)</f>
        <v>267.2</v>
      </c>
      <c r="D159" s="21">
        <f ca="1">IFERROR(__xludf.DUMMYFUNCTION("""COMPUTED_VALUE"""),53.9)</f>
        <v>53.9</v>
      </c>
      <c r="E159" s="21">
        <f ca="1">IFERROR(__xludf.DUMMYFUNCTION("""COMPUTED_VALUE"""),372.2)</f>
        <v>372.2</v>
      </c>
      <c r="F159" s="24">
        <f ca="1">IFERROR(__xludf.DUMMYFUNCTION("""COMPUTED_VALUE"""),0.282106394411606)</f>
        <v>0.28210639441160601</v>
      </c>
      <c r="G159" s="21">
        <f ca="1">IFERROR(__xludf.DUMMYFUNCTION("""COMPUTED_VALUE"""),244)</f>
        <v>244</v>
      </c>
      <c r="H159" s="24">
        <f ca="1">IFERROR(__xludf.DUMMYFUNCTION("""COMPUTED_VALUE"""),0.0950819672131147)</f>
        <v>9.5081967213114696E-2</v>
      </c>
      <c r="I159" s="21">
        <f ca="1">IFERROR(__xludf.DUMMYFUNCTION("""COMPUTED_VALUE"""),268.4)</f>
        <v>268.39999999999998</v>
      </c>
      <c r="J159" s="24">
        <f ca="1">IFERROR(__xludf.DUMMYFUNCTION("""COMPUTED_VALUE"""),-0.00447093889716836)</f>
        <v>-4.4709388971683603E-3</v>
      </c>
      <c r="K159" s="24" t="str">
        <f ca="1"/>
        <v>Consumer Electrical</v>
      </c>
      <c r="L159" s="24" t="str">
        <f ca="1"/>
        <v>ORIENTELEC</v>
      </c>
      <c r="M159" s="24" t="str">
        <f ca="1"/>
        <v>No</v>
      </c>
      <c r="N159" s="24" t="str">
        <f ca="1"/>
        <v>Yes</v>
      </c>
      <c r="O159" s="25" t="str">
        <f t="array" aca="1" ref="O159" ca="1">IF(AND(D159&lt;65,M159="No", N159="No"),"Good Stock","")</f>
        <v/>
      </c>
      <c r="P159" s="24" t="str">
        <f t="shared" ca="1" si="0"/>
        <v>Low Cap</v>
      </c>
      <c r="Q159" s="26"/>
      <c r="R159" s="26"/>
      <c r="S159" s="26"/>
      <c r="T159" s="26"/>
      <c r="U159" s="26"/>
      <c r="V159" s="26"/>
      <c r="W159" s="26"/>
      <c r="X159" s="26"/>
      <c r="Y159" s="26"/>
      <c r="Z159" s="27"/>
      <c r="AA159" s="26"/>
      <c r="AB159" s="26"/>
    </row>
    <row r="160" spans="1:28">
      <c r="A160" s="21" t="str">
        <f ca="1">IFERROR(__xludf.DUMMYFUNCTION("""COMPUTED_VALUE"""),"Gujarat Ambuja Export")</f>
        <v>Gujarat Ambuja Export</v>
      </c>
      <c r="B160" s="22">
        <f ca="1">IFERROR(__xludf.DUMMYFUNCTION("""COMPUTED_VALUE"""),5515.515)</f>
        <v>5515.5150000000003</v>
      </c>
      <c r="C160" s="21">
        <f ca="1">IFERROR(__xludf.DUMMYFUNCTION("""COMPUTED_VALUE"""),241.5)</f>
        <v>241.5</v>
      </c>
      <c r="D160" s="21">
        <f ca="1">IFERROR(__xludf.DUMMYFUNCTION("""COMPUTED_VALUE"""),12.67)</f>
        <v>12.67</v>
      </c>
      <c r="E160" s="21">
        <f ca="1">IFERROR(__xludf.DUMMYFUNCTION("""COMPUTED_VALUE"""),393.85)</f>
        <v>393.85</v>
      </c>
      <c r="F160" s="24">
        <f ca="1">IFERROR(__xludf.DUMMYFUNCTION("""COMPUTED_VALUE"""),0.386822394312555)</f>
        <v>0.386822394312555</v>
      </c>
      <c r="G160" s="21">
        <f ca="1">IFERROR(__xludf.DUMMYFUNCTION("""COMPUTED_VALUE"""),169.25)</f>
        <v>169.25</v>
      </c>
      <c r="H160" s="24">
        <f ca="1">IFERROR(__xludf.DUMMYFUNCTION("""COMPUTED_VALUE"""),0.426883308714918)</f>
        <v>0.42688330871491798</v>
      </c>
      <c r="I160" s="21">
        <f ca="1">IFERROR(__xludf.DUMMYFUNCTION("""COMPUTED_VALUE"""),236.7)</f>
        <v>236.7</v>
      </c>
      <c r="J160" s="24">
        <f ca="1">IFERROR(__xludf.DUMMYFUNCTION("""COMPUTED_VALUE"""),0.0202788339670469)</f>
        <v>2.02788339670469E-2</v>
      </c>
      <c r="K160" s="24">
        <f ca="1"/>
        <v>0</v>
      </c>
      <c r="L160" s="24" t="str">
        <f ca="1"/>
        <v>BOM:524226</v>
      </c>
      <c r="M160" s="24" t="str">
        <f ca="1"/>
        <v>Yes</v>
      </c>
      <c r="N160" s="24" t="str">
        <f ca="1"/>
        <v>No</v>
      </c>
      <c r="O160" s="25" t="str">
        <f t="array" aca="1" ref="O160" ca="1">IF(AND(D160&lt;65,M160="No", N160="No"),"Good Stock","")</f>
        <v/>
      </c>
      <c r="P160" s="24" t="str">
        <f t="shared" ca="1" si="0"/>
        <v>Low Cap</v>
      </c>
      <c r="Q160" s="26"/>
      <c r="R160" s="26"/>
      <c r="S160" s="26"/>
      <c r="T160" s="26"/>
      <c r="U160" s="26"/>
      <c r="V160" s="26"/>
      <c r="W160" s="26"/>
      <c r="X160" s="26"/>
      <c r="Y160" s="26"/>
      <c r="Z160" s="27"/>
      <c r="AA160" s="26"/>
      <c r="AB160" s="26"/>
    </row>
    <row r="161" spans="1:28">
      <c r="A161" s="21" t="str">
        <f ca="1">IFERROR(__xludf.DUMMYFUNCTION("""COMPUTED_VALUE"""),"Avanti Feed")</f>
        <v>Avanti Feed</v>
      </c>
      <c r="B161" s="22">
        <f ca="1">IFERROR(__xludf.DUMMYFUNCTION("""COMPUTED_VALUE"""),5305.4035808)</f>
        <v>5305.4035807999999</v>
      </c>
      <c r="C161" s="21">
        <f ca="1">IFERROR(__xludf.DUMMYFUNCTION("""COMPUTED_VALUE"""),389.4)</f>
        <v>389.4</v>
      </c>
      <c r="D161" s="21">
        <f ca="1">IFERROR(__xludf.DUMMYFUNCTION("""COMPUTED_VALUE"""),21.44)</f>
        <v>21.44</v>
      </c>
      <c r="E161" s="21">
        <f ca="1">IFERROR(__xludf.DUMMYFUNCTION("""COMPUTED_VALUE"""),638.8)</f>
        <v>638.79999999999995</v>
      </c>
      <c r="F161" s="24">
        <f ca="1">IFERROR(__xludf.DUMMYFUNCTION("""COMPUTED_VALUE"""),0.390419536631183)</f>
        <v>0.39041953663118301</v>
      </c>
      <c r="G161" s="21">
        <f ca="1">IFERROR(__xludf.DUMMYFUNCTION("""COMPUTED_VALUE"""),364.1)</f>
        <v>364.1</v>
      </c>
      <c r="H161" s="24">
        <f ca="1">IFERROR(__xludf.DUMMYFUNCTION("""COMPUTED_VALUE"""),0.0694864048338367)</f>
        <v>6.9486404833836696E-2</v>
      </c>
      <c r="I161" s="21">
        <f ca="1">IFERROR(__xludf.DUMMYFUNCTION("""COMPUTED_VALUE"""),388.7)</f>
        <v>388.7</v>
      </c>
      <c r="J161" s="24">
        <f ca="1">IFERROR(__xludf.DUMMYFUNCTION("""COMPUTED_VALUE"""),0.00180087471057367)</f>
        <v>1.8008747105736701E-3</v>
      </c>
      <c r="K161" s="24" t="str">
        <f ca="1"/>
        <v>Food</v>
      </c>
      <c r="L161" s="24" t="str">
        <f ca="1"/>
        <v>AVANTIFEED</v>
      </c>
      <c r="M161" s="24" t="str">
        <f ca="1"/>
        <v>Yes</v>
      </c>
      <c r="N161" s="24" t="str">
        <f ca="1"/>
        <v>Yes</v>
      </c>
      <c r="O161" s="25" t="str">
        <f t="array" aca="1" ref="O161" ca="1">IF(AND(D161&lt;65,M161="No", N161="No"),"Good Stock","")</f>
        <v/>
      </c>
      <c r="P161" s="24" t="str">
        <f t="shared" ca="1" si="0"/>
        <v>Low Cap</v>
      </c>
      <c r="Q161" s="26"/>
      <c r="R161" s="26"/>
      <c r="S161" s="26"/>
      <c r="T161" s="26"/>
      <c r="U161" s="26"/>
      <c r="V161" s="26"/>
      <c r="W161" s="26"/>
      <c r="X161" s="26"/>
      <c r="Y161" s="26"/>
      <c r="Z161" s="27"/>
      <c r="AA161" s="26"/>
      <c r="AB161" s="26"/>
    </row>
    <row r="162" spans="1:28">
      <c r="A162" s="21" t="str">
        <f ca="1">IFERROR(__xludf.DUMMYFUNCTION("""COMPUTED_VALUE"""),"MTAR")</f>
        <v>MTAR</v>
      </c>
      <c r="B162" s="22">
        <f ca="1">IFERROR(__xludf.DUMMYFUNCTION("""COMPUTED_VALUE"""),5182.98923)</f>
        <v>5182.9892300000001</v>
      </c>
      <c r="C162" s="21">
        <f ca="1">IFERROR(__xludf.DUMMYFUNCTION("""COMPUTED_VALUE"""),1688.15)</f>
        <v>1688.15</v>
      </c>
      <c r="D162" s="21">
        <f ca="1">IFERROR(__xludf.DUMMYFUNCTION("""COMPUTED_VALUE"""),70.16)</f>
        <v>70.16</v>
      </c>
      <c r="E162" s="21">
        <f ca="1">IFERROR(__xludf.DUMMYFUNCTION("""COMPUTED_VALUE"""),2409.15)</f>
        <v>2409.15</v>
      </c>
      <c r="F162" s="24">
        <f ca="1">IFERROR(__xludf.DUMMYFUNCTION("""COMPUTED_VALUE"""),0.299275678143743)</f>
        <v>0.29927567814374301</v>
      </c>
      <c r="G162" s="21">
        <f ca="1">IFERROR(__xludf.DUMMYFUNCTION("""COMPUTED_VALUE"""),1211.85)</f>
        <v>1211.8499999999999</v>
      </c>
      <c r="H162" s="24">
        <f ca="1">IFERROR(__xludf.DUMMYFUNCTION("""COMPUTED_VALUE"""),0.393035441680076)</f>
        <v>0.39303544168007598</v>
      </c>
      <c r="I162" s="21">
        <f ca="1">IFERROR(__xludf.DUMMYFUNCTION("""COMPUTED_VALUE"""),1670.5)</f>
        <v>1670.5</v>
      </c>
      <c r="J162" s="24">
        <f ca="1">IFERROR(__xludf.DUMMYFUNCTION("""COMPUTED_VALUE"""),0.0105656988925471)</f>
        <v>1.0565698892547101E-2</v>
      </c>
      <c r="K162" s="24" t="str">
        <f ca="1"/>
        <v>Defence</v>
      </c>
      <c r="L162" s="24" t="str">
        <f ca="1"/>
        <v>BOM:543270</v>
      </c>
      <c r="M162" s="24" t="str">
        <f ca="1"/>
        <v>No</v>
      </c>
      <c r="N162" s="24" t="str">
        <f ca="1"/>
        <v>No</v>
      </c>
      <c r="O162" s="25" t="str">
        <f t="array" aca="1" ref="O162" ca="1">IF(AND(D162&lt;65,M162="No", N162="No"),"Good Stock","")</f>
        <v/>
      </c>
      <c r="P162" s="24" t="str">
        <f t="shared" ca="1" si="0"/>
        <v>Low Cap</v>
      </c>
      <c r="Q162" s="26"/>
      <c r="R162" s="26"/>
      <c r="S162" s="26"/>
      <c r="T162" s="26"/>
      <c r="U162" s="26"/>
      <c r="V162" s="26"/>
      <c r="W162" s="26"/>
      <c r="X162" s="26"/>
      <c r="Y162" s="26"/>
      <c r="Z162" s="27"/>
      <c r="AA162" s="26"/>
      <c r="AB162" s="26"/>
    </row>
    <row r="163" spans="1:28">
      <c r="A163" s="21" t="str">
        <f ca="1">IFERROR(__xludf.DUMMYFUNCTION("""COMPUTED_VALUE"""),"Mastek")</f>
        <v>Mastek</v>
      </c>
      <c r="B163" s="22">
        <f ca="1">IFERROR(__xludf.DUMMYFUNCTION("""COMPUTED_VALUE"""),5153.9576635)</f>
        <v>5153.9576635000003</v>
      </c>
      <c r="C163" s="21">
        <f ca="1">IFERROR(__xludf.DUMMYFUNCTION("""COMPUTED_VALUE"""),1714.7)</f>
        <v>1714.7</v>
      </c>
      <c r="D163" s="21">
        <f ca="1">IFERROR(__xludf.DUMMYFUNCTION("""COMPUTED_VALUE"""),17.12)</f>
        <v>17.12</v>
      </c>
      <c r="E163" s="21">
        <f ca="1">IFERROR(__xludf.DUMMYFUNCTION("""COMPUTED_VALUE"""),3410.85)</f>
        <v>3410.85</v>
      </c>
      <c r="F163" s="24">
        <f ca="1">IFERROR(__xludf.DUMMYFUNCTION("""COMPUTED_VALUE"""),0.497280736473313)</f>
        <v>0.497280736473313</v>
      </c>
      <c r="G163" s="21">
        <f ca="1">IFERROR(__xludf.DUMMYFUNCTION("""COMPUTED_VALUE"""),1492)</f>
        <v>1492</v>
      </c>
      <c r="H163" s="24">
        <f ca="1">IFERROR(__xludf.DUMMYFUNCTION("""COMPUTED_VALUE"""),0.14926273458445)</f>
        <v>0.14926273458445</v>
      </c>
      <c r="I163" s="21">
        <f ca="1">IFERROR(__xludf.DUMMYFUNCTION("""COMPUTED_VALUE"""),1693.7)</f>
        <v>1693.7</v>
      </c>
      <c r="J163" s="24">
        <f ca="1">IFERROR(__xludf.DUMMYFUNCTION("""COMPUTED_VALUE"""),0.0123988900041329)</f>
        <v>1.23988900041329E-2</v>
      </c>
      <c r="K163" s="24" t="str">
        <f ca="1"/>
        <v>IT</v>
      </c>
      <c r="L163" s="24" t="str">
        <f ca="1"/>
        <v>BOM:523704</v>
      </c>
      <c r="M163" s="24" t="str">
        <f ca="1"/>
        <v>Yes</v>
      </c>
      <c r="N163" s="24" t="str">
        <f ca="1"/>
        <v>Yes</v>
      </c>
      <c r="O163" s="25" t="str">
        <f t="array" aca="1" ref="O163" ca="1">IF(AND(D163&lt;65,M163="No", N163="No"),"Good Stock","")</f>
        <v/>
      </c>
      <c r="P163" s="24" t="str">
        <f t="shared" ca="1" si="0"/>
        <v>Low Cap</v>
      </c>
      <c r="Q163" s="26"/>
      <c r="R163" s="26"/>
      <c r="S163" s="26"/>
      <c r="T163" s="26"/>
      <c r="U163" s="26"/>
      <c r="V163" s="26"/>
      <c r="W163" s="26"/>
      <c r="X163" s="26"/>
      <c r="Y163" s="26"/>
      <c r="Z163" s="27"/>
      <c r="AA163" s="26"/>
      <c r="AB163" s="26"/>
    </row>
    <row r="164" spans="1:28">
      <c r="A164" s="21" t="str">
        <f ca="1">IFERROR(__xludf.DUMMYFUNCTION("""COMPUTED_VALUE"""),"Vaibhav Global")</f>
        <v>Vaibhav Global</v>
      </c>
      <c r="B164" s="22">
        <f ca="1">IFERROR(__xludf.DUMMYFUNCTION("""COMPUTED_VALUE"""),4927.69342)</f>
        <v>4927.6934199999996</v>
      </c>
      <c r="C164" s="21">
        <f ca="1">IFERROR(__xludf.DUMMYFUNCTION("""COMPUTED_VALUE"""),299)</f>
        <v>299</v>
      </c>
      <c r="D164" s="21">
        <f ca="1">IFERROR(__xludf.DUMMYFUNCTION("""COMPUTED_VALUE"""),35.85)</f>
        <v>35.85</v>
      </c>
      <c r="E164" s="21">
        <f ca="1">IFERROR(__xludf.DUMMYFUNCTION("""COMPUTED_VALUE"""),566.5)</f>
        <v>566.5</v>
      </c>
      <c r="F164" s="24">
        <f ca="1">IFERROR(__xludf.DUMMYFUNCTION("""COMPUTED_VALUE"""),0.472197705207413)</f>
        <v>0.472197705207413</v>
      </c>
      <c r="G164" s="21">
        <f ca="1">IFERROR(__xludf.DUMMYFUNCTION("""COMPUTED_VALUE"""),288)</f>
        <v>288</v>
      </c>
      <c r="H164" s="24">
        <f ca="1">IFERROR(__xludf.DUMMYFUNCTION("""COMPUTED_VALUE"""),0.0381944444444444)</f>
        <v>3.8194444444444399E-2</v>
      </c>
      <c r="I164" s="21">
        <f ca="1">IFERROR(__xludf.DUMMYFUNCTION("""COMPUTED_VALUE"""),297.35)</f>
        <v>297.35000000000002</v>
      </c>
      <c r="J164" s="24">
        <f ca="1">IFERROR(__xludf.DUMMYFUNCTION("""COMPUTED_VALUE"""),0.00554901631074483)</f>
        <v>5.5490163107448304E-3</v>
      </c>
      <c r="K164" s="24" t="str">
        <f ca="1"/>
        <v>Retail</v>
      </c>
      <c r="L164" s="24" t="str">
        <f ca="1"/>
        <v>BOM:532156</v>
      </c>
      <c r="M164" s="24" t="str">
        <f ca="1"/>
        <v>Yes</v>
      </c>
      <c r="N164" s="24" t="str">
        <f ca="1"/>
        <v>Yes</v>
      </c>
      <c r="O164" s="25" t="str">
        <f t="array" aca="1" ref="O164" ca="1">IF(AND(D164&lt;65,M164="No", N164="No"),"Good Stock","")</f>
        <v/>
      </c>
      <c r="P164" s="24" t="str">
        <f t="shared" ca="1" si="0"/>
        <v>Low Cap</v>
      </c>
      <c r="Q164" s="26"/>
      <c r="R164" s="26"/>
      <c r="S164" s="26"/>
      <c r="T164" s="26"/>
      <c r="U164" s="26"/>
      <c r="V164" s="26"/>
      <c r="W164" s="26"/>
      <c r="X164" s="26"/>
      <c r="Y164" s="26"/>
      <c r="Z164" s="27"/>
      <c r="AA164" s="26"/>
      <c r="AB164" s="26"/>
    </row>
    <row r="165" spans="1:28">
      <c r="A165" s="21" t="str">
        <f ca="1">IFERROR(__xludf.DUMMYFUNCTION("""COMPUTED_VALUE"""),"Polyplex Corporation")</f>
        <v>Polyplex Corporation</v>
      </c>
      <c r="B165" s="22">
        <f ca="1">IFERROR(__xludf.DUMMYFUNCTION("""COMPUTED_VALUE"""),4868.970546)</f>
        <v>4868.9705459999996</v>
      </c>
      <c r="C165" s="21">
        <f ca="1">IFERROR(__xludf.DUMMYFUNCTION("""COMPUTED_VALUE"""),1555)</f>
        <v>1555</v>
      </c>
      <c r="D165" s="21">
        <f ca="1">IFERROR(__xludf.DUMMYFUNCTION("""COMPUTED_VALUE"""),7.36)</f>
        <v>7.36</v>
      </c>
      <c r="E165" s="21">
        <f ca="1">IFERROR(__xludf.DUMMYFUNCTION("""COMPUTED_VALUE"""),2870)</f>
        <v>2870</v>
      </c>
      <c r="F165" s="24">
        <f ca="1">IFERROR(__xludf.DUMMYFUNCTION("""COMPUTED_VALUE"""),0.458188153310104)</f>
        <v>0.45818815331010398</v>
      </c>
      <c r="G165" s="21">
        <f ca="1">IFERROR(__xludf.DUMMYFUNCTION("""COMPUTED_VALUE"""),1463.3)</f>
        <v>1463.3</v>
      </c>
      <c r="H165" s="24">
        <f ca="1">IFERROR(__xludf.DUMMYFUNCTION("""COMPUTED_VALUE"""),0.062666575548418)</f>
        <v>6.2666575548417994E-2</v>
      </c>
      <c r="I165" s="21">
        <f ca="1">IFERROR(__xludf.DUMMYFUNCTION("""COMPUTED_VALUE"""),1559.1)</f>
        <v>1559.1</v>
      </c>
      <c r="J165" s="24">
        <f ca="1">IFERROR(__xludf.DUMMYFUNCTION("""COMPUTED_VALUE"""),-0.0026297222756718)</f>
        <v>-2.6297222756718002E-3</v>
      </c>
      <c r="K165" s="24" t="str">
        <f ca="1"/>
        <v>packaging</v>
      </c>
      <c r="L165" s="24" t="str">
        <f ca="1"/>
        <v>BOM:524051</v>
      </c>
      <c r="M165" s="24" t="str">
        <f ca="1"/>
        <v>Yes</v>
      </c>
      <c r="N165" s="24" t="str">
        <f ca="1"/>
        <v>Yes</v>
      </c>
      <c r="O165" s="25" t="str">
        <f t="array" aca="1" ref="O165" ca="1">IF(AND(D165&lt;65,M165="No", N165="No"),"Good Stock","")</f>
        <v/>
      </c>
      <c r="P165" s="24" t="str">
        <f t="shared" ca="1" si="0"/>
        <v>Low Cap</v>
      </c>
      <c r="Q165" s="26"/>
      <c r="R165" s="26"/>
      <c r="S165" s="26"/>
      <c r="T165" s="26"/>
      <c r="U165" s="26"/>
      <c r="V165" s="26"/>
      <c r="W165" s="26"/>
      <c r="X165" s="26"/>
      <c r="Y165" s="26"/>
      <c r="Z165" s="27"/>
      <c r="AA165" s="26"/>
      <c r="AB165" s="26"/>
    </row>
    <row r="166" spans="1:28">
      <c r="A166" s="21" t="str">
        <f ca="1">IFERROR(__xludf.DUMMYFUNCTION("""COMPUTED_VALUE"""),"Zensar Tech")</f>
        <v>Zensar Tech</v>
      </c>
      <c r="B166" s="22">
        <f ca="1">IFERROR(__xludf.DUMMYFUNCTION("""COMPUTED_VALUE"""),4785.1628071)</f>
        <v>4785.1628070999996</v>
      </c>
      <c r="C166" s="21">
        <f ca="1">IFERROR(__xludf.DUMMYFUNCTION("""COMPUTED_VALUE"""),211.35)</f>
        <v>211.35</v>
      </c>
      <c r="D166" s="21">
        <f ca="1">IFERROR(__xludf.DUMMYFUNCTION("""COMPUTED_VALUE"""),13.73)</f>
        <v>13.73</v>
      </c>
      <c r="E166" s="21">
        <f ca="1">IFERROR(__xludf.DUMMYFUNCTION("""COMPUTED_VALUE"""),496.1)</f>
        <v>496.1</v>
      </c>
      <c r="F166" s="24">
        <f ca="1">IFERROR(__xludf.DUMMYFUNCTION("""COMPUTED_VALUE"""),0.573977020761943)</f>
        <v>0.57397702076194301</v>
      </c>
      <c r="G166" s="21">
        <f ca="1">IFERROR(__xludf.DUMMYFUNCTION("""COMPUTED_VALUE"""),202)</f>
        <v>202</v>
      </c>
      <c r="H166" s="24">
        <f ca="1">IFERROR(__xludf.DUMMYFUNCTION("""COMPUTED_VALUE"""),0.0462871287128712)</f>
        <v>4.6287128712871203E-2</v>
      </c>
      <c r="I166" s="21">
        <f ca="1">IFERROR(__xludf.DUMMYFUNCTION("""COMPUTED_VALUE"""),212.4)</f>
        <v>212.4</v>
      </c>
      <c r="J166" s="24">
        <f ca="1">IFERROR(__xludf.DUMMYFUNCTION("""COMPUTED_VALUE"""),-0.00494350282485881)</f>
        <v>-4.9435028248588104E-3</v>
      </c>
      <c r="K166" s="24" t="str">
        <f ca="1"/>
        <v>IT</v>
      </c>
      <c r="L166" s="24" t="str">
        <f ca="1"/>
        <v>BOM:504067</v>
      </c>
      <c r="M166" s="24" t="str">
        <f ca="1"/>
        <v>Yes</v>
      </c>
      <c r="N166" s="24" t="str">
        <f ca="1"/>
        <v>Yes</v>
      </c>
      <c r="O166" s="25" t="str">
        <f t="array" aca="1" ref="O166" ca="1">IF(AND(D166&lt;65,M166="No", N166="No"),"Good Stock","")</f>
        <v/>
      </c>
      <c r="P166" s="24" t="str">
        <f t="shared" ca="1" si="0"/>
        <v>Low Cap</v>
      </c>
      <c r="Q166" s="26"/>
      <c r="R166" s="26"/>
      <c r="S166" s="26"/>
      <c r="T166" s="26"/>
      <c r="U166" s="26"/>
      <c r="V166" s="26"/>
      <c r="W166" s="26"/>
      <c r="X166" s="26"/>
      <c r="Y166" s="26"/>
      <c r="Z166" s="27"/>
      <c r="AA166" s="26"/>
      <c r="AB166" s="26"/>
    </row>
    <row r="167" spans="1:28">
      <c r="A167" s="21" t="str">
        <f ca="1">IFERROR(__xludf.DUMMYFUNCTION("""COMPUTED_VALUE"""),"Lux Industries")</f>
        <v>Lux Industries</v>
      </c>
      <c r="B167" s="22">
        <f ca="1">IFERROR(__xludf.DUMMYFUNCTION("""COMPUTED_VALUE"""),4564.43)</f>
        <v>4564.43</v>
      </c>
      <c r="C167" s="21">
        <f ca="1">IFERROR(__xludf.DUMMYFUNCTION("""COMPUTED_VALUE"""),1524.7)</f>
        <v>1524.7</v>
      </c>
      <c r="D167" s="21">
        <f ca="1">IFERROR(__xludf.DUMMYFUNCTION("""COMPUTED_VALUE"""),17.12)</f>
        <v>17.12</v>
      </c>
      <c r="E167" s="21">
        <f ca="1">IFERROR(__xludf.DUMMYFUNCTION("""COMPUTED_VALUE"""),3925)</f>
        <v>3925</v>
      </c>
      <c r="F167" s="24">
        <f ca="1">IFERROR(__xludf.DUMMYFUNCTION("""COMPUTED_VALUE"""),0.611541401273885)</f>
        <v>0.61154140127388501</v>
      </c>
      <c r="G167" s="21">
        <f ca="1">IFERROR(__xludf.DUMMYFUNCTION("""COMPUTED_VALUE"""),1515.1)</f>
        <v>1515.1</v>
      </c>
      <c r="H167" s="24">
        <f ca="1">IFERROR(__xludf.DUMMYFUNCTION("""COMPUTED_VALUE"""),0.00633621543132475)</f>
        <v>6.3362154313247503E-3</v>
      </c>
      <c r="I167" s="21">
        <f ca="1">IFERROR(__xludf.DUMMYFUNCTION("""COMPUTED_VALUE"""),1526.65)</f>
        <v>1526.65</v>
      </c>
      <c r="J167" s="24">
        <f ca="1">IFERROR(__xludf.DUMMYFUNCTION("""COMPUTED_VALUE"""),-0.00127730652081357)</f>
        <v>-1.27730652081357E-3</v>
      </c>
      <c r="K167" s="24" t="str">
        <f ca="1"/>
        <v>Textile</v>
      </c>
      <c r="L167" s="24" t="str">
        <f ca="1"/>
        <v>BOM:539542</v>
      </c>
      <c r="M167" s="24" t="str">
        <f ca="1"/>
        <v>Yes</v>
      </c>
      <c r="N167" s="24" t="str">
        <f ca="1"/>
        <v>Yes</v>
      </c>
      <c r="O167" s="25" t="str">
        <f t="array" aca="1" ref="O167" ca="1">IF(AND(D167&lt;65,M167="No", N167="No"),"Good Stock","")</f>
        <v/>
      </c>
      <c r="P167" s="24" t="str">
        <f t="shared" ca="1" si="0"/>
        <v>Low Cap</v>
      </c>
      <c r="Q167" s="26"/>
      <c r="R167" s="26"/>
      <c r="S167" s="26"/>
      <c r="T167" s="26"/>
      <c r="U167" s="26"/>
      <c r="V167" s="26"/>
      <c r="W167" s="26"/>
      <c r="X167" s="26"/>
      <c r="Y167" s="26"/>
      <c r="Z167" s="27"/>
      <c r="AA167" s="26"/>
      <c r="AB167" s="26"/>
    </row>
    <row r="168" spans="1:28">
      <c r="A168" s="21" t="str">
        <f ca="1">IFERROR(__xludf.DUMMYFUNCTION("""COMPUTED_VALUE"""),"Heidelberg Cement")</f>
        <v>Heidelberg Cement</v>
      </c>
      <c r="B168" s="22">
        <f ca="1">IFERROR(__xludf.DUMMYFUNCTION("""COMPUTED_VALUE"""),4230.867)</f>
        <v>4230.8670000000002</v>
      </c>
      <c r="C168" s="21">
        <f ca="1">IFERROR(__xludf.DUMMYFUNCTION("""COMPUTED_VALUE"""),186.9)</f>
        <v>186.9</v>
      </c>
      <c r="D168" s="21">
        <f ca="1">IFERROR(__xludf.DUMMYFUNCTION("""COMPUTED_VALUE"""),23.18)</f>
        <v>23.18</v>
      </c>
      <c r="E168" s="21">
        <f ca="1">IFERROR(__xludf.DUMMYFUNCTION("""COMPUTED_VALUE"""),242)</f>
        <v>242</v>
      </c>
      <c r="F168" s="24">
        <f ca="1">IFERROR(__xludf.DUMMYFUNCTION("""COMPUTED_VALUE"""),0.227685950413223)</f>
        <v>0.22768595041322301</v>
      </c>
      <c r="G168" s="21">
        <f ca="1">IFERROR(__xludf.DUMMYFUNCTION("""COMPUTED_VALUE"""),164)</f>
        <v>164</v>
      </c>
      <c r="H168" s="24">
        <f ca="1">IFERROR(__xludf.DUMMYFUNCTION("""COMPUTED_VALUE"""),0.139634146341463)</f>
        <v>0.13963414634146301</v>
      </c>
      <c r="I168" s="21">
        <f ca="1">IFERROR(__xludf.DUMMYFUNCTION("""COMPUTED_VALUE"""),186.85)</f>
        <v>186.85</v>
      </c>
      <c r="J168" s="24">
        <f ca="1">IFERROR(__xludf.DUMMYFUNCTION("""COMPUTED_VALUE"""),0.000267594327000328)</f>
        <v>2.6759432700032798E-4</v>
      </c>
      <c r="K168" s="24" t="str">
        <f ca="1"/>
        <v>Cement</v>
      </c>
      <c r="L168" s="24" t="str">
        <f ca="1"/>
        <v>BOM:500292</v>
      </c>
      <c r="M168" s="24" t="str">
        <f ca="1"/>
        <v>No</v>
      </c>
      <c r="N168" s="24" t="str">
        <f ca="1"/>
        <v>Yes</v>
      </c>
      <c r="O168" s="25" t="str">
        <f t="array" aca="1" ref="O168" ca="1">IF(AND(D168&lt;65,M168="No", N168="No"),"Good Stock","")</f>
        <v/>
      </c>
      <c r="P168" s="24" t="str">
        <f t="shared" ca="1" si="0"/>
        <v>Low Cap</v>
      </c>
      <c r="Q168" s="26"/>
      <c r="R168" s="26"/>
      <c r="S168" s="26"/>
      <c r="T168" s="26"/>
      <c r="U168" s="26"/>
      <c r="V168" s="26"/>
      <c r="W168" s="26"/>
      <c r="X168" s="26"/>
      <c r="Y168" s="26"/>
      <c r="Z168" s="27"/>
      <c r="AA168" s="26"/>
      <c r="AB168" s="26"/>
    </row>
    <row r="169" spans="1:28">
      <c r="A169" s="21" t="str">
        <f ca="1">IFERROR(__xludf.DUMMYFUNCTION("""COMPUTED_VALUE"""),"Aarti Drugs")</f>
        <v>Aarti Drugs</v>
      </c>
      <c r="B169" s="22">
        <f ca="1">IFERROR(__xludf.DUMMYFUNCTION("""COMPUTED_VALUE"""),4148.48)</f>
        <v>4148.4799999999996</v>
      </c>
      <c r="C169" s="21">
        <f ca="1">IFERROR(__xludf.DUMMYFUNCTION("""COMPUTED_VALUE"""),448)</f>
        <v>448</v>
      </c>
      <c r="D169" s="21">
        <f ca="1">IFERROR(__xludf.DUMMYFUNCTION("""COMPUTED_VALUE"""),22.17)</f>
        <v>22.17</v>
      </c>
      <c r="E169" s="21">
        <f ca="1">IFERROR(__xludf.DUMMYFUNCTION("""COMPUTED_VALUE"""),537.4)</f>
        <v>537.4</v>
      </c>
      <c r="F169" s="24">
        <f ca="1">IFERROR(__xludf.DUMMYFUNCTION("""COMPUTED_VALUE"""),0.166356531447711)</f>
        <v>0.16635653144771101</v>
      </c>
      <c r="G169" s="21">
        <f ca="1">IFERROR(__xludf.DUMMYFUNCTION("""COMPUTED_VALUE"""),378.4)</f>
        <v>378.4</v>
      </c>
      <c r="H169" s="24">
        <f ca="1">IFERROR(__xludf.DUMMYFUNCTION("""COMPUTED_VALUE"""),0.183932346723044)</f>
        <v>0.18393234672304401</v>
      </c>
      <c r="I169" s="21">
        <f ca="1">IFERROR(__xludf.DUMMYFUNCTION("""COMPUTED_VALUE"""),445.5)</f>
        <v>445.5</v>
      </c>
      <c r="J169" s="24">
        <f ca="1">IFERROR(__xludf.DUMMYFUNCTION("""COMPUTED_VALUE"""),0.00561167227833894)</f>
        <v>5.6116722783389403E-3</v>
      </c>
      <c r="K169" s="24" t="str">
        <f ca="1"/>
        <v>Pharma</v>
      </c>
      <c r="L169" s="24" t="str">
        <f ca="1"/>
        <v>BOM:524348</v>
      </c>
      <c r="M169" s="24" t="str">
        <f ca="1"/>
        <v>No</v>
      </c>
      <c r="N169" s="24" t="str">
        <f ca="1"/>
        <v>Yes</v>
      </c>
      <c r="O169" s="25" t="str">
        <f t="array" aca="1" ref="O169" ca="1">IF(AND(D169&lt;65,M169="No", N169="No"),"Good Stock","")</f>
        <v/>
      </c>
      <c r="P169" s="24" t="str">
        <f t="shared" ca="1" si="0"/>
        <v>Low Cap</v>
      </c>
      <c r="Q169" s="26"/>
      <c r="R169" s="26"/>
      <c r="S169" s="26"/>
      <c r="T169" s="26"/>
      <c r="U169" s="26"/>
      <c r="V169" s="26"/>
      <c r="W169" s="26"/>
      <c r="X169" s="26"/>
      <c r="Y169" s="26"/>
      <c r="Z169" s="27"/>
      <c r="AA169" s="26"/>
      <c r="AB169" s="26"/>
    </row>
    <row r="170" spans="1:28">
      <c r="A170" s="21" t="str">
        <f ca="1">IFERROR(__xludf.DUMMYFUNCTION("""COMPUTED_VALUE"""),"Rossari Biotech")</f>
        <v>Rossari Biotech</v>
      </c>
      <c r="B170" s="22">
        <f ca="1">IFERROR(__xludf.DUMMYFUNCTION("""COMPUTED_VALUE"""),3951.357)</f>
        <v>3951.357</v>
      </c>
      <c r="C170" s="21">
        <f ca="1">IFERROR(__xludf.DUMMYFUNCTION("""COMPUTED_VALUE"""),717)</f>
        <v>717</v>
      </c>
      <c r="D170" s="21">
        <f ca="1">IFERROR(__xludf.DUMMYFUNCTION("""COMPUTED_VALUE"""),39.87)</f>
        <v>39.869999999999997</v>
      </c>
      <c r="E170" s="21">
        <f ca="1">IFERROR(__xludf.DUMMYFUNCTION("""COMPUTED_VALUE"""),1375)</f>
        <v>1375</v>
      </c>
      <c r="F170" s="24">
        <f ca="1">IFERROR(__xludf.DUMMYFUNCTION("""COMPUTED_VALUE"""),0.478545454545454)</f>
        <v>0.478545454545454</v>
      </c>
      <c r="G170" s="21">
        <f ca="1">IFERROR(__xludf.DUMMYFUNCTION("""COMPUTED_VALUE"""),675)</f>
        <v>675</v>
      </c>
      <c r="H170" s="24">
        <f ca="1">IFERROR(__xludf.DUMMYFUNCTION("""COMPUTED_VALUE"""),0.0622222222222222)</f>
        <v>6.22222222222222E-2</v>
      </c>
      <c r="I170" s="21">
        <f ca="1">IFERROR(__xludf.DUMMYFUNCTION("""COMPUTED_VALUE"""),726.2)</f>
        <v>726.2</v>
      </c>
      <c r="J170" s="24">
        <f ca="1">IFERROR(__xludf.DUMMYFUNCTION("""COMPUTED_VALUE"""),-0.0126686863123107)</f>
        <v>-1.26686863123107E-2</v>
      </c>
      <c r="K170" s="24" t="str">
        <f ca="1"/>
        <v>Chemical</v>
      </c>
      <c r="L170" s="24" t="str">
        <f ca="1"/>
        <v>BOM:543213</v>
      </c>
      <c r="M170" s="24" t="str">
        <f ca="1"/>
        <v>Yes</v>
      </c>
      <c r="N170" s="24" t="str">
        <f ca="1"/>
        <v>Yes</v>
      </c>
      <c r="O170" s="25" t="str">
        <f t="array" aca="1" ref="O170" ca="1">IF(AND(D170&lt;65,M170="No", N170="No"),"Good Stock","")</f>
        <v/>
      </c>
      <c r="P170" s="24" t="str">
        <f t="shared" ca="1" si="0"/>
        <v>Low Cap</v>
      </c>
      <c r="Q170" s="26"/>
      <c r="R170" s="26"/>
      <c r="S170" s="26"/>
      <c r="T170" s="26"/>
      <c r="U170" s="26"/>
      <c r="V170" s="26"/>
      <c r="W170" s="26"/>
      <c r="X170" s="26"/>
      <c r="Y170" s="26"/>
      <c r="Z170" s="27"/>
      <c r="AA170" s="26"/>
      <c r="AB170" s="26"/>
    </row>
    <row r="171" spans="1:28">
      <c r="A171" s="21" t="str">
        <f ca="1">IFERROR(__xludf.DUMMYFUNCTION("""COMPUTED_VALUE"""),"Bharat Rasayan")</f>
        <v>Bharat Rasayan</v>
      </c>
      <c r="B171" s="22">
        <f ca="1">IFERROR(__xludf.DUMMYFUNCTION("""COMPUTED_VALUE"""),3941.666)</f>
        <v>3941.6660000000002</v>
      </c>
      <c r="C171" s="21">
        <f ca="1">IFERROR(__xludf.DUMMYFUNCTION("""COMPUTED_VALUE"""),9517.9)</f>
        <v>9517.9</v>
      </c>
      <c r="D171" s="21">
        <f ca="1">IFERROR(__xludf.DUMMYFUNCTION("""COMPUTED_VALUE"""),23.12)</f>
        <v>23.12</v>
      </c>
      <c r="E171" s="21">
        <f ca="1">IFERROR(__xludf.DUMMYFUNCTION("""COMPUTED_VALUE"""),14362.9)</f>
        <v>14362.9</v>
      </c>
      <c r="F171" s="24">
        <f ca="1">IFERROR(__xludf.DUMMYFUNCTION("""COMPUTED_VALUE"""),0.33732741995001)</f>
        <v>0.33732741995000998</v>
      </c>
      <c r="G171" s="21">
        <f ca="1">IFERROR(__xludf.DUMMYFUNCTION("""COMPUTED_VALUE"""),9301)</f>
        <v>9301</v>
      </c>
      <c r="H171" s="24">
        <f ca="1">IFERROR(__xludf.DUMMYFUNCTION("""COMPUTED_VALUE"""),0.0233200731104181)</f>
        <v>2.3320073110418098E-2</v>
      </c>
      <c r="I171" s="21">
        <f ca="1">IFERROR(__xludf.DUMMYFUNCTION("""COMPUTED_VALUE"""),9497.7)</f>
        <v>9497.7000000000007</v>
      </c>
      <c r="J171" s="24">
        <f ca="1">IFERROR(__xludf.DUMMYFUNCTION("""COMPUTED_VALUE"""),0.00212683070638143)</f>
        <v>2.12683070638143E-3</v>
      </c>
      <c r="K171" s="24" t="str">
        <f ca="1"/>
        <v>Agrochemical</v>
      </c>
      <c r="L171" s="24" t="str">
        <f ca="1"/>
        <v>BOM:590021</v>
      </c>
      <c r="M171" s="24" t="str">
        <f ca="1"/>
        <v>Yes</v>
      </c>
      <c r="N171" s="24" t="str">
        <f ca="1"/>
        <v>Yes</v>
      </c>
      <c r="O171" s="25" t="str">
        <f t="array" aca="1" ref="O171" ca="1">IF(AND(D171&lt;65,M171="No", N171="No"),"Good Stock","")</f>
        <v/>
      </c>
      <c r="P171" s="24" t="str">
        <f t="shared" ca="1" si="0"/>
        <v>Low Cap</v>
      </c>
      <c r="Q171" s="26"/>
      <c r="R171" s="26"/>
      <c r="S171" s="26"/>
      <c r="T171" s="26"/>
      <c r="U171" s="26"/>
      <c r="V171" s="26"/>
      <c r="W171" s="26"/>
      <c r="X171" s="26"/>
      <c r="Y171" s="26"/>
      <c r="Z171" s="27"/>
      <c r="AA171" s="26"/>
      <c r="AB171" s="26"/>
    </row>
    <row r="172" spans="1:28">
      <c r="A172" s="21" t="str">
        <f ca="1">IFERROR(__xludf.DUMMYFUNCTION("""COMPUTED_VALUE"""),"Dhanuka Agritech")</f>
        <v>Dhanuka Agritech</v>
      </c>
      <c r="B172" s="22">
        <f ca="1">IFERROR(__xludf.DUMMYFUNCTION("""COMPUTED_VALUE"""),3345.7206687)</f>
        <v>3345.7206686999998</v>
      </c>
      <c r="C172" s="21">
        <f ca="1">IFERROR(__xludf.DUMMYFUNCTION("""COMPUTED_VALUE"""),717.5)</f>
        <v>717.5</v>
      </c>
      <c r="D172" s="21">
        <f ca="1">IFERROR(__xludf.DUMMYFUNCTION("""COMPUTED_VALUE"""),15.26)</f>
        <v>15.26</v>
      </c>
      <c r="E172" s="21">
        <f ca="1">IFERROR(__xludf.DUMMYFUNCTION("""COMPUTED_VALUE"""),815)</f>
        <v>815</v>
      </c>
      <c r="F172" s="24">
        <f ca="1">IFERROR(__xludf.DUMMYFUNCTION("""COMPUTED_VALUE"""),0.11963190184049)</f>
        <v>0.11963190184049</v>
      </c>
      <c r="G172" s="21">
        <f ca="1">IFERROR(__xludf.DUMMYFUNCTION("""COMPUTED_VALUE"""),630.65)</f>
        <v>630.65</v>
      </c>
      <c r="H172" s="24">
        <f ca="1">IFERROR(__xludf.DUMMYFUNCTION("""COMPUTED_VALUE"""),0.137715055894711)</f>
        <v>0.137715055894711</v>
      </c>
      <c r="I172" s="21">
        <f ca="1">IFERROR(__xludf.DUMMYFUNCTION("""COMPUTED_VALUE"""),724.95)</f>
        <v>724.95</v>
      </c>
      <c r="J172" s="24">
        <f ca="1">IFERROR(__xludf.DUMMYFUNCTION("""COMPUTED_VALUE"""),-0.0102765707979861)</f>
        <v>-1.02765707979861E-2</v>
      </c>
      <c r="K172" s="24" t="str">
        <f ca="1"/>
        <v>Agrochemical</v>
      </c>
      <c r="L172" s="24" t="str">
        <f ca="1"/>
        <v>BOM:507717</v>
      </c>
      <c r="M172" s="24" t="str">
        <f ca="1"/>
        <v>No</v>
      </c>
      <c r="N172" s="24" t="str">
        <f ca="1"/>
        <v>Yes</v>
      </c>
      <c r="O172" s="25" t="str">
        <f t="array" aca="1" ref="O172" ca="1">IF(AND(D172&lt;65,M172="No", N172="No"),"Good Stock","")</f>
        <v/>
      </c>
      <c r="P172" s="24" t="str">
        <f t="shared" ca="1" si="0"/>
        <v>Low Cap</v>
      </c>
      <c r="Q172" s="26"/>
      <c r="R172" s="26"/>
      <c r="S172" s="26"/>
      <c r="T172" s="26"/>
      <c r="U172" s="26"/>
      <c r="V172" s="26"/>
      <c r="W172" s="26"/>
      <c r="X172" s="26"/>
      <c r="Y172" s="26"/>
      <c r="Z172" s="27"/>
      <c r="AA172" s="26"/>
      <c r="AB172" s="26"/>
    </row>
    <row r="173" spans="1:28">
      <c r="A173" s="21" t="str">
        <f ca="1">IFERROR(__xludf.DUMMYFUNCTION("""COMPUTED_VALUE"""),"Somany home innovation ltd")</f>
        <v>Somany home innovation ltd</v>
      </c>
      <c r="B173" s="22">
        <f ca="1">IFERROR(__xludf.DUMMYFUNCTION("""COMPUTED_VALUE"""),3335.191069)</f>
        <v>3335.191069</v>
      </c>
      <c r="C173" s="21">
        <f ca="1">IFERROR(__xludf.DUMMYFUNCTION("""COMPUTED_VALUE"""),462.25)</f>
        <v>462.25</v>
      </c>
      <c r="D173" s="21">
        <f ca="1">IFERROR(__xludf.DUMMYFUNCTION("""COMPUTED_VALUE"""),33.36)</f>
        <v>33.36</v>
      </c>
      <c r="E173" s="21">
        <f ca="1">IFERROR(__xludf.DUMMYFUNCTION("""COMPUTED_VALUE"""),480.4)</f>
        <v>480.4</v>
      </c>
      <c r="F173" s="24">
        <f ca="1">IFERROR(__xludf.DUMMYFUNCTION("""COMPUTED_VALUE"""),0.0377810158201498)</f>
        <v>3.7781015820149803E-2</v>
      </c>
      <c r="G173" s="21">
        <f ca="1">IFERROR(__xludf.DUMMYFUNCTION("""COMPUTED_VALUE"""),258.95)</f>
        <v>258.95</v>
      </c>
      <c r="H173" s="24">
        <f ca="1">IFERROR(__xludf.DUMMYFUNCTION("""COMPUTED_VALUE"""),0.785093647422282)</f>
        <v>0.78509364742228205</v>
      </c>
      <c r="I173" s="21">
        <f ca="1">IFERROR(__xludf.DUMMYFUNCTION("""COMPUTED_VALUE"""),473.2)</f>
        <v>473.2</v>
      </c>
      <c r="J173" s="24">
        <f ca="1">IFERROR(__xludf.DUMMYFUNCTION("""COMPUTED_VALUE"""),-0.0231403212172442)</f>
        <v>-2.31403212172442E-2</v>
      </c>
      <c r="K173" s="24" t="str">
        <f ca="1"/>
        <v>Kitchen Appliances</v>
      </c>
      <c r="L173" s="24" t="str">
        <f ca="1"/>
        <v>BOM:542905</v>
      </c>
      <c r="M173" s="24" t="str">
        <f ca="1"/>
        <v>No</v>
      </c>
      <c r="N173" s="24" t="str">
        <f ca="1"/>
        <v>No</v>
      </c>
      <c r="O173" s="25" t="str">
        <f t="array" aca="1" ref="O173" ca="1">IF(AND(D173&lt;65,M173="No", N173="No"),"Good Stock","")</f>
        <v>Good Stock</v>
      </c>
      <c r="P173" s="24" t="str">
        <f t="shared" ca="1" si="0"/>
        <v>Low Cap</v>
      </c>
      <c r="Q173" s="26"/>
      <c r="R173" s="26"/>
      <c r="S173" s="26"/>
      <c r="T173" s="26"/>
      <c r="U173" s="26"/>
      <c r="V173" s="26"/>
      <c r="W173" s="26"/>
      <c r="X173" s="26"/>
      <c r="Y173" s="26"/>
      <c r="Z173" s="27"/>
      <c r="AA173" s="26"/>
      <c r="AB173" s="26"/>
    </row>
    <row r="174" spans="1:28">
      <c r="A174" s="21" t="str">
        <f ca="1">IFERROR(__xludf.DUMMYFUNCTION("""COMPUTED_VALUE"""),"Astec Lifesciences")</f>
        <v>Astec Lifesciences</v>
      </c>
      <c r="B174" s="22">
        <f ca="1">IFERROR(__xludf.DUMMYFUNCTION("""COMPUTED_VALUE"""),3279.733)</f>
        <v>3279.7330000000002</v>
      </c>
      <c r="C174" s="21">
        <f ca="1">IFERROR(__xludf.DUMMYFUNCTION("""COMPUTED_VALUE"""),1669.3)</f>
        <v>1669.3</v>
      </c>
      <c r="D174" s="21">
        <f ca="1">IFERROR(__xludf.DUMMYFUNCTION("""COMPUTED_VALUE"""),33.56)</f>
        <v>33.56</v>
      </c>
      <c r="E174" s="21">
        <f ca="1">IFERROR(__xludf.DUMMYFUNCTION("""COMPUTED_VALUE"""),2285.65)</f>
        <v>2285.65</v>
      </c>
      <c r="F174" s="24">
        <f ca="1">IFERROR(__xludf.DUMMYFUNCTION("""COMPUTED_VALUE"""),0.269660709207446)</f>
        <v>0.269660709207446</v>
      </c>
      <c r="G174" s="21">
        <f ca="1">IFERROR(__xludf.DUMMYFUNCTION("""COMPUTED_VALUE"""),1276.15)</f>
        <v>1276.1500000000001</v>
      </c>
      <c r="H174" s="24">
        <f ca="1">IFERROR(__xludf.DUMMYFUNCTION("""COMPUTED_VALUE"""),0.308075069545116)</f>
        <v>0.30807506954511599</v>
      </c>
      <c r="I174" s="21">
        <f ca="1">IFERROR(__xludf.DUMMYFUNCTION("""COMPUTED_VALUE"""),1635.25)</f>
        <v>1635.25</v>
      </c>
      <c r="J174" s="24">
        <f ca="1">IFERROR(__xludf.DUMMYFUNCTION("""COMPUTED_VALUE"""),0.02082250420425)</f>
        <v>2.0822504204250001E-2</v>
      </c>
      <c r="K174" s="24" t="str">
        <f ca="1"/>
        <v>Pharma</v>
      </c>
      <c r="L174" s="24" t="str">
        <f ca="1"/>
        <v>BOM:533138</v>
      </c>
      <c r="M174" s="24" t="str">
        <f ca="1"/>
        <v>No</v>
      </c>
      <c r="N174" s="24" t="str">
        <f ca="1"/>
        <v>No</v>
      </c>
      <c r="O174" s="25" t="str">
        <f t="array" aca="1" ref="O174" ca="1">IF(AND(D174&lt;65,M174="No", N174="No"),"Good Stock","")</f>
        <v>Good Stock</v>
      </c>
      <c r="P174" s="24" t="str">
        <f t="shared" ca="1" si="0"/>
        <v>Low Cap</v>
      </c>
      <c r="Q174" s="26"/>
      <c r="R174" s="26"/>
      <c r="S174" s="26"/>
      <c r="T174" s="26"/>
      <c r="U174" s="26"/>
      <c r="V174" s="26"/>
      <c r="W174" s="26"/>
      <c r="X174" s="26"/>
      <c r="Y174" s="26"/>
      <c r="Z174" s="27"/>
      <c r="AA174" s="26"/>
      <c r="AB174" s="26"/>
    </row>
    <row r="175" spans="1:28">
      <c r="A175" s="21" t="str">
        <f ca="1">IFERROR(__xludf.DUMMYFUNCTION("""COMPUTED_VALUE"""),"Mold tech")</f>
        <v>Mold tech</v>
      </c>
      <c r="B175" s="22">
        <f ca="1">IFERROR(__xludf.DUMMYFUNCTION("""COMPUTED_VALUE"""),3279.606)</f>
        <v>3279.6060000000002</v>
      </c>
      <c r="C175" s="21">
        <f ca="1">IFERROR(__xludf.DUMMYFUNCTION("""COMPUTED_VALUE"""),988.1)</f>
        <v>988.1</v>
      </c>
      <c r="D175" s="21">
        <f ca="1">IFERROR(__xludf.DUMMYFUNCTION("""COMPUTED_VALUE"""),41.73)</f>
        <v>41.73</v>
      </c>
      <c r="E175" s="21">
        <f ca="1">IFERROR(__xludf.DUMMYFUNCTION("""COMPUTED_VALUE"""),1057.85)</f>
        <v>1057.8499999999999</v>
      </c>
      <c r="F175" s="24">
        <f ca="1">IFERROR(__xludf.DUMMYFUNCTION("""COMPUTED_VALUE"""),0.0659356241433094)</f>
        <v>6.5935624143309404E-2</v>
      </c>
      <c r="G175" s="21">
        <f ca="1">IFERROR(__xludf.DUMMYFUNCTION("""COMPUTED_VALUE"""),648.05)</f>
        <v>648.04999999999995</v>
      </c>
      <c r="H175" s="24">
        <f ca="1">IFERROR(__xludf.DUMMYFUNCTION("""COMPUTED_VALUE"""),0.52472803024458)</f>
        <v>0.52472803024458003</v>
      </c>
      <c r="I175" s="21">
        <f ca="1">IFERROR(__xludf.DUMMYFUNCTION("""COMPUTED_VALUE"""),991.35)</f>
        <v>991.35</v>
      </c>
      <c r="J175" s="24">
        <f ca="1">IFERROR(__xludf.DUMMYFUNCTION("""COMPUTED_VALUE"""),-0.00327835779492611)</f>
        <v>-3.2783577949261102E-3</v>
      </c>
      <c r="K175" s="24">
        <f ca="1"/>
        <v>0</v>
      </c>
      <c r="L175" s="24" t="str">
        <f ca="1"/>
        <v>BOM:533080</v>
      </c>
      <c r="M175" s="24" t="str">
        <f ca="1"/>
        <v>No</v>
      </c>
      <c r="N175" s="24" t="str">
        <f ca="1"/>
        <v>No</v>
      </c>
      <c r="O175" s="25" t="str">
        <f t="array" aca="1" ref="O175" ca="1">IF(AND(D175&lt;65,M175="No", N175="No"),"Good Stock","")</f>
        <v>Good Stock</v>
      </c>
      <c r="P175" s="24" t="str">
        <f t="shared" ca="1" si="0"/>
        <v>Low Cap</v>
      </c>
      <c r="Q175" s="26"/>
      <c r="R175" s="26"/>
      <c r="S175" s="26"/>
      <c r="T175" s="26"/>
      <c r="U175" s="26"/>
      <c r="V175" s="26"/>
      <c r="W175" s="26"/>
      <c r="X175" s="26"/>
      <c r="Y175" s="26"/>
      <c r="Z175" s="27"/>
      <c r="AA175" s="26"/>
      <c r="AB175" s="26"/>
    </row>
    <row r="176" spans="1:28">
      <c r="A176" s="21" t="str">
        <f ca="1">IFERROR(__xludf.DUMMYFUNCTION("""COMPUTED_VALUE"""),"Hawkins Cooker")</f>
        <v>Hawkins Cooker</v>
      </c>
      <c r="B176" s="22">
        <f ca="1">IFERROR(__xludf.DUMMYFUNCTION("""COMPUTED_VALUE"""),3273.157)</f>
        <v>3273.1570000000002</v>
      </c>
      <c r="C176" s="21">
        <f ca="1">IFERROR(__xludf.DUMMYFUNCTION("""COMPUTED_VALUE"""),6195)</f>
        <v>6195</v>
      </c>
      <c r="D176" s="21">
        <f ca="1">IFERROR(__xludf.DUMMYFUNCTION("""COMPUTED_VALUE"""),34.69)</f>
        <v>34.69</v>
      </c>
      <c r="E176" s="21">
        <f ca="1">IFERROR(__xludf.DUMMYFUNCTION("""COMPUTED_VALUE"""),6572.75)</f>
        <v>6572.75</v>
      </c>
      <c r="F176" s="24">
        <f ca="1">IFERROR(__xludf.DUMMYFUNCTION("""COMPUTED_VALUE"""),0.0574721387547069)</f>
        <v>5.74721387547069E-2</v>
      </c>
      <c r="G176" s="21">
        <f ca="1">IFERROR(__xludf.DUMMYFUNCTION("""COMPUTED_VALUE"""),4932.05)</f>
        <v>4932.05</v>
      </c>
      <c r="H176" s="24">
        <f ca="1">IFERROR(__xludf.DUMMYFUNCTION("""COMPUTED_VALUE"""),0.256069991180138)</f>
        <v>0.25606999118013801</v>
      </c>
      <c r="I176" s="21">
        <f ca="1">IFERROR(__xludf.DUMMYFUNCTION("""COMPUTED_VALUE"""),6169.85)</f>
        <v>6169.85</v>
      </c>
      <c r="J176" s="24">
        <f ca="1">IFERROR(__xludf.DUMMYFUNCTION("""COMPUTED_VALUE"""),0.00407627413956573)</f>
        <v>4.07627413956573E-3</v>
      </c>
      <c r="K176" s="24" t="str">
        <f ca="1"/>
        <v>Consumer Electrical</v>
      </c>
      <c r="L176" s="24" t="str">
        <f ca="1"/>
        <v>BOM:508486</v>
      </c>
      <c r="M176" s="24" t="str">
        <f ca="1"/>
        <v>No</v>
      </c>
      <c r="N176" s="24" t="str">
        <f ca="1"/>
        <v>Yes</v>
      </c>
      <c r="O176" s="25" t="str">
        <f t="array" aca="1" ref="O176" ca="1">IF(AND(D176&lt;65,M176="No", N176="No"),"Good Stock","")</f>
        <v/>
      </c>
      <c r="P176" s="24" t="str">
        <f t="shared" ca="1" si="0"/>
        <v>Low Cap</v>
      </c>
      <c r="Q176" s="26"/>
      <c r="R176" s="26"/>
      <c r="S176" s="26"/>
      <c r="T176" s="26"/>
      <c r="U176" s="26"/>
      <c r="V176" s="26"/>
      <c r="W176" s="26"/>
      <c r="X176" s="26"/>
      <c r="Y176" s="26"/>
      <c r="Z176" s="27"/>
      <c r="AA176" s="26"/>
      <c r="AB176" s="26"/>
    </row>
    <row r="177" spans="1:28">
      <c r="A177" s="21" t="str">
        <f ca="1">IFERROR(__xludf.DUMMYFUNCTION("""COMPUTED_VALUE"""),"Neogen Chemcial")</f>
        <v>Neogen Chemcial</v>
      </c>
      <c r="B177" s="22">
        <f ca="1">IFERROR(__xludf.DUMMYFUNCTION("""COMPUTED_VALUE"""),3099.3320457)</f>
        <v>3099.3320457</v>
      </c>
      <c r="C177" s="21">
        <f ca="1">IFERROR(__xludf.DUMMYFUNCTION("""COMPUTED_VALUE"""),1242.8)</f>
        <v>1242.8</v>
      </c>
      <c r="D177" s="21">
        <f ca="1">IFERROR(__xludf.DUMMYFUNCTION("""COMPUTED_VALUE"""),68.51)</f>
        <v>68.510000000000005</v>
      </c>
      <c r="E177" s="21">
        <f ca="1">IFERROR(__xludf.DUMMYFUNCTION("""COMPUTED_VALUE"""),1842.2)</f>
        <v>1842.2</v>
      </c>
      <c r="F177" s="24">
        <f ca="1">IFERROR(__xludf.DUMMYFUNCTION("""COMPUTED_VALUE"""),0.325371838019759)</f>
        <v>0.325371838019759</v>
      </c>
      <c r="G177" s="21">
        <f ca="1">IFERROR(__xludf.DUMMYFUNCTION("""COMPUTED_VALUE"""),1201.25)</f>
        <v>1201.25</v>
      </c>
      <c r="H177" s="24">
        <f ca="1">IFERROR(__xludf.DUMMYFUNCTION("""COMPUTED_VALUE"""),0.0345889698231009)</f>
        <v>3.4588969823100897E-2</v>
      </c>
      <c r="I177" s="21">
        <f ca="1">IFERROR(__xludf.DUMMYFUNCTION("""COMPUTED_VALUE"""),1229.5)</f>
        <v>1229.5</v>
      </c>
      <c r="J177" s="24">
        <f ca="1">IFERROR(__xludf.DUMMYFUNCTION("""COMPUTED_VALUE"""),0.0108174054493696)</f>
        <v>1.0817405449369599E-2</v>
      </c>
      <c r="K177" s="24" t="str">
        <f ca="1"/>
        <v>Chemical</v>
      </c>
      <c r="L177" s="24" t="str">
        <f ca="1"/>
        <v>BOM:542665</v>
      </c>
      <c r="M177" s="24" t="str">
        <f ca="1"/>
        <v>Yes</v>
      </c>
      <c r="N177" s="24" t="str">
        <f ca="1"/>
        <v>Yes</v>
      </c>
      <c r="O177" s="25" t="str">
        <f t="array" aca="1" ref="O177" ca="1">IF(AND(D177&lt;65,M177="No", N177="No"),"Good Stock","")</f>
        <v/>
      </c>
      <c r="P177" s="24" t="str">
        <f t="shared" ca="1" si="0"/>
        <v>Low Cap</v>
      </c>
      <c r="Q177" s="26"/>
      <c r="R177" s="26"/>
      <c r="S177" s="26"/>
      <c r="T177" s="26"/>
      <c r="U177" s="26"/>
      <c r="V177" s="26"/>
      <c r="W177" s="26"/>
      <c r="X177" s="26"/>
      <c r="Y177" s="26"/>
      <c r="Z177" s="27"/>
      <c r="AA177" s="26"/>
      <c r="AB177" s="26"/>
    </row>
    <row r="178" spans="1:28">
      <c r="A178" s="21" t="str">
        <f ca="1">IFERROR(__xludf.DUMMYFUNCTION("""COMPUTED_VALUE"""),"Advance Enzymes")</f>
        <v>Advance Enzymes</v>
      </c>
      <c r="B178" s="22">
        <f ca="1">IFERROR(__xludf.DUMMYFUNCTION("""COMPUTED_VALUE"""),3094.098595)</f>
        <v>3094.0985949999999</v>
      </c>
      <c r="C178" s="21">
        <f ca="1">IFERROR(__xludf.DUMMYFUNCTION("""COMPUTED_VALUE"""),276.7)</f>
        <v>276.7</v>
      </c>
      <c r="D178" s="21">
        <f ca="1">IFERROR(__xludf.DUMMYFUNCTION("""COMPUTED_VALUE"""),32.26)</f>
        <v>32.26</v>
      </c>
      <c r="E178" s="21">
        <f ca="1">IFERROR(__xludf.DUMMYFUNCTION("""COMPUTED_VALUE"""),354.9)</f>
        <v>354.9</v>
      </c>
      <c r="F178" s="24">
        <f ca="1">IFERROR(__xludf.DUMMYFUNCTION("""COMPUTED_VALUE"""),0.220343758805297)</f>
        <v>0.220343758805297</v>
      </c>
      <c r="G178" s="21">
        <f ca="1">IFERROR(__xludf.DUMMYFUNCTION("""COMPUTED_VALUE"""),258.4)</f>
        <v>258.39999999999998</v>
      </c>
      <c r="H178" s="24">
        <f ca="1">IFERROR(__xludf.DUMMYFUNCTION("""COMPUTED_VALUE"""),0.0708204334365325)</f>
        <v>7.0820433436532507E-2</v>
      </c>
      <c r="I178" s="21">
        <f ca="1">IFERROR(__xludf.DUMMYFUNCTION("""COMPUTED_VALUE"""),278.9)</f>
        <v>278.89999999999998</v>
      </c>
      <c r="J178" s="24">
        <f ca="1">IFERROR(__xludf.DUMMYFUNCTION("""COMPUTED_VALUE"""),-0.00788813194693434)</f>
        <v>-7.8881319469343396E-3</v>
      </c>
      <c r="K178" s="24" t="str">
        <f ca="1"/>
        <v>Chemical</v>
      </c>
      <c r="L178" s="24" t="str">
        <f ca="1"/>
        <v>ADVENZYMES</v>
      </c>
      <c r="M178" s="24" t="str">
        <f ca="1"/>
        <v>No</v>
      </c>
      <c r="N178" s="24" t="str">
        <f ca="1"/>
        <v>Yes</v>
      </c>
      <c r="O178" s="25" t="str">
        <f t="array" aca="1" ref="O178" ca="1">IF(AND(D178&lt;65,M178="No", N178="No"),"Good Stock","")</f>
        <v/>
      </c>
      <c r="P178" s="24" t="str">
        <f t="shared" ca="1" si="0"/>
        <v>Low Cap</v>
      </c>
      <c r="Q178" s="26"/>
      <c r="R178" s="26"/>
      <c r="S178" s="26"/>
      <c r="T178" s="26"/>
      <c r="U178" s="26"/>
      <c r="V178" s="26"/>
      <c r="W178" s="26"/>
      <c r="X178" s="26"/>
      <c r="Y178" s="26"/>
      <c r="Z178" s="27"/>
      <c r="AA178" s="26"/>
      <c r="AB178" s="26"/>
    </row>
    <row r="179" spans="1:28">
      <c r="A179" s="21" t="str">
        <f ca="1">IFERROR(__xludf.DUMMYFUNCTION("""COMPUTED_VALUE"""),"Thyrocare")</f>
        <v>Thyrocare</v>
      </c>
      <c r="B179" s="22">
        <f ca="1">IFERROR(__xludf.DUMMYFUNCTION("""COMPUTED_VALUE"""),3024.4291291)</f>
        <v>3024.4291291</v>
      </c>
      <c r="C179" s="21">
        <f ca="1">IFERROR(__xludf.DUMMYFUNCTION("""COMPUTED_VALUE"""),571.8)</f>
        <v>571.79999999999995</v>
      </c>
      <c r="D179" s="21">
        <f ca="1">IFERROR(__xludf.DUMMYFUNCTION("""COMPUTED_VALUE"""),35.81)</f>
        <v>35.81</v>
      </c>
      <c r="E179" s="21">
        <f ca="1">IFERROR(__xludf.DUMMYFUNCTION("""COMPUTED_VALUE"""),1087)</f>
        <v>1087</v>
      </c>
      <c r="F179" s="24">
        <f ca="1">IFERROR(__xludf.DUMMYFUNCTION("""COMPUTED_VALUE"""),0.473965041398344)</f>
        <v>0.473965041398344</v>
      </c>
      <c r="G179" s="21">
        <f ca="1">IFERROR(__xludf.DUMMYFUNCTION("""COMPUTED_VALUE"""),562.1)</f>
        <v>562.1</v>
      </c>
      <c r="H179" s="24">
        <f ca="1">IFERROR(__xludf.DUMMYFUNCTION("""COMPUTED_VALUE"""),0.0172567158868527)</f>
        <v>1.7256715886852701E-2</v>
      </c>
      <c r="I179" s="21">
        <f ca="1">IFERROR(__xludf.DUMMYFUNCTION("""COMPUTED_VALUE"""),574.7)</f>
        <v>574.70000000000005</v>
      </c>
      <c r="J179" s="24">
        <f ca="1">IFERROR(__xludf.DUMMYFUNCTION("""COMPUTED_VALUE"""),-0.00504611101444247)</f>
        <v>-5.0461110144424696E-3</v>
      </c>
      <c r="K179" s="24" t="str">
        <f ca="1"/>
        <v>Healthcare</v>
      </c>
      <c r="L179" s="24" t="str">
        <f ca="1"/>
        <v>THYROCARE</v>
      </c>
      <c r="M179" s="24" t="str">
        <f ca="1"/>
        <v>Yes</v>
      </c>
      <c r="N179" s="24" t="str">
        <f ca="1"/>
        <v>Yes</v>
      </c>
      <c r="O179" s="25" t="str">
        <f t="array" aca="1" ref="O179" ca="1">IF(AND(D179&lt;65,M179="No", N179="No"),"Good Stock","")</f>
        <v/>
      </c>
      <c r="P179" s="24" t="str">
        <f t="shared" ca="1" si="0"/>
        <v>Low Cap</v>
      </c>
      <c r="Q179" s="26"/>
      <c r="R179" s="26"/>
      <c r="S179" s="26"/>
      <c r="T179" s="26"/>
      <c r="U179" s="26"/>
      <c r="V179" s="26"/>
      <c r="W179" s="26"/>
      <c r="X179" s="26"/>
      <c r="Y179" s="26"/>
      <c r="Z179" s="27"/>
      <c r="AA179" s="26"/>
      <c r="AB179" s="26"/>
    </row>
    <row r="180" spans="1:28">
      <c r="A180" s="21" t="str">
        <f ca="1">IFERROR(__xludf.DUMMYFUNCTION("""COMPUTED_VALUE"""),"Newgen")</f>
        <v>Newgen</v>
      </c>
      <c r="B180" s="22">
        <f ca="1">IFERROR(__xludf.DUMMYFUNCTION("""COMPUTED_VALUE"""),2664.205)</f>
        <v>2664.2049999999999</v>
      </c>
      <c r="C180" s="21">
        <f ca="1">IFERROR(__xludf.DUMMYFUNCTION("""COMPUTED_VALUE"""),382.15)</f>
        <v>382.15</v>
      </c>
      <c r="D180" s="21">
        <f ca="1">IFERROR(__xludf.DUMMYFUNCTION("""COMPUTED_VALUE"""),17.49)</f>
        <v>17.489999999999998</v>
      </c>
      <c r="E180" s="21">
        <f ca="1">IFERROR(__xludf.DUMMYFUNCTION("""COMPUTED_VALUE"""),671)</f>
        <v>671</v>
      </c>
      <c r="F180" s="24">
        <f ca="1">IFERROR(__xludf.DUMMYFUNCTION("""COMPUTED_VALUE"""),0.430476900149031)</f>
        <v>0.43047690014903101</v>
      </c>
      <c r="G180" s="21">
        <f ca="1">IFERROR(__xludf.DUMMYFUNCTION("""COMPUTED_VALUE"""),320.85)</f>
        <v>320.85000000000002</v>
      </c>
      <c r="H180" s="24">
        <f ca="1">IFERROR(__xludf.DUMMYFUNCTION("""COMPUTED_VALUE"""),0.191055010129343)</f>
        <v>0.19105501012934301</v>
      </c>
      <c r="I180" s="21">
        <f ca="1">IFERROR(__xludf.DUMMYFUNCTION("""COMPUTED_VALUE"""),362.3)</f>
        <v>362.3</v>
      </c>
      <c r="J180" s="24">
        <f ca="1">IFERROR(__xludf.DUMMYFUNCTION("""COMPUTED_VALUE"""),0.0547888490201489)</f>
        <v>5.4788849020148897E-2</v>
      </c>
      <c r="K180" s="24" t="str">
        <f ca="1"/>
        <v>IT</v>
      </c>
      <c r="L180" s="24" t="str">
        <f ca="1"/>
        <v>BOM:540900</v>
      </c>
      <c r="M180" s="24" t="str">
        <f ca="1"/>
        <v>Yes</v>
      </c>
      <c r="N180" s="24" t="str">
        <f ca="1"/>
        <v>Yes</v>
      </c>
      <c r="O180" s="25" t="str">
        <f t="array" aca="1" ref="O180" ca="1">IF(AND(D180&lt;65,M180="No", N180="No"),"Good Stock","")</f>
        <v/>
      </c>
      <c r="P180" s="24" t="str">
        <f t="shared" ca="1" si="0"/>
        <v>Low Cap</v>
      </c>
      <c r="Q180" s="26"/>
      <c r="R180" s="26"/>
      <c r="S180" s="26"/>
      <c r="T180" s="26"/>
      <c r="U180" s="26"/>
      <c r="V180" s="26"/>
      <c r="W180" s="26"/>
      <c r="X180" s="26"/>
      <c r="Y180" s="26"/>
      <c r="Z180" s="27"/>
      <c r="AA180" s="26"/>
      <c r="AB180" s="26"/>
    </row>
    <row r="181" spans="1:28">
      <c r="A181" s="21" t="str">
        <f ca="1">IFERROR(__xludf.DUMMYFUNCTION("""COMPUTED_VALUE"""),"Wipro")</f>
        <v>Wipro</v>
      </c>
      <c r="B181" s="22">
        <f ca="1">IFERROR(__xludf.DUMMYFUNCTION("""COMPUTED_VALUE"""),2618.5195811)</f>
        <v>2618.5195810999999</v>
      </c>
      <c r="C181" s="21">
        <f ca="1">IFERROR(__xludf.DUMMYFUNCTION("""COMPUTED_VALUE"""),393.65)</f>
        <v>393.65</v>
      </c>
      <c r="D181" s="21">
        <f ca="1">IFERROR(__xludf.DUMMYFUNCTION("""COMPUTED_VALUE"""),19.15)</f>
        <v>19.149999999999999</v>
      </c>
      <c r="E181" s="21">
        <f ca="1">IFERROR(__xludf.DUMMYFUNCTION("""COMPUTED_VALUE"""),666)</f>
        <v>666</v>
      </c>
      <c r="F181" s="24">
        <f ca="1">IFERROR(__xludf.DUMMYFUNCTION("""COMPUTED_VALUE"""),0.408933933933933)</f>
        <v>0.40893393393393301</v>
      </c>
      <c r="G181" s="21">
        <f ca="1">IFERROR(__xludf.DUMMYFUNCTION("""COMPUTED_VALUE"""),372.4)</f>
        <v>372.4</v>
      </c>
      <c r="H181" s="24">
        <f ca="1">IFERROR(__xludf.DUMMYFUNCTION("""COMPUTED_VALUE"""),0.0570622986036519)</f>
        <v>5.7062298603651897E-2</v>
      </c>
      <c r="I181" s="21">
        <f ca="1">IFERROR(__xludf.DUMMYFUNCTION("""COMPUTED_VALUE"""),394.45)</f>
        <v>394.45</v>
      </c>
      <c r="J181" s="24">
        <f ca="1">IFERROR(__xludf.DUMMYFUNCTION("""COMPUTED_VALUE"""),-0.0020281404487261)</f>
        <v>-2.0281404487261E-3</v>
      </c>
      <c r="K181" s="24" t="str">
        <f ca="1"/>
        <v>IT</v>
      </c>
      <c r="L181" s="24" t="str">
        <f ca="1"/>
        <v>BOM:507685</v>
      </c>
      <c r="M181" s="24" t="str">
        <f ca="1"/>
        <v>Yes</v>
      </c>
      <c r="N181" s="24" t="str">
        <f ca="1"/>
        <v>Yes</v>
      </c>
      <c r="O181" s="25" t="str">
        <f t="array" aca="1" ref="O181" ca="1">IF(AND(D181&lt;65,M181="No", N181="No"),"Good Stock","")</f>
        <v/>
      </c>
      <c r="P181" s="24" t="str">
        <f t="shared" ca="1" si="0"/>
        <v>Low Cap</v>
      </c>
      <c r="Q181" s="26"/>
      <c r="R181" s="26"/>
      <c r="S181" s="26"/>
      <c r="T181" s="26"/>
      <c r="U181" s="26"/>
      <c r="V181" s="26"/>
      <c r="W181" s="26"/>
      <c r="X181" s="26"/>
      <c r="Y181" s="26"/>
      <c r="Z181" s="27"/>
      <c r="AA181" s="26"/>
      <c r="AB181" s="26"/>
    </row>
    <row r="182" spans="1:28">
      <c r="A182" s="21" t="str">
        <f ca="1">IFERROR(__xludf.DUMMYFUNCTION("""COMPUTED_VALUE"""),"Gokaldas Export")</f>
        <v>Gokaldas Export</v>
      </c>
      <c r="B182" s="22">
        <f ca="1">IFERROR(__xludf.DUMMYFUNCTION("""COMPUTED_VALUE"""),2340.128)</f>
        <v>2340.1280000000002</v>
      </c>
      <c r="C182" s="21">
        <f ca="1">IFERROR(__xludf.DUMMYFUNCTION("""COMPUTED_VALUE"""),386)</f>
        <v>386</v>
      </c>
      <c r="D182" s="21">
        <f ca="1">IFERROR(__xludf.DUMMYFUNCTION("""COMPUTED_VALUE"""),13.46)</f>
        <v>13.46</v>
      </c>
      <c r="E182" s="21">
        <f ca="1">IFERROR(__xludf.DUMMYFUNCTION("""COMPUTED_VALUE"""),519.55)</f>
        <v>519.54999999999995</v>
      </c>
      <c r="F182" s="24">
        <f ca="1">IFERROR(__xludf.DUMMYFUNCTION("""COMPUTED_VALUE"""),0.257049369646809)</f>
        <v>0.25704936964680902</v>
      </c>
      <c r="G182" s="21">
        <f ca="1">IFERROR(__xludf.DUMMYFUNCTION("""COMPUTED_VALUE"""),301.1)</f>
        <v>301.10000000000002</v>
      </c>
      <c r="H182" s="24">
        <f ca="1">IFERROR(__xludf.DUMMYFUNCTION("""COMPUTED_VALUE"""),0.281966124211225)</f>
        <v>0.28196612421122502</v>
      </c>
      <c r="I182" s="21">
        <f ca="1">IFERROR(__xludf.DUMMYFUNCTION("""COMPUTED_VALUE"""),381.5)</f>
        <v>381.5</v>
      </c>
      <c r="J182" s="24">
        <f ca="1">IFERROR(__xludf.DUMMYFUNCTION("""COMPUTED_VALUE"""),0.0117955439056356)</f>
        <v>1.17955439056356E-2</v>
      </c>
      <c r="K182" s="24">
        <f ca="1"/>
        <v>0</v>
      </c>
      <c r="L182" s="24" t="str">
        <f ca="1"/>
        <v>BOM:532630</v>
      </c>
      <c r="M182" s="24" t="str">
        <f ca="1"/>
        <v>No</v>
      </c>
      <c r="N182" s="24" t="str">
        <f ca="1"/>
        <v>Yes</v>
      </c>
      <c r="O182" s="25" t="str">
        <f t="array" aca="1" ref="O182" ca="1">IF(AND(D182&lt;65,M182="No", N182="No"),"Good Stock","")</f>
        <v/>
      </c>
      <c r="P182" s="24" t="str">
        <f t="shared" ca="1" si="0"/>
        <v>Low Cap</v>
      </c>
      <c r="Q182" s="26"/>
      <c r="R182" s="26"/>
      <c r="S182" s="26"/>
      <c r="T182" s="26"/>
      <c r="U182" s="26"/>
      <c r="V182" s="26"/>
      <c r="W182" s="26"/>
      <c r="X182" s="26"/>
      <c r="Y182" s="26"/>
      <c r="Z182" s="27"/>
      <c r="AA182" s="26"/>
      <c r="AB182" s="26"/>
    </row>
    <row r="183" spans="1:28">
      <c r="A183" s="21" t="str">
        <f ca="1">IFERROR(__xludf.DUMMYFUNCTION("""COMPUTED_VALUE"""),"Paras Defense")</f>
        <v>Paras Defense</v>
      </c>
      <c r="B183" s="22">
        <f ca="1">IFERROR(__xludf.DUMMYFUNCTION("""COMPUTED_VALUE"""),2250.9146116)</f>
        <v>2250.9146116000002</v>
      </c>
      <c r="C183" s="21">
        <f ca="1">IFERROR(__xludf.DUMMYFUNCTION("""COMPUTED_VALUE"""),577.8)</f>
        <v>577.79999999999995</v>
      </c>
      <c r="D183" s="21">
        <f ca="1">IFERROR(__xludf.DUMMYFUNCTION("""COMPUTED_VALUE"""),67.14)</f>
        <v>67.14</v>
      </c>
      <c r="E183" s="21">
        <f ca="1">IFERROR(__xludf.DUMMYFUNCTION("""COMPUTED_VALUE"""),811.35)</f>
        <v>811.35</v>
      </c>
      <c r="F183" s="24">
        <f ca="1">IFERROR(__xludf.DUMMYFUNCTION("""COMPUTED_VALUE"""),0.287853577371048)</f>
        <v>0.287853577371048</v>
      </c>
      <c r="G183" s="21">
        <f ca="1">IFERROR(__xludf.DUMMYFUNCTION("""COMPUTED_VALUE"""),524.3)</f>
        <v>524.29999999999995</v>
      </c>
      <c r="H183" s="24">
        <f ca="1">IFERROR(__xludf.DUMMYFUNCTION("""COMPUTED_VALUE"""),0.10204081632653)</f>
        <v>0.10204081632653</v>
      </c>
      <c r="I183" s="21">
        <f ca="1">IFERROR(__xludf.DUMMYFUNCTION("""COMPUTED_VALUE"""),583.75)</f>
        <v>583.75</v>
      </c>
      <c r="J183" s="24">
        <f ca="1">IFERROR(__xludf.DUMMYFUNCTION("""COMPUTED_VALUE"""),-0.0101927194860814)</f>
        <v>-1.01927194860814E-2</v>
      </c>
      <c r="K183" s="24" t="str">
        <f ca="1"/>
        <v>Defence</v>
      </c>
      <c r="L183" s="24" t="str">
        <f ca="1"/>
        <v>BOM:543367</v>
      </c>
      <c r="M183" s="24" t="str">
        <f ca="1"/>
        <v>No</v>
      </c>
      <c r="N183" s="24" t="str">
        <f ca="1"/>
        <v>Yes</v>
      </c>
      <c r="O183" s="25" t="str">
        <f t="array" aca="1" ref="O183" ca="1">IF(AND(D183&lt;65,M183="No", N183="No"),"Good Stock","")</f>
        <v/>
      </c>
      <c r="P183" s="24" t="str">
        <f t="shared" ca="1" si="0"/>
        <v>Low Cap</v>
      </c>
      <c r="Q183" s="26"/>
      <c r="R183" s="26"/>
      <c r="S183" s="26"/>
      <c r="T183" s="26"/>
      <c r="U183" s="26"/>
      <c r="V183" s="26"/>
      <c r="W183" s="26"/>
      <c r="X183" s="26"/>
      <c r="Y183" s="26"/>
      <c r="Z183" s="27"/>
      <c r="AA183" s="26"/>
      <c r="AB183" s="26"/>
    </row>
    <row r="184" spans="1:28">
      <c r="A184" s="21" t="str">
        <f ca="1">IFERROR(__xludf.DUMMYFUNCTION("""COMPUTED_VALUE"""),"Apollo pipes")</f>
        <v>Apollo pipes</v>
      </c>
      <c r="B184" s="22">
        <f ca="1">IFERROR(__xludf.DUMMYFUNCTION("""COMPUTED_VALUE"""),1991.1000155)</f>
        <v>1991.1000154999999</v>
      </c>
      <c r="C184" s="21">
        <f ca="1">IFERROR(__xludf.DUMMYFUNCTION("""COMPUTED_VALUE"""),510)</f>
        <v>510</v>
      </c>
      <c r="D184" s="21">
        <f ca="1">IFERROR(__xludf.DUMMYFUNCTION("""COMPUTED_VALUE"""),64.75)</f>
        <v>64.75</v>
      </c>
      <c r="E184" s="21">
        <f ca="1">IFERROR(__xludf.DUMMYFUNCTION("""COMPUTED_VALUE"""),635.7)</f>
        <v>635.70000000000005</v>
      </c>
      <c r="F184" s="24">
        <f ca="1">IFERROR(__xludf.DUMMYFUNCTION("""COMPUTED_VALUE"""),0.197734780556866)</f>
        <v>0.197734780556866</v>
      </c>
      <c r="G184" s="21">
        <f ca="1">IFERROR(__xludf.DUMMYFUNCTION("""COMPUTED_VALUE"""),395)</f>
        <v>395</v>
      </c>
      <c r="H184" s="24">
        <f ca="1">IFERROR(__xludf.DUMMYFUNCTION("""COMPUTED_VALUE"""),0.291139240506329)</f>
        <v>0.291139240506329</v>
      </c>
      <c r="I184" s="21">
        <f ca="1">IFERROR(__xludf.DUMMYFUNCTION("""COMPUTED_VALUE"""),514.85)</f>
        <v>514.85</v>
      </c>
      <c r="J184" s="24">
        <f ca="1">IFERROR(__xludf.DUMMYFUNCTION("""COMPUTED_VALUE"""),-0.00942021948140239)</f>
        <v>-9.4202194814023907E-3</v>
      </c>
      <c r="K184" s="24" t="str">
        <f ca="1"/>
        <v>Piping</v>
      </c>
      <c r="L184" s="24" t="str">
        <f ca="1"/>
        <v>BOM:531761</v>
      </c>
      <c r="M184" s="24" t="str">
        <f ca="1"/>
        <v>No</v>
      </c>
      <c r="N184" s="24" t="str">
        <f ca="1"/>
        <v>Yes</v>
      </c>
      <c r="O184" s="25" t="str">
        <f t="array" aca="1" ref="O184" ca="1">IF(AND(D184&lt;65,M184="No", N184="No"),"Good Stock","")</f>
        <v/>
      </c>
      <c r="P184" s="24" t="str">
        <f t="shared" ca="1" si="0"/>
        <v>Low Cap</v>
      </c>
      <c r="Q184" s="26"/>
      <c r="R184" s="26"/>
      <c r="S184" s="26"/>
      <c r="T184" s="26"/>
      <c r="U184" s="26"/>
      <c r="V184" s="26"/>
      <c r="W184" s="26"/>
      <c r="X184" s="26"/>
      <c r="Y184" s="26"/>
      <c r="Z184" s="27"/>
      <c r="AA184" s="26"/>
      <c r="AB184" s="26"/>
    </row>
    <row r="185" spans="1:28">
      <c r="A185" s="21" t="str">
        <f ca="1">IFERROR(__xludf.DUMMYFUNCTION("""COMPUTED_VALUE"""),"Bhansali Engineering")</f>
        <v>Bhansali Engineering</v>
      </c>
      <c r="B185" s="22">
        <f ca="1">IFERROR(__xludf.DUMMYFUNCTION("""COMPUTED_VALUE"""),1954.368)</f>
        <v>1954.3679999999999</v>
      </c>
      <c r="C185" s="21">
        <f ca="1">IFERROR(__xludf.DUMMYFUNCTION("""COMPUTED_VALUE"""),118.6)</f>
        <v>118.6</v>
      </c>
      <c r="D185" s="21">
        <f ca="1">IFERROR(__xludf.DUMMYFUNCTION("""COMPUTED_VALUE"""),8.27)</f>
        <v>8.27</v>
      </c>
      <c r="E185" s="21">
        <f ca="1">IFERROR(__xludf.DUMMYFUNCTION("""COMPUTED_VALUE"""),182.4)</f>
        <v>182.4</v>
      </c>
      <c r="F185" s="24">
        <f ca="1">IFERROR(__xludf.DUMMYFUNCTION("""COMPUTED_VALUE"""),0.349780701754386)</f>
        <v>0.34978070175438603</v>
      </c>
      <c r="G185" s="21">
        <f ca="1">IFERROR(__xludf.DUMMYFUNCTION("""COMPUTED_VALUE"""),98)</f>
        <v>98</v>
      </c>
      <c r="H185" s="24">
        <f ca="1">IFERROR(__xludf.DUMMYFUNCTION("""COMPUTED_VALUE"""),0.210204081632653)</f>
        <v>0.210204081632653</v>
      </c>
      <c r="I185" s="21">
        <f ca="1">IFERROR(__xludf.DUMMYFUNCTION("""COMPUTED_VALUE"""),120.25)</f>
        <v>120.25</v>
      </c>
      <c r="J185" s="24">
        <f ca="1">IFERROR(__xludf.DUMMYFUNCTION("""COMPUTED_VALUE"""),-0.0137214137214137)</f>
        <v>-1.37214137214137E-2</v>
      </c>
      <c r="K185" s="24">
        <f ca="1"/>
        <v>0</v>
      </c>
      <c r="L185" s="24" t="str">
        <f ca="1"/>
        <v>BOM:500052</v>
      </c>
      <c r="M185" s="24" t="str">
        <f ca="1"/>
        <v>Yes</v>
      </c>
      <c r="N185" s="24" t="str">
        <f ca="1"/>
        <v>Yes</v>
      </c>
      <c r="O185" s="25" t="str">
        <f t="array" aca="1" ref="O185" ca="1">IF(AND(D185&lt;65,M185="No", N185="No"),"Good Stock","")</f>
        <v/>
      </c>
      <c r="P185" s="24" t="str">
        <f t="shared" ca="1" si="0"/>
        <v>Low Cap</v>
      </c>
      <c r="Q185" s="26"/>
      <c r="R185" s="26"/>
      <c r="S185" s="26"/>
      <c r="T185" s="26"/>
      <c r="U185" s="26"/>
      <c r="V185" s="26"/>
      <c r="W185" s="26"/>
      <c r="X185" s="26"/>
      <c r="Y185" s="26"/>
      <c r="Z185" s="27"/>
      <c r="AA185" s="26"/>
      <c r="AB185" s="26"/>
    </row>
    <row r="186" spans="1:28">
      <c r="A186" s="21" t="str">
        <f ca="1">IFERROR(__xludf.DUMMYFUNCTION("""COMPUTED_VALUE"""),"Heranba")</f>
        <v>Heranba</v>
      </c>
      <c r="B186" s="22">
        <f ca="1">IFERROR(__xludf.DUMMYFUNCTION("""COMPUTED_VALUE"""),1923.4465903)</f>
        <v>1923.4465903</v>
      </c>
      <c r="C186" s="21">
        <f ca="1">IFERROR(__xludf.DUMMYFUNCTION("""COMPUTED_VALUE"""),481.35)</f>
        <v>481.35</v>
      </c>
      <c r="D186" s="21">
        <f ca="1">IFERROR(__xludf.DUMMYFUNCTION("""COMPUTED_VALUE"""),10.9)</f>
        <v>10.9</v>
      </c>
      <c r="E186" s="21">
        <f ca="1">IFERROR(__xludf.DUMMYFUNCTION("""COMPUTED_VALUE"""),744.15)</f>
        <v>744.15</v>
      </c>
      <c r="F186" s="24">
        <f ca="1">IFERROR(__xludf.DUMMYFUNCTION("""COMPUTED_VALUE"""),0.353154605926224)</f>
        <v>0.353154605926224</v>
      </c>
      <c r="G186" s="21">
        <f ca="1">IFERROR(__xludf.DUMMYFUNCTION("""COMPUTED_VALUE"""),477.8)</f>
        <v>477.8</v>
      </c>
      <c r="H186" s="24">
        <f ca="1">IFERROR(__xludf.DUMMYFUNCTION("""COMPUTED_VALUE"""),0.00742988698200086)</f>
        <v>7.4298869820008601E-3</v>
      </c>
      <c r="I186" s="21">
        <f ca="1">IFERROR(__xludf.DUMMYFUNCTION("""COMPUTED_VALUE"""),481.85)</f>
        <v>481.85</v>
      </c>
      <c r="J186" s="24">
        <f ca="1">IFERROR(__xludf.DUMMYFUNCTION("""COMPUTED_VALUE"""),-0.00103766732385597)</f>
        <v>-1.03766732385597E-3</v>
      </c>
      <c r="K186" s="24" t="str">
        <f ca="1"/>
        <v>Agrochemical</v>
      </c>
      <c r="L186" s="24" t="str">
        <f ca="1"/>
        <v>BOM:543266</v>
      </c>
      <c r="M186" s="24" t="str">
        <f ca="1"/>
        <v>Yes</v>
      </c>
      <c r="N186" s="24" t="str">
        <f ca="1"/>
        <v>Yes</v>
      </c>
      <c r="O186" s="25" t="str">
        <f t="array" aca="1" ref="O186" ca="1">IF(AND(D186&lt;65,M186="No", N186="No"),"Good Stock","")</f>
        <v/>
      </c>
      <c r="P186" s="24" t="str">
        <f t="shared" ca="1" si="0"/>
        <v>Low Cap</v>
      </c>
      <c r="Q186" s="26"/>
      <c r="R186" s="26"/>
      <c r="S186" s="26"/>
      <c r="T186" s="26"/>
      <c r="U186" s="26"/>
      <c r="V186" s="26"/>
      <c r="W186" s="26"/>
      <c r="X186" s="26"/>
      <c r="Y186" s="26"/>
      <c r="Z186" s="27"/>
      <c r="AA186" s="26"/>
      <c r="AB186" s="26"/>
    </row>
    <row r="187" spans="1:28">
      <c r="A187" s="21" t="str">
        <f ca="1">IFERROR(__xludf.DUMMYFUNCTION("""COMPUTED_VALUE"""),"Goldiam International")</f>
        <v>Goldiam International</v>
      </c>
      <c r="B187" s="22">
        <f ca="1">IFERROR(__xludf.DUMMYFUNCTION("""COMPUTED_VALUE"""),1794.8020805)</f>
        <v>1794.8020805000001</v>
      </c>
      <c r="C187" s="21">
        <f ca="1">IFERROR(__xludf.DUMMYFUNCTION("""COMPUTED_VALUE"""),165.55)</f>
        <v>165.55</v>
      </c>
      <c r="D187" s="21">
        <f ca="1">IFERROR(__xludf.DUMMYFUNCTION("""COMPUTED_VALUE"""),17.83)</f>
        <v>17.829999999999998</v>
      </c>
      <c r="E187" s="21">
        <f ca="1">IFERROR(__xludf.DUMMYFUNCTION("""COMPUTED_VALUE"""),209.41)</f>
        <v>209.41</v>
      </c>
      <c r="F187" s="24">
        <f ca="1">IFERROR(__xludf.DUMMYFUNCTION("""COMPUTED_VALUE"""),0.209445585215605)</f>
        <v>0.209445585215605</v>
      </c>
      <c r="G187" s="21">
        <f ca="1">IFERROR(__xludf.DUMMYFUNCTION("""COMPUTED_VALUE"""),116.75)</f>
        <v>116.75</v>
      </c>
      <c r="H187" s="24">
        <f ca="1">IFERROR(__xludf.DUMMYFUNCTION("""COMPUTED_VALUE"""),0.417987152034261)</f>
        <v>0.41798715203426101</v>
      </c>
      <c r="I187" s="21">
        <f ca="1">IFERROR(__xludf.DUMMYFUNCTION("""COMPUTED_VALUE"""),165.4)</f>
        <v>165.4</v>
      </c>
      <c r="J187" s="24">
        <f ca="1">IFERROR(__xludf.DUMMYFUNCTION("""COMPUTED_VALUE"""),0.000906892382104024)</f>
        <v>9.0689238210402395E-4</v>
      </c>
      <c r="K187" s="24" t="str">
        <f ca="1"/>
        <v>Retail</v>
      </c>
      <c r="L187" s="24" t="str">
        <f ca="1"/>
        <v>BOM:526729</v>
      </c>
      <c r="M187" s="24" t="str">
        <f ca="1"/>
        <v>No</v>
      </c>
      <c r="N187" s="24" t="str">
        <f ca="1"/>
        <v>No</v>
      </c>
      <c r="O187" s="25" t="str">
        <f t="array" aca="1" ref="O187" ca="1">IF(AND(D187&lt;65,M187="No", N187="No"),"Good Stock","")</f>
        <v>Good Stock</v>
      </c>
      <c r="P187" s="24" t="str">
        <f t="shared" ca="1" si="0"/>
        <v>Low Cap</v>
      </c>
      <c r="Q187" s="26"/>
      <c r="R187" s="26"/>
      <c r="S187" s="26"/>
      <c r="T187" s="26"/>
      <c r="U187" s="26"/>
      <c r="V187" s="26"/>
      <c r="W187" s="26"/>
      <c r="X187" s="26"/>
      <c r="Y187" s="26"/>
      <c r="Z187" s="27"/>
      <c r="AA187" s="26"/>
      <c r="AB187" s="26"/>
    </row>
    <row r="188" spans="1:28">
      <c r="A188" s="21" t="str">
        <f ca="1">IFERROR(__xludf.DUMMYFUNCTION("""COMPUTED_VALUE"""),"stove kraft")</f>
        <v>stove kraft</v>
      </c>
      <c r="B188" s="22">
        <f ca="1">IFERROR(__xludf.DUMMYFUNCTION("""COMPUTED_VALUE"""),1639.276373)</f>
        <v>1639.2763729999999</v>
      </c>
      <c r="C188" s="21">
        <f ca="1">IFERROR(__xludf.DUMMYFUNCTION("""COMPUTED_VALUE"""),498.5)</f>
        <v>498.5</v>
      </c>
      <c r="D188" s="21">
        <f ca="1">IFERROR(__xludf.DUMMYFUNCTION("""COMPUTED_VALUE"""),30.76)</f>
        <v>30.76</v>
      </c>
      <c r="E188" s="21">
        <f ca="1">IFERROR(__xludf.DUMMYFUNCTION("""COMPUTED_VALUE"""),1000)</f>
        <v>1000</v>
      </c>
      <c r="F188" s="24">
        <f ca="1">IFERROR(__xludf.DUMMYFUNCTION("""COMPUTED_VALUE"""),0.5015)</f>
        <v>0.50149999999999995</v>
      </c>
      <c r="G188" s="21">
        <f ca="1">IFERROR(__xludf.DUMMYFUNCTION("""COMPUTED_VALUE"""),472.2)</f>
        <v>472.2</v>
      </c>
      <c r="H188" s="24">
        <f ca="1">IFERROR(__xludf.DUMMYFUNCTION("""COMPUTED_VALUE"""),0.055696738670055)</f>
        <v>5.5696738670055E-2</v>
      </c>
      <c r="I188" s="21">
        <f ca="1">IFERROR(__xludf.DUMMYFUNCTION("""COMPUTED_VALUE"""),503.15)</f>
        <v>503.15</v>
      </c>
      <c r="J188" s="24">
        <f ca="1">IFERROR(__xludf.DUMMYFUNCTION("""COMPUTED_VALUE"""),-0.00924177680612139)</f>
        <v>-9.2417768061213903E-3</v>
      </c>
      <c r="K188" s="24" t="str">
        <f ca="1"/>
        <v>kitchen</v>
      </c>
      <c r="L188" s="24" t="str">
        <f ca="1"/>
        <v>BOM:543260</v>
      </c>
      <c r="M188" s="24" t="str">
        <f ca="1"/>
        <v>Yes</v>
      </c>
      <c r="N188" s="24" t="str">
        <f ca="1"/>
        <v>Yes</v>
      </c>
      <c r="O188" s="25" t="str">
        <f t="array" aca="1" ref="O188" ca="1">IF(AND(D188&lt;65,M188="No", N188="No"),"Good Stock","")</f>
        <v/>
      </c>
      <c r="P188" s="24" t="str">
        <f t="shared" ca="1" si="0"/>
        <v>Low Cap</v>
      </c>
      <c r="Q188" s="26"/>
      <c r="R188" s="26"/>
      <c r="S188" s="26"/>
      <c r="T188" s="26"/>
      <c r="U188" s="26"/>
      <c r="V188" s="26"/>
      <c r="W188" s="26"/>
      <c r="X188" s="26"/>
      <c r="Y188" s="26"/>
      <c r="Z188" s="27"/>
      <c r="AA188" s="26"/>
      <c r="AB188" s="26"/>
    </row>
    <row r="189" spans="1:28">
      <c r="A189" s="21" t="str">
        <f ca="1">IFERROR(__xludf.DUMMYFUNCTION("""COMPUTED_VALUE"""),"Krisna dignostic")</f>
        <v>Krisna dignostic</v>
      </c>
      <c r="B189" s="22">
        <f ca="1">IFERROR(__xludf.DUMMYFUNCTION("""COMPUTED_VALUE"""),1347.5935652)</f>
        <v>1347.5935652000001</v>
      </c>
      <c r="C189" s="21">
        <f ca="1">IFERROR(__xludf.DUMMYFUNCTION("""COMPUTED_VALUE"""),429.35)</f>
        <v>429.35</v>
      </c>
      <c r="D189" s="21">
        <f ca="1">IFERROR(__xludf.DUMMYFUNCTION("""COMPUTED_VALUE"""),20.29)</f>
        <v>20.29</v>
      </c>
      <c r="E189" s="21">
        <f ca="1">IFERROR(__xludf.DUMMYFUNCTION("""COMPUTED_VALUE"""),778)</f>
        <v>778</v>
      </c>
      <c r="F189" s="24">
        <f ca="1">IFERROR(__xludf.DUMMYFUNCTION("""COMPUTED_VALUE"""),0.448136246786632)</f>
        <v>0.448136246786632</v>
      </c>
      <c r="G189" s="21">
        <f ca="1">IFERROR(__xludf.DUMMYFUNCTION("""COMPUTED_VALUE"""),428.9)</f>
        <v>428.9</v>
      </c>
      <c r="H189" s="24">
        <f ca="1">IFERROR(__xludf.DUMMYFUNCTION("""COMPUTED_VALUE"""),0.00104919561669397)</f>
        <v>1.0491956166939699E-3</v>
      </c>
      <c r="I189" s="21">
        <f ca="1">IFERROR(__xludf.DUMMYFUNCTION("""COMPUTED_VALUE"""),436.85)</f>
        <v>436.85</v>
      </c>
      <c r="J189" s="24">
        <f ca="1">IFERROR(__xludf.DUMMYFUNCTION("""COMPUTED_VALUE"""),-0.0171683644271489)</f>
        <v>-1.7168364427148902E-2</v>
      </c>
      <c r="K189" s="24">
        <f ca="1"/>
        <v>0</v>
      </c>
      <c r="L189" s="24" t="str">
        <f ca="1"/>
        <v>BOM:543328</v>
      </c>
      <c r="M189" s="24" t="str">
        <f ca="1"/>
        <v>Yes</v>
      </c>
      <c r="N189" s="24" t="str">
        <f ca="1"/>
        <v>Yes</v>
      </c>
      <c r="O189" s="25" t="str">
        <f t="array" aca="1" ref="O189" ca="1">IF(AND(D189&lt;65,M189="No", N189="No"),"Good Stock","")</f>
        <v/>
      </c>
      <c r="P189" s="24" t="str">
        <f t="shared" ca="1" si="0"/>
        <v>Low Cap</v>
      </c>
      <c r="Q189" s="26"/>
      <c r="R189" s="26"/>
      <c r="S189" s="26"/>
      <c r="T189" s="26"/>
      <c r="U189" s="26"/>
      <c r="V189" s="26"/>
      <c r="W189" s="26"/>
      <c r="X189" s="26"/>
      <c r="Y189" s="26"/>
      <c r="Z189" s="27"/>
      <c r="AA189" s="26"/>
      <c r="AB189" s="26"/>
    </row>
    <row r="190" spans="1:28">
      <c r="A190" s="21" t="str">
        <f ca="1">IFERROR(__xludf.DUMMYFUNCTION("""COMPUTED_VALUE"""),"Chemcom Speciality")</f>
        <v>Chemcom Speciality</v>
      </c>
      <c r="B190" s="22">
        <f ca="1">IFERROR(__xludf.DUMMYFUNCTION("""COMPUTED_VALUE"""),1059.9071153)</f>
        <v>1059.9071153</v>
      </c>
      <c r="C190" s="21">
        <f ca="1">IFERROR(__xludf.DUMMYFUNCTION("""COMPUTED_VALUE"""),288.1)</f>
        <v>288.10000000000002</v>
      </c>
      <c r="D190" s="21">
        <f ca="1">IFERROR(__xludf.DUMMYFUNCTION("""COMPUTED_VALUE"""),15.51)</f>
        <v>15.51</v>
      </c>
      <c r="E190" s="21">
        <f ca="1">IFERROR(__xludf.DUMMYFUNCTION("""COMPUTED_VALUE"""),477.95)</f>
        <v>477.95</v>
      </c>
      <c r="F190" s="24">
        <f ca="1">IFERROR(__xludf.DUMMYFUNCTION("""COMPUTED_VALUE"""),0.397217282142483)</f>
        <v>0.39721728214248297</v>
      </c>
      <c r="G190" s="21">
        <f ca="1">IFERROR(__xludf.DUMMYFUNCTION("""COMPUTED_VALUE"""),261)</f>
        <v>261</v>
      </c>
      <c r="H190" s="24">
        <f ca="1">IFERROR(__xludf.DUMMYFUNCTION("""COMPUTED_VALUE"""),0.103831417624521)</f>
        <v>0.103831417624521</v>
      </c>
      <c r="I190" s="21">
        <f ca="1">IFERROR(__xludf.DUMMYFUNCTION("""COMPUTED_VALUE"""),290.1)</f>
        <v>290.10000000000002</v>
      </c>
      <c r="J190" s="24">
        <f ca="1">IFERROR(__xludf.DUMMYFUNCTION("""COMPUTED_VALUE"""),-0.00689417442261289)</f>
        <v>-6.8941744226128903E-3</v>
      </c>
      <c r="K190" s="24" t="str">
        <f ca="1"/>
        <v>Chemical</v>
      </c>
      <c r="L190" s="24" t="str">
        <f ca="1"/>
        <v>CHEMCON</v>
      </c>
      <c r="M190" s="24" t="str">
        <f ca="1"/>
        <v>Yes</v>
      </c>
      <c r="N190" s="24" t="str">
        <f ca="1"/>
        <v>Yes</v>
      </c>
      <c r="O190" s="25" t="str">
        <f t="array" aca="1" ref="O190" ca="1">IF(AND(D190&lt;65,M190="No", N190="No"),"Good Stock","")</f>
        <v/>
      </c>
      <c r="P190" s="24" t="str">
        <f t="shared" ca="1" si="0"/>
        <v>Low Cap</v>
      </c>
      <c r="Q190" s="26"/>
      <c r="R190" s="26"/>
      <c r="S190" s="26"/>
      <c r="T190" s="26"/>
      <c r="U190" s="26"/>
      <c r="V190" s="26"/>
      <c r="W190" s="26"/>
      <c r="X190" s="26"/>
      <c r="Y190" s="26"/>
      <c r="Z190" s="27"/>
      <c r="AA190" s="26"/>
      <c r="AB190" s="26"/>
    </row>
    <row r="191" spans="1:28">
      <c r="A191" s="21" t="str">
        <f ca="1">IFERROR(__xludf.DUMMYFUNCTION("""COMPUTED_VALUE"""),"Dr Reddy")</f>
        <v>Dr Reddy</v>
      </c>
      <c r="B191" s="22">
        <f ca="1">IFERROR(__xludf.DUMMYFUNCTION("""COMPUTED_VALUE"""),880.6892469)</f>
        <v>880.68924689999994</v>
      </c>
      <c r="C191" s="21">
        <f ca="1">IFERROR(__xludf.DUMMYFUNCTION("""COMPUTED_VALUE"""),4323.5)</f>
        <v>4323.5</v>
      </c>
      <c r="D191" s="21">
        <f ca="1">IFERROR(__xludf.DUMMYFUNCTION("""COMPUTED_VALUE"""),23.13)</f>
        <v>23.13</v>
      </c>
      <c r="E191" s="21">
        <f ca="1">IFERROR(__xludf.DUMMYFUNCTION("""COMPUTED_VALUE"""),4759.6)</f>
        <v>4759.6000000000004</v>
      </c>
      <c r="F191" s="24">
        <f ca="1">IFERROR(__xludf.DUMMYFUNCTION("""COMPUTED_VALUE"""),0.0916253466677872)</f>
        <v>9.1625346667787197E-2</v>
      </c>
      <c r="G191" s="21">
        <f ca="1">IFERROR(__xludf.DUMMYFUNCTION("""COMPUTED_VALUE"""),3654)</f>
        <v>3654</v>
      </c>
      <c r="H191" s="24">
        <f ca="1">IFERROR(__xludf.DUMMYFUNCTION("""COMPUTED_VALUE"""),0.183223864258347)</f>
        <v>0.183223864258347</v>
      </c>
      <c r="I191" s="21">
        <f ca="1">IFERROR(__xludf.DUMMYFUNCTION("""COMPUTED_VALUE"""),4310.6)</f>
        <v>4310.6000000000004</v>
      </c>
      <c r="J191" s="24">
        <f ca="1">IFERROR(__xludf.DUMMYFUNCTION("""COMPUTED_VALUE"""),0.00299262283672798)</f>
        <v>2.9926228367279802E-3</v>
      </c>
      <c r="K191" s="24" t="str">
        <f ca="1"/>
        <v>Pharma</v>
      </c>
      <c r="L191" s="24" t="str">
        <f ca="1"/>
        <v>DRREDDY</v>
      </c>
      <c r="M191" s="24" t="str">
        <f ca="1"/>
        <v>No</v>
      </c>
      <c r="N191" s="24" t="str">
        <f ca="1"/>
        <v>Yes</v>
      </c>
      <c r="O191" s="25" t="str">
        <f t="array" aca="1" ref="O191" ca="1">IF(AND(D191&lt;65,M191="No", N191="No"),"Good Stock","")</f>
        <v/>
      </c>
      <c r="P191" s="24" t="str">
        <f t="shared" ca="1" si="0"/>
        <v>Low Cap</v>
      </c>
      <c r="Q191" s="26"/>
      <c r="R191" s="26"/>
      <c r="S191" s="26"/>
      <c r="T191" s="26"/>
      <c r="U191" s="26"/>
      <c r="V191" s="26"/>
      <c r="W191" s="26"/>
      <c r="X191" s="26"/>
      <c r="Y191" s="26"/>
      <c r="Z191" s="27"/>
      <c r="AA191" s="26"/>
      <c r="AB191" s="26"/>
    </row>
    <row r="192" spans="1:28">
      <c r="A192" s="21"/>
      <c r="B192" s="22"/>
      <c r="C192" s="21"/>
      <c r="D192" s="21"/>
      <c r="E192" s="21"/>
      <c r="F192" s="24"/>
      <c r="G192" s="21"/>
      <c r="H192" s="24"/>
      <c r="I192" s="21"/>
      <c r="J192" s="24"/>
      <c r="K192" s="24" t="str">
        <v/>
      </c>
      <c r="L192" s="24" t="str">
        <v/>
      </c>
      <c r="M192" s="24" t="str">
        <v/>
      </c>
      <c r="N192" s="24" t="str">
        <v/>
      </c>
      <c r="O192" s="23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7"/>
      <c r="AA192" s="26"/>
      <c r="AB192" s="26"/>
    </row>
    <row r="193" spans="1:28">
      <c r="A193" s="21"/>
      <c r="B193" s="22"/>
      <c r="C193" s="21"/>
      <c r="D193" s="21"/>
      <c r="E193" s="21"/>
      <c r="F193" s="24"/>
      <c r="G193" s="21"/>
      <c r="H193" s="24"/>
      <c r="I193" s="21"/>
      <c r="J193" s="24"/>
      <c r="K193" s="24" t="str">
        <v/>
      </c>
      <c r="L193" s="24" t="str">
        <v/>
      </c>
      <c r="M193" s="24" t="str">
        <v/>
      </c>
      <c r="N193" s="24" t="str">
        <v/>
      </c>
      <c r="O193" s="23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7"/>
      <c r="AA193" s="26"/>
      <c r="AB193" s="26"/>
    </row>
    <row r="194" spans="1:28">
      <c r="A194" s="21"/>
      <c r="B194" s="22"/>
      <c r="C194" s="21"/>
      <c r="D194" s="21"/>
      <c r="E194" s="21"/>
      <c r="F194" s="24"/>
      <c r="G194" s="21"/>
      <c r="H194" s="24"/>
      <c r="I194" s="21"/>
      <c r="J194" s="24"/>
      <c r="K194" s="24" t="str">
        <v/>
      </c>
      <c r="L194" s="24" t="str">
        <v/>
      </c>
      <c r="M194" s="24" t="str">
        <v/>
      </c>
      <c r="N194" s="24" t="str">
        <v/>
      </c>
      <c r="O194" s="23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7"/>
      <c r="AA194" s="26"/>
      <c r="AB194" s="26"/>
    </row>
    <row r="195" spans="1:28">
      <c r="A195" s="21"/>
      <c r="B195" s="22"/>
      <c r="C195" s="21"/>
      <c r="D195" s="21"/>
      <c r="E195" s="21"/>
      <c r="F195" s="24"/>
      <c r="G195" s="21"/>
      <c r="H195" s="24"/>
      <c r="I195" s="21"/>
      <c r="J195" s="24"/>
      <c r="K195" s="24" t="str">
        <v/>
      </c>
      <c r="L195" s="24" t="str">
        <v/>
      </c>
      <c r="M195" s="24" t="str">
        <v/>
      </c>
      <c r="N195" s="24" t="str">
        <v/>
      </c>
      <c r="O195" s="23"/>
      <c r="P195" s="16" t="s">
        <v>493</v>
      </c>
      <c r="Q195" s="20">
        <f ca="1">MAX(B2:B191)</f>
        <v>1620922.4391001</v>
      </c>
      <c r="R195" s="26"/>
      <c r="S195" s="26"/>
      <c r="T195" s="26"/>
      <c r="U195" s="26"/>
      <c r="V195" s="26"/>
      <c r="W195" s="26"/>
      <c r="X195" s="26"/>
      <c r="Y195" s="26"/>
      <c r="Z195" s="27"/>
      <c r="AA195" s="26"/>
      <c r="AB195" s="26"/>
    </row>
    <row r="196" spans="1:28">
      <c r="A196" s="21"/>
      <c r="B196" s="22"/>
      <c r="C196" s="21"/>
      <c r="D196" s="21"/>
      <c r="E196" s="21"/>
      <c r="F196" s="24"/>
      <c r="G196" s="21"/>
      <c r="H196" s="24"/>
      <c r="I196" s="21"/>
      <c r="J196" s="24"/>
      <c r="K196" s="24" t="str">
        <v/>
      </c>
      <c r="L196" s="24" t="str">
        <v/>
      </c>
      <c r="M196" s="24" t="str">
        <v/>
      </c>
      <c r="N196" s="24" t="str">
        <v/>
      </c>
      <c r="O196" s="23"/>
      <c r="P196" s="16" t="s">
        <v>494</v>
      </c>
      <c r="Q196" s="20">
        <f ca="1">Q195*0.6</f>
        <v>972553.46346005995</v>
      </c>
      <c r="R196" s="26"/>
      <c r="S196" s="26"/>
      <c r="T196" s="26"/>
      <c r="U196" s="26"/>
      <c r="V196" s="26"/>
      <c r="W196" s="26"/>
      <c r="X196" s="26"/>
      <c r="Y196" s="26"/>
      <c r="Z196" s="27"/>
      <c r="AA196" s="26"/>
      <c r="AB196" s="26"/>
    </row>
    <row r="197" spans="1:28">
      <c r="A197" s="21"/>
      <c r="B197" s="22"/>
      <c r="C197" s="21"/>
      <c r="D197" s="21"/>
      <c r="E197" s="21"/>
      <c r="F197" s="24"/>
      <c r="G197" s="21"/>
      <c r="H197" s="24"/>
      <c r="I197" s="21"/>
      <c r="J197" s="24"/>
      <c r="K197" s="24" t="str">
        <v/>
      </c>
      <c r="L197" s="24" t="str">
        <v/>
      </c>
      <c r="M197" s="24" t="str">
        <v/>
      </c>
      <c r="N197" s="24" t="str">
        <v/>
      </c>
      <c r="O197" s="23"/>
      <c r="P197" s="28" t="s">
        <v>495</v>
      </c>
      <c r="Q197" s="28">
        <f ca="1">Q195*0.4</f>
        <v>648368.97564004001</v>
      </c>
      <c r="R197" s="26"/>
      <c r="S197" s="26"/>
      <c r="T197" s="26"/>
      <c r="U197" s="26"/>
      <c r="V197" s="26"/>
      <c r="W197" s="26"/>
      <c r="X197" s="26"/>
      <c r="Y197" s="26"/>
      <c r="Z197" s="27"/>
      <c r="AA197" s="26"/>
      <c r="AB197" s="26"/>
    </row>
    <row r="198" spans="1:28">
      <c r="B198" s="29"/>
      <c r="F198" s="26"/>
      <c r="H198" s="26"/>
      <c r="J198" s="26"/>
      <c r="K198" s="26" t="str">
        <v/>
      </c>
      <c r="L198" s="26" t="str">
        <v/>
      </c>
      <c r="M198" s="26" t="str">
        <v/>
      </c>
      <c r="N198" s="26" t="str">
        <v/>
      </c>
      <c r="O198" s="23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7"/>
      <c r="AA198" s="26"/>
      <c r="AB198" s="26"/>
    </row>
    <row r="199" spans="1:28">
      <c r="B199" s="29"/>
      <c r="C199" s="30"/>
      <c r="D199" s="30"/>
      <c r="E199" s="30"/>
      <c r="F199" s="26"/>
      <c r="G199" s="30"/>
      <c r="H199" s="26"/>
      <c r="I199" s="30"/>
      <c r="J199" s="26"/>
      <c r="K199" s="26" t="str">
        <v/>
      </c>
      <c r="L199" s="26" t="str">
        <v/>
      </c>
      <c r="M199" s="26" t="str">
        <v/>
      </c>
      <c r="N199" s="26" t="str">
        <v/>
      </c>
      <c r="O199" s="23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7"/>
      <c r="AA199" s="26"/>
      <c r="AB199" s="26"/>
    </row>
    <row r="200" spans="1:28">
      <c r="B200" s="29"/>
      <c r="F200" s="26"/>
      <c r="H200" s="26"/>
      <c r="J200" s="26"/>
      <c r="K200" s="26" t="str">
        <v/>
      </c>
      <c r="L200" s="26" t="str">
        <v/>
      </c>
      <c r="M200" s="26" t="str">
        <v/>
      </c>
      <c r="N200" s="26" t="str">
        <v/>
      </c>
      <c r="O200" s="23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7"/>
      <c r="AA200" s="26"/>
      <c r="AB200" s="26"/>
    </row>
    <row r="201" spans="1:28">
      <c r="B201" s="29"/>
      <c r="F201" s="26"/>
      <c r="H201" s="26"/>
      <c r="J201" s="26"/>
      <c r="K201" s="26" t="str">
        <v/>
      </c>
      <c r="L201" s="26" t="str">
        <v/>
      </c>
      <c r="M201" s="26" t="str">
        <v/>
      </c>
      <c r="N201" s="26" t="str">
        <v/>
      </c>
      <c r="O201" s="23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7"/>
      <c r="AA201" s="26"/>
      <c r="AB201" s="26"/>
    </row>
    <row r="202" spans="1:28">
      <c r="B202" s="29"/>
      <c r="F202" s="26"/>
      <c r="H202" s="26"/>
      <c r="J202" s="26"/>
      <c r="K202" s="26" t="str">
        <v/>
      </c>
      <c r="L202" s="26" t="str">
        <v/>
      </c>
      <c r="M202" s="26" t="str">
        <v/>
      </c>
      <c r="N202" s="26" t="str">
        <v/>
      </c>
      <c r="O202" s="23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7"/>
      <c r="AA202" s="26"/>
      <c r="AB202" s="26"/>
    </row>
    <row r="203" spans="1:28">
      <c r="B203" s="29"/>
      <c r="F203" s="26"/>
      <c r="H203" s="26"/>
      <c r="J203" s="26"/>
      <c r="K203" s="26" t="str">
        <v/>
      </c>
      <c r="L203" s="26" t="str">
        <v/>
      </c>
      <c r="M203" s="26" t="str">
        <v/>
      </c>
      <c r="N203" s="26" t="str">
        <v/>
      </c>
      <c r="O203" s="23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7"/>
      <c r="AA203" s="26"/>
      <c r="AB203" s="26"/>
    </row>
    <row r="204" spans="1:28">
      <c r="B204" s="29"/>
      <c r="F204" s="26"/>
      <c r="H204" s="26"/>
      <c r="J204" s="26"/>
      <c r="K204" s="26" t="str">
        <v/>
      </c>
      <c r="L204" s="26" t="str">
        <v/>
      </c>
      <c r="M204" s="26" t="str">
        <v/>
      </c>
      <c r="N204" s="26" t="str">
        <v/>
      </c>
      <c r="O204" s="23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7"/>
      <c r="AA204" s="26"/>
      <c r="AB204" s="26"/>
    </row>
    <row r="205" spans="1:28">
      <c r="B205" s="29"/>
      <c r="F205" s="26"/>
      <c r="H205" s="26"/>
      <c r="J205" s="26"/>
      <c r="K205" s="26" t="str">
        <v/>
      </c>
      <c r="L205" s="26" t="str">
        <v/>
      </c>
      <c r="M205" s="26" t="str">
        <v/>
      </c>
      <c r="N205" s="26" t="str">
        <v/>
      </c>
      <c r="O205" s="23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7"/>
      <c r="AA205" s="26"/>
      <c r="AB205" s="26"/>
    </row>
    <row r="206" spans="1:28">
      <c r="B206" s="29"/>
      <c r="F206" s="26"/>
      <c r="H206" s="26"/>
      <c r="J206" s="26"/>
      <c r="K206" s="26" t="str">
        <v/>
      </c>
      <c r="L206" s="26" t="str">
        <v/>
      </c>
      <c r="M206" s="26" t="str">
        <v/>
      </c>
      <c r="N206" s="26" t="str">
        <v/>
      </c>
      <c r="O206" s="23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7"/>
      <c r="AA206" s="26"/>
      <c r="AB206" s="26"/>
    </row>
    <row r="207" spans="1:28">
      <c r="B207" s="29"/>
      <c r="F207" s="26"/>
      <c r="H207" s="26"/>
      <c r="J207" s="26"/>
      <c r="K207" s="26" t="str">
        <v/>
      </c>
      <c r="L207" s="26" t="str">
        <v/>
      </c>
      <c r="M207" s="26" t="str">
        <v/>
      </c>
      <c r="N207" s="26" t="str">
        <v/>
      </c>
      <c r="O207" s="23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7"/>
      <c r="AA207" s="26"/>
      <c r="AB207" s="26"/>
    </row>
    <row r="208" spans="1:28">
      <c r="B208" s="29"/>
      <c r="F208" s="26"/>
      <c r="H208" s="26"/>
      <c r="J208" s="26"/>
      <c r="K208" s="26" t="str">
        <v/>
      </c>
      <c r="L208" s="26" t="str">
        <v/>
      </c>
      <c r="M208" s="26" t="str">
        <v/>
      </c>
      <c r="N208" s="26" t="str">
        <v/>
      </c>
      <c r="O208" s="23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7"/>
      <c r="AA208" s="26"/>
      <c r="AB208" s="26"/>
    </row>
    <row r="209" spans="2:28">
      <c r="B209" s="29"/>
      <c r="F209" s="26"/>
      <c r="H209" s="26"/>
      <c r="J209" s="26"/>
      <c r="K209" s="26" t="str">
        <v/>
      </c>
      <c r="L209" s="26" t="str">
        <v/>
      </c>
      <c r="M209" s="26" t="str">
        <v/>
      </c>
      <c r="N209" s="26" t="str">
        <v/>
      </c>
      <c r="O209" s="23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7"/>
      <c r="AA209" s="26"/>
      <c r="AB209" s="26"/>
    </row>
    <row r="210" spans="2:28">
      <c r="B210" s="29"/>
      <c r="F210" s="26"/>
      <c r="H210" s="26"/>
      <c r="J210" s="26"/>
      <c r="K210" s="26" t="str">
        <v/>
      </c>
      <c r="L210" s="26" t="str">
        <v/>
      </c>
      <c r="M210" s="26" t="str">
        <v/>
      </c>
      <c r="N210" s="26" t="str">
        <v/>
      </c>
      <c r="O210" s="23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7"/>
      <c r="AA210" s="26"/>
      <c r="AB210" s="26"/>
    </row>
    <row r="211" spans="2:28">
      <c r="B211" s="29"/>
      <c r="F211" s="26"/>
      <c r="H211" s="26"/>
      <c r="J211" s="26"/>
      <c r="K211" s="26" t="str">
        <v/>
      </c>
      <c r="L211" s="26" t="str">
        <v/>
      </c>
      <c r="M211" s="26" t="str">
        <v/>
      </c>
      <c r="N211" s="26" t="str">
        <v/>
      </c>
      <c r="O211" s="23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7"/>
      <c r="AA211" s="26"/>
      <c r="AB211" s="26"/>
    </row>
    <row r="212" spans="2:28">
      <c r="B212" s="29"/>
      <c r="D212" s="30"/>
      <c r="F212" s="26"/>
      <c r="H212" s="26"/>
      <c r="J212" s="26"/>
      <c r="K212" s="26" t="str">
        <v/>
      </c>
      <c r="L212" s="26" t="str">
        <v/>
      </c>
      <c r="M212" s="26" t="str">
        <v/>
      </c>
      <c r="N212" s="26" t="str">
        <v/>
      </c>
      <c r="O212" s="23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7"/>
      <c r="AA212" s="26"/>
      <c r="AB212" s="26"/>
    </row>
    <row r="213" spans="2:28">
      <c r="B213" s="29"/>
      <c r="F213" s="26"/>
      <c r="H213" s="26"/>
      <c r="J213" s="26"/>
      <c r="K213" s="26" t="str">
        <v/>
      </c>
      <c r="L213" s="26" t="str">
        <v/>
      </c>
      <c r="M213" s="26" t="str">
        <v/>
      </c>
      <c r="N213" s="26" t="str">
        <v/>
      </c>
      <c r="O213" s="23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7"/>
      <c r="AA213" s="26"/>
      <c r="AB213" s="26"/>
    </row>
    <row r="214" spans="2:28">
      <c r="B214" s="29"/>
      <c r="F214" s="26"/>
      <c r="H214" s="26"/>
      <c r="J214" s="26"/>
      <c r="K214" s="26" t="str">
        <v/>
      </c>
      <c r="L214" s="26" t="str">
        <v/>
      </c>
      <c r="M214" s="26" t="str">
        <v/>
      </c>
      <c r="N214" s="26" t="str">
        <v/>
      </c>
      <c r="O214" s="23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7"/>
      <c r="AA214" s="26"/>
      <c r="AB214" s="26"/>
    </row>
    <row r="215" spans="2:28">
      <c r="B215" s="29"/>
      <c r="F215" s="26"/>
      <c r="H215" s="26"/>
      <c r="J215" s="26"/>
      <c r="K215" s="26" t="str">
        <v/>
      </c>
      <c r="L215" s="26" t="str">
        <v/>
      </c>
      <c r="M215" s="26" t="str">
        <v/>
      </c>
      <c r="N215" s="26" t="str">
        <v/>
      </c>
      <c r="O215" s="23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7"/>
      <c r="AA215" s="26"/>
      <c r="AB215" s="26"/>
    </row>
    <row r="216" spans="2:28">
      <c r="B216" s="29"/>
      <c r="F216" s="26"/>
      <c r="H216" s="26"/>
      <c r="J216" s="26"/>
      <c r="K216" s="26" t="str">
        <v/>
      </c>
      <c r="L216" s="26" t="str">
        <v/>
      </c>
      <c r="M216" s="26" t="str">
        <v/>
      </c>
      <c r="N216" s="26" t="str">
        <v/>
      </c>
      <c r="O216" s="23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7"/>
      <c r="AA216" s="26"/>
      <c r="AB216" s="26"/>
    </row>
    <row r="217" spans="2:28">
      <c r="B217" s="29"/>
      <c r="F217" s="26"/>
      <c r="H217" s="26"/>
      <c r="J217" s="26"/>
      <c r="K217" s="26" t="str">
        <v/>
      </c>
      <c r="L217" s="26" t="str">
        <v/>
      </c>
      <c r="M217" s="26" t="str">
        <v/>
      </c>
      <c r="N217" s="26" t="str">
        <v/>
      </c>
      <c r="O217" s="23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7"/>
      <c r="AA217" s="26"/>
      <c r="AB217" s="26"/>
    </row>
    <row r="218" spans="2:28">
      <c r="B218" s="29"/>
      <c r="F218" s="26"/>
      <c r="H218" s="26"/>
      <c r="J218" s="26"/>
      <c r="K218" s="26" t="str">
        <v/>
      </c>
      <c r="L218" s="26" t="str">
        <v/>
      </c>
      <c r="M218" s="26" t="str">
        <v/>
      </c>
      <c r="N218" s="26" t="str">
        <v/>
      </c>
      <c r="O218" s="23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7"/>
      <c r="AA218" s="26"/>
      <c r="AB218" s="26"/>
    </row>
    <row r="219" spans="2:28">
      <c r="B219" s="29"/>
      <c r="F219" s="26"/>
      <c r="H219" s="26"/>
      <c r="J219" s="26"/>
      <c r="K219" s="26" t="str">
        <v/>
      </c>
      <c r="L219" s="26" t="str">
        <v/>
      </c>
      <c r="M219" s="26" t="str">
        <v/>
      </c>
      <c r="N219" s="26" t="str">
        <v/>
      </c>
      <c r="O219" s="23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2:28">
      <c r="B220" s="29"/>
      <c r="F220" s="26"/>
      <c r="H220" s="26"/>
      <c r="J220" s="26"/>
      <c r="K220" s="26" t="str">
        <v/>
      </c>
      <c r="L220" s="26" t="str">
        <v/>
      </c>
      <c r="M220" s="26" t="str">
        <v/>
      </c>
      <c r="N220" s="26" t="str">
        <v/>
      </c>
      <c r="O220" s="23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  <pageSetUpPr fitToPage="1"/>
  </sheetPr>
  <dimension ref="A1:AB240"/>
  <sheetViews>
    <sheetView tabSelected="1" zoomScale="47" zoomScaleNormal="65" workbookViewId="0"/>
  </sheetViews>
  <sheetFormatPr defaultColWidth="12.6640625" defaultRowHeight="15.75" customHeight="1"/>
  <cols>
    <col min="1" max="1" width="24.33203125" customWidth="1"/>
    <col min="2" max="2" width="23.109375" customWidth="1"/>
    <col min="3" max="3" width="14.6640625" customWidth="1"/>
    <col min="5" max="5" width="14.88671875" customWidth="1"/>
    <col min="6" max="6" width="23.109375" customWidth="1"/>
    <col min="7" max="7" width="14" customWidth="1"/>
    <col min="8" max="8" width="22.88671875" customWidth="1"/>
    <col min="9" max="9" width="25.33203125" customWidth="1"/>
    <col min="10" max="10" width="11.33203125" customWidth="1"/>
    <col min="11" max="11" width="28" customWidth="1"/>
    <col min="12" max="12" width="30.44140625" customWidth="1"/>
    <col min="13" max="13" width="19.6640625" customWidth="1"/>
    <col min="14" max="14" width="18.77734375" customWidth="1"/>
    <col min="15" max="15" width="22.44140625" customWidth="1"/>
    <col min="16" max="28" width="19.6640625" customWidth="1"/>
  </cols>
  <sheetData>
    <row r="1" spans="1:28" ht="24">
      <c r="A1" s="31" t="str">
        <f ca="1">IFERROR(__xludf.DUMMYFUNCTION("QUERY('Copy of Data Set'!1:220, ""SELECT * WHERE Col15 = 'Good Stock'"", 1)
"),"Stock")</f>
        <v>Stock</v>
      </c>
      <c r="B1" s="31" t="str">
        <f ca="1">IFERROR(__xludf.DUMMYFUNCTION("""COMPUTED_VALUE"""),"Market cap (in Rs Cr.)")</f>
        <v>Market cap (in Rs Cr.)</v>
      </c>
      <c r="C1" s="31" t="str">
        <f ca="1">IFERROR(__xludf.DUMMYFUNCTION("""COMPUTED_VALUE"""),"Current price")</f>
        <v>Current price</v>
      </c>
      <c r="D1" s="31" t="str">
        <f ca="1">IFERROR(__xludf.DUMMYFUNCTION("""COMPUTED_VALUE"""),"PE Ratio")</f>
        <v>PE Ratio</v>
      </c>
      <c r="E1" s="31" t="str">
        <f ca="1">IFERROR(__xludf.DUMMYFUNCTION("""COMPUTED_VALUE"""),"52 Week High")</f>
        <v>52 Week High</v>
      </c>
      <c r="F1" s="31" t="str">
        <f ca="1">IFERROR(__xludf.DUMMYFUNCTION("""COMPUTED_VALUE"""),"% Below 52 week high")</f>
        <v>% Below 52 week high</v>
      </c>
      <c r="G1" s="31" t="str">
        <f ca="1">IFERROR(__xludf.DUMMYFUNCTION("""COMPUTED_VALUE"""),"52 Week Low")</f>
        <v>52 Week Low</v>
      </c>
      <c r="H1" s="31" t="str">
        <f ca="1">IFERROR(__xludf.DUMMYFUNCTION("""COMPUTED_VALUE"""),"% Above 52 Week low")</f>
        <v>% Above 52 Week low</v>
      </c>
      <c r="I1" s="31" t="str">
        <f ca="1">IFERROR(__xludf.DUMMYFUNCTION("""COMPUTED_VALUE"""),"Yesterday Closing Price")</f>
        <v>Yesterday Closing Price</v>
      </c>
      <c r="J1" s="32" t="str">
        <f ca="1">IFERROR(__xludf.DUMMYFUNCTION("""COMPUTED_VALUE"""),"% Change")</f>
        <v>% Change</v>
      </c>
      <c r="K1" s="31" t="str">
        <f ca="1">IFERROR(__xludf.DUMMYFUNCTION("""COMPUTED_VALUE"""),"Industry")</f>
        <v>Industry</v>
      </c>
      <c r="L1" s="31" t="str">
        <f ca="1">IFERROR(__xludf.DUMMYFUNCTION("""COMPUTED_VALUE"""),"NSE/BSE Code")</f>
        <v>NSE/BSE Code</v>
      </c>
      <c r="M1" s="31" t="str">
        <f ca="1">IFERROR(__xludf.DUMMYFUNCTION("""COMPUTED_VALUE"""),"Bear Mode 1")</f>
        <v>Bear Mode 1</v>
      </c>
      <c r="N1" s="31" t="str">
        <f ca="1">IFERROR(__xludf.DUMMYFUNCTION("""COMPUTED_VALUE"""),"Bear Mode 2")</f>
        <v>Bear Mode 2</v>
      </c>
      <c r="O1" s="31" t="str">
        <f ca="1">IFERROR(__xludf.DUMMYFUNCTION("""COMPUTED_VALUE"""),"Stock Status")</f>
        <v>Stock Status</v>
      </c>
      <c r="P1" s="31" t="str">
        <f ca="1">IFERROR(__xludf.DUMMYFUNCTION("""COMPUTED_VALUE"""),"Cap SIze")</f>
        <v>Cap SIze</v>
      </c>
      <c r="Q1" s="26" t="str">
        <f ca="1">IFERROR(__xludf.DUMMYFUNCTION("""COMPUTED_VALUE"""),"")</f>
        <v/>
      </c>
      <c r="R1" s="26" t="str">
        <f ca="1">IFERROR(__xludf.DUMMYFUNCTION("""COMPUTED_VALUE"""),"")</f>
        <v/>
      </c>
      <c r="S1" s="26" t="str">
        <f ca="1">IFERROR(__xludf.DUMMYFUNCTION("""COMPUTED_VALUE"""),"")</f>
        <v/>
      </c>
      <c r="T1" s="26" t="str">
        <f ca="1">IFERROR(__xludf.DUMMYFUNCTION("""COMPUTED_VALUE"""),"")</f>
        <v/>
      </c>
      <c r="U1" s="26" t="str">
        <f ca="1">IFERROR(__xludf.DUMMYFUNCTION("""COMPUTED_VALUE"""),"")</f>
        <v/>
      </c>
      <c r="V1" s="26" t="str">
        <f ca="1">IFERROR(__xludf.DUMMYFUNCTION("""COMPUTED_VALUE"""),"")</f>
        <v/>
      </c>
      <c r="W1" s="26" t="str">
        <f ca="1">IFERROR(__xludf.DUMMYFUNCTION("""COMPUTED_VALUE"""),"")</f>
        <v/>
      </c>
      <c r="X1" s="26" t="str">
        <f ca="1">IFERROR(__xludf.DUMMYFUNCTION("""COMPUTED_VALUE"""),"")</f>
        <v/>
      </c>
      <c r="Y1" s="26" t="str">
        <f ca="1">IFERROR(__xludf.DUMMYFUNCTION("""COMPUTED_VALUE"""),"")</f>
        <v/>
      </c>
      <c r="Z1" s="27" t="str">
        <f ca="1">IFERROR(__xludf.DUMMYFUNCTION("""COMPUTED_VALUE"""),"")</f>
        <v/>
      </c>
      <c r="AA1" s="33" t="str">
        <f ca="1">IFERROR(__xludf.DUMMYFUNCTION("""COMPUTED_VALUE"""),"")</f>
        <v/>
      </c>
      <c r="AB1" s="26" t="str">
        <f ca="1">IFERROR(__xludf.DUMMYFUNCTION("""COMPUTED_VALUE"""),"")</f>
        <v/>
      </c>
    </row>
    <row r="2" spans="1:28" ht="24">
      <c r="A2" s="34" t="str">
        <f ca="1">IFERROR(__xludf.DUMMYFUNCTION("""COMPUTED_VALUE"""),"HUL")</f>
        <v>HUL</v>
      </c>
      <c r="B2" s="35">
        <f ca="1">IFERROR(__xludf.DUMMYFUNCTION("""COMPUTED_VALUE"""),616301.326875)</f>
        <v>616301.32687500003</v>
      </c>
      <c r="C2" s="35">
        <f ca="1">IFERROR(__xludf.DUMMYFUNCTION("""COMPUTED_VALUE"""),2620.6)</f>
        <v>2620.6</v>
      </c>
      <c r="D2" s="35">
        <f ca="1">IFERROR(__xludf.DUMMYFUNCTION("""COMPUTED_VALUE"""),63.81)</f>
        <v>63.81</v>
      </c>
      <c r="E2" s="35">
        <f ca="1">IFERROR(__xludf.DUMMYFUNCTION("""COMPUTED_VALUE"""),2741.6)</f>
        <v>2741.6</v>
      </c>
      <c r="F2" s="35">
        <f ca="1">IFERROR(__xludf.DUMMYFUNCTION("""COMPUTED_VALUE"""),0.0441348117887365)</f>
        <v>4.4134811788736503E-2</v>
      </c>
      <c r="G2" s="35">
        <f ca="1">IFERROR(__xludf.DUMMYFUNCTION("""COMPUTED_VALUE"""),1901.55)</f>
        <v>1901.55</v>
      </c>
      <c r="H2" s="35">
        <f ca="1">IFERROR(__xludf.DUMMYFUNCTION("""COMPUTED_VALUE"""),0.378138886697693)</f>
        <v>0.37813888669769302</v>
      </c>
      <c r="I2" s="35">
        <f ca="1">IFERROR(__xludf.DUMMYFUNCTION("""COMPUTED_VALUE"""),2590.05)</f>
        <v>2590.0500000000002</v>
      </c>
      <c r="J2" s="36">
        <f ca="1">IFERROR(__xludf.DUMMYFUNCTION("""COMPUTED_VALUE"""),0.0117951390899788)</f>
        <v>1.17951390899788E-2</v>
      </c>
      <c r="K2" s="37" t="str">
        <f ca="1">IFERROR(__xludf.DUMMYFUNCTION("""COMPUTED_VALUE"""),"FMCG")</f>
        <v>FMCG</v>
      </c>
      <c r="L2" s="37" t="str">
        <f ca="1">IFERROR(__xludf.DUMMYFUNCTION("""COMPUTED_VALUE"""),"HINDUNILVR")</f>
        <v>HINDUNILVR</v>
      </c>
      <c r="M2" s="36" t="str">
        <f ca="1">IFERROR(__xludf.DUMMYFUNCTION("""COMPUTED_VALUE"""),"No")</f>
        <v>No</v>
      </c>
      <c r="N2" s="36" t="str">
        <f ca="1">IFERROR(__xludf.DUMMYFUNCTION("""COMPUTED_VALUE"""),"No")</f>
        <v>No</v>
      </c>
      <c r="O2" s="36" t="str">
        <f ca="1">IFERROR(__xludf.DUMMYFUNCTION("""COMPUTED_VALUE"""),"Good Stock")</f>
        <v>Good Stock</v>
      </c>
      <c r="P2" s="36" t="str">
        <f ca="1">IFERROR(__xludf.DUMMYFUNCTION("""COMPUTED_VALUE"""),"Low Cap")</f>
        <v>Low Cap</v>
      </c>
      <c r="Q2" s="26"/>
      <c r="R2" s="26"/>
      <c r="S2" s="26"/>
      <c r="T2" s="26"/>
      <c r="U2" s="26"/>
      <c r="V2" s="26"/>
      <c r="W2" s="26"/>
      <c r="X2" s="26"/>
      <c r="Y2" s="26"/>
      <c r="Z2" s="27"/>
      <c r="AA2" s="33"/>
      <c r="AB2" s="26"/>
    </row>
    <row r="3" spans="1:28" ht="24">
      <c r="A3" s="34" t="str">
        <f ca="1">IFERROR(__xludf.DUMMYFUNCTION("""COMPUTED_VALUE"""),"SBI Bank")</f>
        <v>SBI Bank</v>
      </c>
      <c r="B3" s="35">
        <f ca="1">IFERROR(__xludf.DUMMYFUNCTION("""COMPUTED_VALUE"""),535431.3246675)</f>
        <v>535431.32466749998</v>
      </c>
      <c r="C3" s="35">
        <f ca="1">IFERROR(__xludf.DUMMYFUNCTION("""COMPUTED_VALUE"""),600.05)</f>
        <v>600.04999999999995</v>
      </c>
      <c r="D3" s="35">
        <f ca="1">IFERROR(__xludf.DUMMYFUNCTION("""COMPUTED_VALUE"""),13)</f>
        <v>13</v>
      </c>
      <c r="E3" s="35">
        <f ca="1">IFERROR(__xludf.DUMMYFUNCTION("""COMPUTED_VALUE"""),629.65)</f>
        <v>629.65</v>
      </c>
      <c r="F3" s="35">
        <f ca="1">IFERROR(__xludf.DUMMYFUNCTION("""COMPUTED_VALUE"""),0.0470102437862304)</f>
        <v>4.70102437862304E-2</v>
      </c>
      <c r="G3" s="35">
        <f ca="1">IFERROR(__xludf.DUMMYFUNCTION("""COMPUTED_VALUE"""),425)</f>
        <v>425</v>
      </c>
      <c r="H3" s="35">
        <f ca="1">IFERROR(__xludf.DUMMYFUNCTION("""COMPUTED_VALUE"""),0.411882352941176)</f>
        <v>0.41188235294117598</v>
      </c>
      <c r="I3" s="35">
        <f ca="1">IFERROR(__xludf.DUMMYFUNCTION("""COMPUTED_VALUE"""),595)</f>
        <v>595</v>
      </c>
      <c r="J3" s="36">
        <f ca="1">IFERROR(__xludf.DUMMYFUNCTION("""COMPUTED_VALUE"""),0.00848739495798311)</f>
        <v>8.48739495798311E-3</v>
      </c>
      <c r="K3" s="37" t="str">
        <f ca="1">IFERROR(__xludf.DUMMYFUNCTION("""COMPUTED_VALUE"""),"Bank")</f>
        <v>Bank</v>
      </c>
      <c r="L3" s="36" t="str">
        <f ca="1">IFERROR(__xludf.DUMMYFUNCTION("""COMPUTED_VALUE"""),"BOM:500112")</f>
        <v>BOM:500112</v>
      </c>
      <c r="M3" s="36" t="str">
        <f ca="1">IFERROR(__xludf.DUMMYFUNCTION("""COMPUTED_VALUE"""),"No")</f>
        <v>No</v>
      </c>
      <c r="N3" s="36" t="str">
        <f ca="1">IFERROR(__xludf.DUMMYFUNCTION("""COMPUTED_VALUE"""),"No")</f>
        <v>No</v>
      </c>
      <c r="O3" s="36" t="str">
        <f ca="1">IFERROR(__xludf.DUMMYFUNCTION("""COMPUTED_VALUE"""),"Good Stock")</f>
        <v>Good Stock</v>
      </c>
      <c r="P3" s="36" t="str">
        <f ca="1">IFERROR(__xludf.DUMMYFUNCTION("""COMPUTED_VALUE"""),"Low Cap")</f>
        <v>Low Cap</v>
      </c>
      <c r="Q3" s="26"/>
      <c r="R3" s="26"/>
      <c r="S3" s="26"/>
      <c r="T3" s="26"/>
      <c r="U3" s="26"/>
      <c r="V3" s="26"/>
      <c r="W3" s="26"/>
      <c r="X3" s="26"/>
      <c r="Y3" s="26"/>
      <c r="Z3" s="27"/>
      <c r="AA3" s="33"/>
      <c r="AB3" s="26"/>
    </row>
    <row r="4" spans="1:28" ht="24">
      <c r="A4" s="34" t="str">
        <f ca="1">IFERROR(__xludf.DUMMYFUNCTION("""COMPUTED_VALUE"""),"L&amp;T")</f>
        <v>L&amp;T</v>
      </c>
      <c r="B4" s="35">
        <f ca="1">IFERROR(__xludf.DUMMYFUNCTION("""COMPUTED_VALUE"""),302617.166625)</f>
        <v>302617.16662500001</v>
      </c>
      <c r="C4" s="35">
        <f ca="1">IFERROR(__xludf.DUMMYFUNCTION("""COMPUTED_VALUE"""),2153.75)</f>
        <v>2153.75</v>
      </c>
      <c r="D4" s="35">
        <f ca="1">IFERROR(__xludf.DUMMYFUNCTION("""COMPUTED_VALUE"""),31.53)</f>
        <v>31.53</v>
      </c>
      <c r="E4" s="35">
        <f ca="1">IFERROR(__xludf.DUMMYFUNCTION("""COMPUTED_VALUE"""),2210.5)</f>
        <v>2210.5</v>
      </c>
      <c r="F4" s="35">
        <f ca="1">IFERROR(__xludf.DUMMYFUNCTION("""COMPUTED_VALUE"""),0.0256729246776747)</f>
        <v>2.5672924677674701E-2</v>
      </c>
      <c r="G4" s="35">
        <f ca="1">IFERROR(__xludf.DUMMYFUNCTION("""COMPUTED_VALUE"""),1456.8)</f>
        <v>1456.8</v>
      </c>
      <c r="H4" s="35">
        <f ca="1">IFERROR(__xludf.DUMMYFUNCTION("""COMPUTED_VALUE"""),0.478411587040087)</f>
        <v>0.47841158704008702</v>
      </c>
      <c r="I4" s="35">
        <f ca="1">IFERROR(__xludf.DUMMYFUNCTION("""COMPUTED_VALUE"""),2160.2)</f>
        <v>2160.1999999999998</v>
      </c>
      <c r="J4" s="36">
        <f ca="1">IFERROR(__xludf.DUMMYFUNCTION("""COMPUTED_VALUE"""),-0.00298583464494019)</f>
        <v>-2.9858346449401899E-3</v>
      </c>
      <c r="K4" s="36" t="str">
        <f ca="1">IFERROR(__xludf.DUMMYFUNCTION("""COMPUTED_VALUE"""),"Infrastructure")</f>
        <v>Infrastructure</v>
      </c>
      <c r="L4" s="36" t="str">
        <f ca="1">IFERROR(__xludf.DUMMYFUNCTION("""COMPUTED_VALUE"""),"BOM:500510")</f>
        <v>BOM:500510</v>
      </c>
      <c r="M4" s="36" t="str">
        <f ca="1">IFERROR(__xludf.DUMMYFUNCTION("""COMPUTED_VALUE"""),"No")</f>
        <v>No</v>
      </c>
      <c r="N4" s="36" t="str">
        <f ca="1">IFERROR(__xludf.DUMMYFUNCTION("""COMPUTED_VALUE"""),"No")</f>
        <v>No</v>
      </c>
      <c r="O4" s="36" t="str">
        <f ca="1">IFERROR(__xludf.DUMMYFUNCTION("""COMPUTED_VALUE"""),"Good Stock")</f>
        <v>Good Stock</v>
      </c>
      <c r="P4" s="36" t="str">
        <f ca="1">IFERROR(__xludf.DUMMYFUNCTION("""COMPUTED_VALUE"""),"Low Cap")</f>
        <v>Low Cap</v>
      </c>
      <c r="Q4" s="26"/>
      <c r="R4" s="26"/>
      <c r="S4" s="26"/>
      <c r="T4" s="26"/>
      <c r="U4" s="26"/>
      <c r="V4" s="26"/>
      <c r="W4" s="26"/>
      <c r="X4" s="26"/>
      <c r="Y4" s="26"/>
      <c r="Z4" s="27"/>
      <c r="AA4" s="33"/>
      <c r="AB4" s="26"/>
    </row>
    <row r="5" spans="1:28" ht="24">
      <c r="A5" s="34" t="str">
        <f ca="1">IFERROR(__xludf.DUMMYFUNCTION("""COMPUTED_VALUE"""),"Axis Bank")</f>
        <v>Axis Bank</v>
      </c>
      <c r="B5" s="35">
        <f ca="1">IFERROR(__xludf.DUMMYFUNCTION("""COMPUTED_VALUE"""),287213.2945283)</f>
        <v>287213.2945283</v>
      </c>
      <c r="C5" s="35">
        <f ca="1">IFERROR(__xludf.DUMMYFUNCTION("""COMPUTED_VALUE"""),933.9)</f>
        <v>933.9</v>
      </c>
      <c r="D5" s="35">
        <f ca="1">IFERROR(__xludf.DUMMYFUNCTION("""COMPUTED_VALUE"""),15.67)</f>
        <v>15.67</v>
      </c>
      <c r="E5" s="35">
        <f ca="1">IFERROR(__xludf.DUMMYFUNCTION("""COMPUTED_VALUE"""),970)</f>
        <v>970</v>
      </c>
      <c r="F5" s="35">
        <f ca="1">IFERROR(__xludf.DUMMYFUNCTION("""COMPUTED_VALUE"""),0.0372164948453608)</f>
        <v>3.7216494845360798E-2</v>
      </c>
      <c r="G5" s="35">
        <f ca="1">IFERROR(__xludf.DUMMYFUNCTION("""COMPUTED_VALUE"""),618.25)</f>
        <v>618.25</v>
      </c>
      <c r="H5" s="35">
        <f ca="1">IFERROR(__xludf.DUMMYFUNCTION("""COMPUTED_VALUE"""),0.510553983016579)</f>
        <v>0.51055398301657895</v>
      </c>
      <c r="I5" s="35">
        <f ca="1">IFERROR(__xludf.DUMMYFUNCTION("""COMPUTED_VALUE"""),935.55)</f>
        <v>935.55</v>
      </c>
      <c r="J5" s="36">
        <f ca="1">IFERROR(__xludf.DUMMYFUNCTION("""COMPUTED_VALUE"""),-0.00176366843033507)</f>
        <v>-1.76366843033507E-3</v>
      </c>
      <c r="K5" s="36" t="str">
        <f ca="1">IFERROR(__xludf.DUMMYFUNCTION("""COMPUTED_VALUE"""),"Bank")</f>
        <v>Bank</v>
      </c>
      <c r="L5" s="36" t="str">
        <f ca="1">IFERROR(__xludf.DUMMYFUNCTION("""COMPUTED_VALUE"""),"AXISBANK")</f>
        <v>AXISBANK</v>
      </c>
      <c r="M5" s="36" t="str">
        <f ca="1">IFERROR(__xludf.DUMMYFUNCTION("""COMPUTED_VALUE"""),"No")</f>
        <v>No</v>
      </c>
      <c r="N5" s="36" t="str">
        <f ca="1">IFERROR(__xludf.DUMMYFUNCTION("""COMPUTED_VALUE"""),"No")</f>
        <v>No</v>
      </c>
      <c r="O5" s="36" t="str">
        <f ca="1">IFERROR(__xludf.DUMMYFUNCTION("""COMPUTED_VALUE"""),"Good Stock")</f>
        <v>Good Stock</v>
      </c>
      <c r="P5" s="36" t="str">
        <f ca="1">IFERROR(__xludf.DUMMYFUNCTION("""COMPUTED_VALUE"""),"Low Cap")</f>
        <v>Low Cap</v>
      </c>
      <c r="Q5" s="26"/>
      <c r="R5" s="26"/>
      <c r="S5" s="26"/>
      <c r="T5" s="26"/>
      <c r="U5" s="26"/>
      <c r="V5" s="26"/>
      <c r="W5" s="26"/>
      <c r="X5" s="26"/>
      <c r="Y5" s="26"/>
      <c r="Z5" s="27"/>
      <c r="AA5" s="33"/>
      <c r="AB5" s="26"/>
    </row>
    <row r="6" spans="1:28" ht="15" customHeight="1">
      <c r="A6" s="34" t="str">
        <f ca="1">IFERROR(__xludf.DUMMYFUNCTION("""COMPUTED_VALUE"""),"Sun pharma")</f>
        <v>Sun pharma</v>
      </c>
      <c r="B6" s="35">
        <f ca="1">IFERROR(__xludf.DUMMYFUNCTION("""COMPUTED_VALUE"""),247191.650802)</f>
        <v>247191.65080199999</v>
      </c>
      <c r="C6" s="35">
        <f ca="1">IFERROR(__xludf.DUMMYFUNCTION("""COMPUTED_VALUE"""),1031.05)</f>
        <v>1031.05</v>
      </c>
      <c r="D6" s="35">
        <f ca="1">IFERROR(__xludf.DUMMYFUNCTION("""COMPUTED_VALUE"""),60.4)</f>
        <v>60.4</v>
      </c>
      <c r="E6" s="35">
        <f ca="1">IFERROR(__xludf.DUMMYFUNCTION("""COMPUTED_VALUE"""),1070.95)</f>
        <v>1070.95</v>
      </c>
      <c r="F6" s="35">
        <f ca="1">IFERROR(__xludf.DUMMYFUNCTION("""COMPUTED_VALUE"""),0.0372566412997806)</f>
        <v>3.7256641299780603E-2</v>
      </c>
      <c r="G6" s="35">
        <f ca="1">IFERROR(__xludf.DUMMYFUNCTION("""COMPUTED_VALUE"""),784.8)</f>
        <v>784.8</v>
      </c>
      <c r="H6" s="35">
        <f ca="1">IFERROR(__xludf.DUMMYFUNCTION("""COMPUTED_VALUE"""),0.313774209989806)</f>
        <v>0.31377420998980599</v>
      </c>
      <c r="I6" s="35">
        <f ca="1">IFERROR(__xludf.DUMMYFUNCTION("""COMPUTED_VALUE"""),1032.85)</f>
        <v>1032.8499999999999</v>
      </c>
      <c r="J6" s="36">
        <f ca="1">IFERROR(__xludf.DUMMYFUNCTION("""COMPUTED_VALUE"""),-0.00174275064142901)</f>
        <v>-1.7427506414290101E-3</v>
      </c>
      <c r="K6" s="36" t="str">
        <f ca="1">IFERROR(__xludf.DUMMYFUNCTION("""COMPUTED_VALUE"""),"Pharma")</f>
        <v>Pharma</v>
      </c>
      <c r="L6" s="36" t="str">
        <f ca="1">IFERROR(__xludf.DUMMYFUNCTION("""COMPUTED_VALUE"""),"SUNPHARMA")</f>
        <v>SUNPHARMA</v>
      </c>
      <c r="M6" s="36" t="str">
        <f ca="1">IFERROR(__xludf.DUMMYFUNCTION("""COMPUTED_VALUE"""),"No")</f>
        <v>No</v>
      </c>
      <c r="N6" s="36" t="str">
        <f ca="1">IFERROR(__xludf.DUMMYFUNCTION("""COMPUTED_VALUE"""),"No")</f>
        <v>No</v>
      </c>
      <c r="O6" s="36" t="str">
        <f ca="1">IFERROR(__xludf.DUMMYFUNCTION("""COMPUTED_VALUE"""),"Good Stock")</f>
        <v>Good Stock</v>
      </c>
      <c r="P6" s="36" t="str">
        <f ca="1">IFERROR(__xludf.DUMMYFUNCTION("""COMPUTED_VALUE"""),"Low Cap")</f>
        <v>Low Cap</v>
      </c>
      <c r="Q6" s="26"/>
      <c r="R6" s="26"/>
      <c r="S6" s="26"/>
      <c r="T6" s="26"/>
      <c r="U6" s="26"/>
      <c r="V6" s="26"/>
      <c r="W6" s="26"/>
      <c r="X6" s="26"/>
      <c r="Y6" s="26"/>
      <c r="Z6" s="27"/>
      <c r="AA6" s="33"/>
      <c r="AB6" s="26"/>
    </row>
    <row r="7" spans="1:28" ht="24">
      <c r="A7" s="34" t="str">
        <f ca="1">IFERROR(__xludf.DUMMYFUNCTION("""COMPUTED_VALUE"""),"Ultratech Cement")</f>
        <v>Ultratech Cement</v>
      </c>
      <c r="B7" s="35">
        <f ca="1">IFERROR(__xludf.DUMMYFUNCTION("""COMPUTED_VALUE"""),208975.8)</f>
        <v>208975.8</v>
      </c>
      <c r="C7" s="35">
        <f ca="1">IFERROR(__xludf.DUMMYFUNCTION("""COMPUTED_VALUE"""),7244.95)</f>
        <v>7244.95</v>
      </c>
      <c r="D7" s="35">
        <f ca="1">IFERROR(__xludf.DUMMYFUNCTION("""COMPUTED_VALUE"""),31.35)</f>
        <v>31.35</v>
      </c>
      <c r="E7" s="35">
        <f ca="1">IFERROR(__xludf.DUMMYFUNCTION("""COMPUTED_VALUE"""),7946)</f>
        <v>7946</v>
      </c>
      <c r="F7" s="35">
        <f ca="1">IFERROR(__xludf.DUMMYFUNCTION("""COMPUTED_VALUE"""),0.0882267807701988)</f>
        <v>8.8226780770198798E-2</v>
      </c>
      <c r="G7" s="35">
        <f ca="1">IFERROR(__xludf.DUMMYFUNCTION("""COMPUTED_VALUE"""),5157.05)</f>
        <v>5157.05</v>
      </c>
      <c r="H7" s="35">
        <f ca="1">IFERROR(__xludf.DUMMYFUNCTION("""COMPUTED_VALUE"""),0.404863245460098)</f>
        <v>0.404863245460098</v>
      </c>
      <c r="I7" s="35">
        <f ca="1">IFERROR(__xludf.DUMMYFUNCTION("""COMPUTED_VALUE"""),7153.35)</f>
        <v>7153.35</v>
      </c>
      <c r="J7" s="36">
        <f ca="1">IFERROR(__xludf.DUMMYFUNCTION("""COMPUTED_VALUE"""),0.0128051891770987)</f>
        <v>1.28051891770987E-2</v>
      </c>
      <c r="K7" s="36" t="str">
        <f ca="1">IFERROR(__xludf.DUMMYFUNCTION("""COMPUTED_VALUE"""),"Cement")</f>
        <v>Cement</v>
      </c>
      <c r="L7" s="36" t="str">
        <f ca="1">IFERROR(__xludf.DUMMYFUNCTION("""COMPUTED_VALUE"""),"ULTRACEMCO")</f>
        <v>ULTRACEMCO</v>
      </c>
      <c r="M7" s="36" t="str">
        <f ca="1">IFERROR(__xludf.DUMMYFUNCTION("""COMPUTED_VALUE"""),"No")</f>
        <v>No</v>
      </c>
      <c r="N7" s="36" t="str">
        <f ca="1">IFERROR(__xludf.DUMMYFUNCTION("""COMPUTED_VALUE"""),"No")</f>
        <v>No</v>
      </c>
      <c r="O7" s="36" t="str">
        <f ca="1">IFERROR(__xludf.DUMMYFUNCTION("""COMPUTED_VALUE"""),"Good Stock")</f>
        <v>Good Stock</v>
      </c>
      <c r="P7" s="36" t="str">
        <f ca="1">IFERROR(__xludf.DUMMYFUNCTION("""COMPUTED_VALUE"""),"Low Cap")</f>
        <v>Low Cap</v>
      </c>
      <c r="Q7" s="26"/>
      <c r="R7" s="26"/>
      <c r="S7" s="26"/>
      <c r="T7" s="26"/>
      <c r="U7" s="26"/>
      <c r="V7" s="26"/>
      <c r="W7" s="26"/>
      <c r="X7" s="26"/>
      <c r="Y7" s="26"/>
      <c r="Z7" s="27"/>
      <c r="AA7" s="33"/>
      <c r="AB7" s="26"/>
    </row>
    <row r="8" spans="1:28" ht="24">
      <c r="A8" s="34" t="str">
        <f ca="1">IFERROR(__xludf.DUMMYFUNCTION("""COMPUTED_VALUE"""),"M&amp;M")</f>
        <v>M&amp;M</v>
      </c>
      <c r="B8" s="35">
        <f ca="1">IFERROR(__xludf.DUMMYFUNCTION("""COMPUTED_VALUE"""),158785.3716893)</f>
        <v>158785.37168929999</v>
      </c>
      <c r="C8" s="35">
        <f ca="1">IFERROR(__xludf.DUMMYFUNCTION("""COMPUTED_VALUE"""),1327.55)</f>
        <v>1327.55</v>
      </c>
      <c r="D8" s="35">
        <f ca="1">IFERROR(__xludf.DUMMYFUNCTION("""COMPUTED_VALUE"""),16.12)</f>
        <v>16.12</v>
      </c>
      <c r="E8" s="35">
        <f ca="1">IFERROR(__xludf.DUMMYFUNCTION("""COMPUTED_VALUE"""),1366.55)</f>
        <v>1366.55</v>
      </c>
      <c r="F8" s="35">
        <f ca="1">IFERROR(__xludf.DUMMYFUNCTION("""COMPUTED_VALUE"""),0.0285390216237971)</f>
        <v>2.8539021623797099E-2</v>
      </c>
      <c r="G8" s="35">
        <f ca="1">IFERROR(__xludf.DUMMYFUNCTION("""COMPUTED_VALUE"""),671.15)</f>
        <v>671.15</v>
      </c>
      <c r="H8" s="35">
        <f ca="1">IFERROR(__xludf.DUMMYFUNCTION("""COMPUTED_VALUE"""),0.978022796692244)</f>
        <v>0.97802279669224401</v>
      </c>
      <c r="I8" s="35">
        <f ca="1">IFERROR(__xludf.DUMMYFUNCTION("""COMPUTED_VALUE"""),1319.9)</f>
        <v>1319.9</v>
      </c>
      <c r="J8" s="36">
        <f ca="1">IFERROR(__xludf.DUMMYFUNCTION("""COMPUTED_VALUE"""),0.00579589362830507)</f>
        <v>5.7958936283050702E-3</v>
      </c>
      <c r="K8" s="36" t="str">
        <f ca="1">IFERROR(__xludf.DUMMYFUNCTION("""COMPUTED_VALUE"""),"Automobile")</f>
        <v>Automobile</v>
      </c>
      <c r="L8" s="36" t="str">
        <f ca="1">IFERROR(__xludf.DUMMYFUNCTION("""COMPUTED_VALUE"""),"M&amp;M")</f>
        <v>M&amp;M</v>
      </c>
      <c r="M8" s="36" t="str">
        <f ca="1">IFERROR(__xludf.DUMMYFUNCTION("""COMPUTED_VALUE"""),"No")</f>
        <v>No</v>
      </c>
      <c r="N8" s="36" t="str">
        <f ca="1">IFERROR(__xludf.DUMMYFUNCTION("""COMPUTED_VALUE"""),"No")</f>
        <v>No</v>
      </c>
      <c r="O8" s="36" t="str">
        <f ca="1">IFERROR(__xludf.DUMMYFUNCTION("""COMPUTED_VALUE"""),"Good Stock")</f>
        <v>Good Stock</v>
      </c>
      <c r="P8" s="36" t="str">
        <f ca="1">IFERROR(__xludf.DUMMYFUNCTION("""COMPUTED_VALUE"""),"Low Cap")</f>
        <v>Low Cap</v>
      </c>
      <c r="Q8" s="26"/>
      <c r="R8" s="26"/>
      <c r="S8" s="26"/>
      <c r="T8" s="26"/>
      <c r="U8" s="26"/>
      <c r="V8" s="26"/>
      <c r="W8" s="26"/>
      <c r="X8" s="26"/>
      <c r="Y8" s="26"/>
      <c r="Z8" s="27"/>
      <c r="AA8" s="33"/>
      <c r="AB8" s="26"/>
    </row>
    <row r="9" spans="1:28" ht="18.75" customHeight="1">
      <c r="A9" s="34" t="str">
        <f ca="1">IFERROR(__xludf.DUMMYFUNCTION("""COMPUTED_VALUE"""),"Tata Steel")</f>
        <v>Tata Steel</v>
      </c>
      <c r="B9" s="35">
        <f ca="1">IFERROR(__xludf.DUMMYFUNCTION("""COMPUTED_VALUE"""),147293.6037181)</f>
        <v>147293.6037181</v>
      </c>
      <c r="C9" s="35">
        <f ca="1">IFERROR(__xludf.DUMMYFUNCTION("""COMPUTED_VALUE"""),120.45)</f>
        <v>120.45</v>
      </c>
      <c r="D9" s="35">
        <f ca="1">IFERROR(__xludf.DUMMYFUNCTION("""COMPUTED_VALUE"""),5.13)</f>
        <v>5.13</v>
      </c>
      <c r="E9" s="35">
        <f ca="1">IFERROR(__xludf.DUMMYFUNCTION("""COMPUTED_VALUE"""),138.63)</f>
        <v>138.63</v>
      </c>
      <c r="F9" s="35">
        <f ca="1">IFERROR(__xludf.DUMMYFUNCTION("""COMPUTED_VALUE"""),0.131140445790954)</f>
        <v>0.13114044579095399</v>
      </c>
      <c r="G9" s="35">
        <f ca="1">IFERROR(__xludf.DUMMYFUNCTION("""COMPUTED_VALUE"""),82.71)</f>
        <v>82.71</v>
      </c>
      <c r="H9" s="35">
        <f ca="1">IFERROR(__xludf.DUMMYFUNCTION("""COMPUTED_VALUE"""),0.456293072179905)</f>
        <v>0.456293072179905</v>
      </c>
      <c r="I9" s="35">
        <f ca="1">IFERROR(__xludf.DUMMYFUNCTION("""COMPUTED_VALUE"""),118.05)</f>
        <v>118.05</v>
      </c>
      <c r="J9" s="36">
        <f ca="1">IFERROR(__xludf.DUMMYFUNCTION("""COMPUTED_VALUE"""),0.0203303684879288)</f>
        <v>2.0330368487928799E-2</v>
      </c>
      <c r="K9" s="37" t="str">
        <f ca="1">IFERROR(__xludf.DUMMYFUNCTION("""COMPUTED_VALUE"""),"Infrastructure")</f>
        <v>Infrastructure</v>
      </c>
      <c r="L9" s="37" t="str">
        <f ca="1">IFERROR(__xludf.DUMMYFUNCTION("""COMPUTED_VALUE"""),"BOM:500470")</f>
        <v>BOM:500470</v>
      </c>
      <c r="M9" s="37" t="str">
        <f ca="1">IFERROR(__xludf.DUMMYFUNCTION("""COMPUTED_VALUE"""),"No")</f>
        <v>No</v>
      </c>
      <c r="N9" s="37" t="str">
        <f ca="1">IFERROR(__xludf.DUMMYFUNCTION("""COMPUTED_VALUE"""),"No")</f>
        <v>No</v>
      </c>
      <c r="O9" s="36" t="str">
        <f ca="1">IFERROR(__xludf.DUMMYFUNCTION("""COMPUTED_VALUE"""),"Good Stock")</f>
        <v>Good Stock</v>
      </c>
      <c r="P9" s="36" t="str">
        <f ca="1">IFERROR(__xludf.DUMMYFUNCTION("""COMPUTED_VALUE"""),"Low Cap")</f>
        <v>Low Cap</v>
      </c>
      <c r="Q9" s="26"/>
      <c r="R9" s="26"/>
      <c r="S9" s="26"/>
      <c r="T9" s="26"/>
      <c r="U9" s="26"/>
      <c r="V9" s="26"/>
      <c r="W9" s="26"/>
      <c r="X9" s="26"/>
      <c r="Y9" s="26"/>
      <c r="Z9" s="27"/>
      <c r="AA9" s="33"/>
      <c r="AB9" s="26"/>
    </row>
    <row r="10" spans="1:28" ht="24">
      <c r="A10" s="34" t="str">
        <f ca="1">IFERROR(__xludf.DUMMYFUNCTION("""COMPUTED_VALUE"""),"Ambuja Cement")</f>
        <v>Ambuja Cement</v>
      </c>
      <c r="B10" s="35">
        <f ca="1">IFERROR(__xludf.DUMMYFUNCTION("""COMPUTED_VALUE"""),102995.3567038)</f>
        <v>102995.3567038</v>
      </c>
      <c r="C10" s="35">
        <f ca="1">IFERROR(__xludf.DUMMYFUNCTION("""COMPUTED_VALUE"""),518.7)</f>
        <v>518.70000000000005</v>
      </c>
      <c r="D10" s="35">
        <f ca="1">IFERROR(__xludf.DUMMYFUNCTION("""COMPUTED_VALUE"""),57.36)</f>
        <v>57.36</v>
      </c>
      <c r="E10" s="35">
        <f ca="1">IFERROR(__xludf.DUMMYFUNCTION("""COMPUTED_VALUE"""),598.15)</f>
        <v>598.15</v>
      </c>
      <c r="F10" s="35">
        <f ca="1">IFERROR(__xludf.DUMMYFUNCTION("""COMPUTED_VALUE"""),0.132826214160327)</f>
        <v>0.132826214160327</v>
      </c>
      <c r="G10" s="35">
        <f ca="1">IFERROR(__xludf.DUMMYFUNCTION("""COMPUTED_VALUE"""),274)</f>
        <v>274</v>
      </c>
      <c r="H10" s="35">
        <f ca="1">IFERROR(__xludf.DUMMYFUNCTION("""COMPUTED_VALUE"""),0.893065693430657)</f>
        <v>0.893065693430657</v>
      </c>
      <c r="I10" s="35">
        <f ca="1">IFERROR(__xludf.DUMMYFUNCTION("""COMPUTED_VALUE"""),510.4)</f>
        <v>510.4</v>
      </c>
      <c r="J10" s="36">
        <f ca="1">IFERROR(__xludf.DUMMYFUNCTION("""COMPUTED_VALUE"""),0.0162617554858935)</f>
        <v>1.6261755485893498E-2</v>
      </c>
      <c r="K10" s="37" t="str">
        <f ca="1">IFERROR(__xludf.DUMMYFUNCTION("""COMPUTED_VALUE"""),"Cement")</f>
        <v>Cement</v>
      </c>
      <c r="L10" s="37" t="str">
        <f ca="1">IFERROR(__xludf.DUMMYFUNCTION("""COMPUTED_VALUE"""),"BOM:500425")</f>
        <v>BOM:500425</v>
      </c>
      <c r="M10" s="37" t="str">
        <f ca="1">IFERROR(__xludf.DUMMYFUNCTION("""COMPUTED_VALUE"""),"No")</f>
        <v>No</v>
      </c>
      <c r="N10" s="37" t="str">
        <f ca="1">IFERROR(__xludf.DUMMYFUNCTION("""COMPUTED_VALUE"""),"No")</f>
        <v>No</v>
      </c>
      <c r="O10" s="36" t="str">
        <f ca="1">IFERROR(__xludf.DUMMYFUNCTION("""COMPUTED_VALUE"""),"Good Stock")</f>
        <v>Good Stock</v>
      </c>
      <c r="P10" s="36" t="str">
        <f ca="1">IFERROR(__xludf.DUMMYFUNCTION("""COMPUTED_VALUE"""),"Low Cap")</f>
        <v>Low Cap</v>
      </c>
      <c r="Q10" s="26"/>
      <c r="R10" s="26"/>
      <c r="S10" s="26"/>
      <c r="T10" s="26"/>
      <c r="U10" s="26"/>
      <c r="V10" s="26"/>
      <c r="W10" s="26"/>
      <c r="X10" s="26"/>
      <c r="Y10" s="26"/>
      <c r="Z10" s="27"/>
      <c r="AA10" s="33"/>
      <c r="AB10" s="26"/>
    </row>
    <row r="11" spans="1:28" ht="24">
      <c r="A11" s="34" t="str">
        <f ca="1">IFERROR(__xludf.DUMMYFUNCTION("""COMPUTED_VALUE"""),"Bank of Baroda")</f>
        <v>Bank of Baroda</v>
      </c>
      <c r="B11" s="35">
        <f ca="1">IFERROR(__xludf.DUMMYFUNCTION("""COMPUTED_VALUE"""),95565.8761753)</f>
        <v>95565.8761753</v>
      </c>
      <c r="C11" s="35">
        <f ca="1">IFERROR(__xludf.DUMMYFUNCTION("""COMPUTED_VALUE"""),184.9)</f>
        <v>184.9</v>
      </c>
      <c r="D11" s="35">
        <f ca="1">IFERROR(__xludf.DUMMYFUNCTION("""COMPUTED_VALUE"""),9.72)</f>
        <v>9.7200000000000006</v>
      </c>
      <c r="E11" s="35">
        <f ca="1">IFERROR(__xludf.DUMMYFUNCTION("""COMPUTED_VALUE"""),197.2)</f>
        <v>197.2</v>
      </c>
      <c r="F11" s="35">
        <f ca="1">IFERROR(__xludf.DUMMYFUNCTION("""COMPUTED_VALUE"""),0.0623732251521297)</f>
        <v>6.2373225152129702E-2</v>
      </c>
      <c r="G11" s="35">
        <f ca="1">IFERROR(__xludf.DUMMYFUNCTION("""COMPUTED_VALUE"""),89.9)</f>
        <v>89.9</v>
      </c>
      <c r="H11" s="35">
        <f ca="1">IFERROR(__xludf.DUMMYFUNCTION("""COMPUTED_VALUE"""),1.05672969966629)</f>
        <v>1.05672969966629</v>
      </c>
      <c r="I11" s="35">
        <f ca="1">IFERROR(__xludf.DUMMYFUNCTION("""COMPUTED_VALUE"""),181.8)</f>
        <v>181.8</v>
      </c>
      <c r="J11" s="36">
        <f ca="1">IFERROR(__xludf.DUMMYFUNCTION("""COMPUTED_VALUE"""),0.017051705170517)</f>
        <v>1.7051705170517E-2</v>
      </c>
      <c r="K11" s="37" t="str">
        <f ca="1">IFERROR(__xludf.DUMMYFUNCTION("""COMPUTED_VALUE"""),"Bank")</f>
        <v>Bank</v>
      </c>
      <c r="L11" s="37" t="str">
        <f ca="1">IFERROR(__xludf.DUMMYFUNCTION("""COMPUTED_VALUE"""),"BOM:532134")</f>
        <v>BOM:532134</v>
      </c>
      <c r="M11" s="37" t="str">
        <f ca="1">IFERROR(__xludf.DUMMYFUNCTION("""COMPUTED_VALUE"""),"No")</f>
        <v>No</v>
      </c>
      <c r="N11" s="37" t="str">
        <f ca="1">IFERROR(__xludf.DUMMYFUNCTION("""COMPUTED_VALUE"""),"No")</f>
        <v>No</v>
      </c>
      <c r="O11" s="36" t="str">
        <f ca="1">IFERROR(__xludf.DUMMYFUNCTION("""COMPUTED_VALUE"""),"Good Stock")</f>
        <v>Good Stock</v>
      </c>
      <c r="P11" s="36" t="str">
        <f ca="1">IFERROR(__xludf.DUMMYFUNCTION("""COMPUTED_VALUE"""),"Low Cap")</f>
        <v>Low Cap</v>
      </c>
      <c r="Q11" s="26"/>
      <c r="R11" s="26"/>
      <c r="S11" s="26"/>
      <c r="T11" s="26"/>
      <c r="U11" s="26"/>
      <c r="V11" s="26"/>
      <c r="W11" s="26"/>
      <c r="X11" s="26"/>
      <c r="Y11" s="26"/>
      <c r="Z11" s="27"/>
      <c r="AA11" s="33"/>
      <c r="AB11" s="26"/>
    </row>
    <row r="12" spans="1:28" ht="24">
      <c r="A12" s="34" t="str">
        <f ca="1">IFERROR(__xludf.DUMMYFUNCTION("""COMPUTED_VALUE"""),"Godrej Consumer")</f>
        <v>Godrej Consumer</v>
      </c>
      <c r="B12" s="35">
        <f ca="1">IFERROR(__xludf.DUMMYFUNCTION("""COMPUTED_VALUE"""),93678.862)</f>
        <v>93678.861999999994</v>
      </c>
      <c r="C12" s="35">
        <f ca="1">IFERROR(__xludf.DUMMYFUNCTION("""COMPUTED_VALUE"""),916.75)</f>
        <v>916.75</v>
      </c>
      <c r="D12" s="35">
        <f ca="1">IFERROR(__xludf.DUMMYFUNCTION("""COMPUTED_VALUE"""),58.81)</f>
        <v>58.81</v>
      </c>
      <c r="E12" s="35">
        <f ca="1">IFERROR(__xludf.DUMMYFUNCTION("""COMPUTED_VALUE"""),955.65)</f>
        <v>955.65</v>
      </c>
      <c r="F12" s="35">
        <f ca="1">IFERROR(__xludf.DUMMYFUNCTION("""COMPUTED_VALUE"""),0.0407052791293883)</f>
        <v>4.0705279129388303E-2</v>
      </c>
      <c r="G12" s="35">
        <f ca="1">IFERROR(__xludf.DUMMYFUNCTION("""COMPUTED_VALUE"""),660.2)</f>
        <v>660.2</v>
      </c>
      <c r="H12" s="35">
        <f ca="1">IFERROR(__xludf.DUMMYFUNCTION("""COMPUTED_VALUE"""),0.388594365343835)</f>
        <v>0.38859436534383501</v>
      </c>
      <c r="I12" s="35">
        <f ca="1">IFERROR(__xludf.DUMMYFUNCTION("""COMPUTED_VALUE"""),914.9)</f>
        <v>914.9</v>
      </c>
      <c r="J12" s="36">
        <f ca="1">IFERROR(__xludf.DUMMYFUNCTION("""COMPUTED_VALUE"""),0.00202207891572852)</f>
        <v>2.02207891572852E-3</v>
      </c>
      <c r="K12" s="37" t="str">
        <f ca="1">IFERROR(__xludf.DUMMYFUNCTION("""COMPUTED_VALUE"""),"FMCG")</f>
        <v>FMCG</v>
      </c>
      <c r="L12" s="37" t="str">
        <f ca="1">IFERROR(__xludf.DUMMYFUNCTION("""COMPUTED_VALUE"""),"BOM:532424")</f>
        <v>BOM:532424</v>
      </c>
      <c r="M12" s="37" t="str">
        <f ca="1">IFERROR(__xludf.DUMMYFUNCTION("""COMPUTED_VALUE"""),"No")</f>
        <v>No</v>
      </c>
      <c r="N12" s="37" t="str">
        <f ca="1">IFERROR(__xludf.DUMMYFUNCTION("""COMPUTED_VALUE"""),"No")</f>
        <v>No</v>
      </c>
      <c r="O12" s="36" t="str">
        <f ca="1">IFERROR(__xludf.DUMMYFUNCTION("""COMPUTED_VALUE"""),"Good Stock")</f>
        <v>Good Stock</v>
      </c>
      <c r="P12" s="36" t="str">
        <f ca="1">IFERROR(__xludf.DUMMYFUNCTION("""COMPUTED_VALUE"""),"Low Cap")</f>
        <v>Low Cap</v>
      </c>
      <c r="Q12" s="26"/>
      <c r="R12" s="26"/>
      <c r="S12" s="26"/>
      <c r="T12" s="26"/>
      <c r="U12" s="26"/>
      <c r="V12" s="26"/>
      <c r="W12" s="26"/>
      <c r="X12" s="26"/>
      <c r="Y12" s="26"/>
      <c r="Z12" s="27"/>
      <c r="AA12" s="33"/>
      <c r="AB12" s="26"/>
    </row>
    <row r="13" spans="1:28" ht="24">
      <c r="A13" s="34" t="str">
        <f ca="1">IFERROR(__xludf.DUMMYFUNCTION("""COMPUTED_VALUE"""),"Shree Cement")</f>
        <v>Shree Cement</v>
      </c>
      <c r="B13" s="35">
        <f ca="1">IFERROR(__xludf.DUMMYFUNCTION("""COMPUTED_VALUE"""),87098.03)</f>
        <v>87098.03</v>
      </c>
      <c r="C13" s="35">
        <f ca="1">IFERROR(__xludf.DUMMYFUNCTION("""COMPUTED_VALUE"""),24025)</f>
        <v>24025</v>
      </c>
      <c r="D13" s="35">
        <f ca="1">IFERROR(__xludf.DUMMYFUNCTION("""COMPUTED_VALUE"""),54.11)</f>
        <v>54.11</v>
      </c>
      <c r="E13" s="35">
        <f ca="1">IFERROR(__xludf.DUMMYFUNCTION("""COMPUTED_VALUE"""),27936.75)</f>
        <v>27936.75</v>
      </c>
      <c r="F13" s="35">
        <f ca="1">IFERROR(__xludf.DUMMYFUNCTION("""COMPUTED_VALUE"""),0.140021656062355)</f>
        <v>0.140021656062355</v>
      </c>
      <c r="G13" s="35">
        <f ca="1">IFERROR(__xludf.DUMMYFUNCTION("""COMPUTED_VALUE"""),17865.2)</f>
        <v>17865.2</v>
      </c>
      <c r="H13" s="35">
        <f ca="1">IFERROR(__xludf.DUMMYFUNCTION("""COMPUTED_VALUE"""),0.344793229294942)</f>
        <v>0.34479322929494199</v>
      </c>
      <c r="I13" s="35">
        <f ca="1">IFERROR(__xludf.DUMMYFUNCTION("""COMPUTED_VALUE"""),23854.85)</f>
        <v>23854.85</v>
      </c>
      <c r="J13" s="36">
        <f ca="1">IFERROR(__xludf.DUMMYFUNCTION("""COMPUTED_VALUE"""),0.00713272143819816)</f>
        <v>7.1327214381981599E-3</v>
      </c>
      <c r="K13" s="36" t="str">
        <f ca="1">IFERROR(__xludf.DUMMYFUNCTION("""COMPUTED_VALUE"""),"Cement")</f>
        <v>Cement</v>
      </c>
      <c r="L13" s="36" t="str">
        <f ca="1">IFERROR(__xludf.DUMMYFUNCTION("""COMPUTED_VALUE"""),"SHREECEM")</f>
        <v>SHREECEM</v>
      </c>
      <c r="M13" s="36" t="str">
        <f ca="1">IFERROR(__xludf.DUMMYFUNCTION("""COMPUTED_VALUE"""),"No")</f>
        <v>No</v>
      </c>
      <c r="N13" s="36" t="str">
        <f ca="1">IFERROR(__xludf.DUMMYFUNCTION("""COMPUTED_VALUE"""),"No")</f>
        <v>No</v>
      </c>
      <c r="O13" s="36" t="str">
        <f ca="1">IFERROR(__xludf.DUMMYFUNCTION("""COMPUTED_VALUE"""),"Good Stock")</f>
        <v>Good Stock</v>
      </c>
      <c r="P13" s="36" t="str">
        <f ca="1">IFERROR(__xludf.DUMMYFUNCTION("""COMPUTED_VALUE"""),"Low Cap")</f>
        <v>Low Cap</v>
      </c>
      <c r="Q13" s="26"/>
      <c r="R13" s="26"/>
      <c r="S13" s="26"/>
      <c r="T13" s="26"/>
      <c r="U13" s="26"/>
      <c r="V13" s="26"/>
      <c r="W13" s="26"/>
      <c r="X13" s="26"/>
      <c r="Y13" s="26"/>
      <c r="Z13" s="27"/>
      <c r="AA13" s="33"/>
      <c r="AB13" s="26"/>
    </row>
    <row r="14" spans="1:28" ht="24">
      <c r="A14" s="34" t="str">
        <f ca="1">IFERROR(__xludf.DUMMYFUNCTION("""COMPUTED_VALUE"""),"Eicher Motor")</f>
        <v>Eicher Motor</v>
      </c>
      <c r="B14" s="35">
        <f ca="1">IFERROR(__xludf.DUMMYFUNCTION("""COMPUTED_VALUE"""),86543.2296232)</f>
        <v>86543.229623199994</v>
      </c>
      <c r="C14" s="35">
        <f ca="1">IFERROR(__xludf.DUMMYFUNCTION("""COMPUTED_VALUE"""),3164.9)</f>
        <v>3164.9</v>
      </c>
      <c r="D14" s="35">
        <f ca="1">IFERROR(__xludf.DUMMYFUNCTION("""COMPUTED_VALUE"""),37.12)</f>
        <v>37.119999999999997</v>
      </c>
      <c r="E14" s="35">
        <f ca="1">IFERROR(__xludf.DUMMYFUNCTION("""COMPUTED_VALUE"""),3889.65)</f>
        <v>3889.65</v>
      </c>
      <c r="F14" s="35">
        <f ca="1">IFERROR(__xludf.DUMMYFUNCTION("""COMPUTED_VALUE"""),0.18632781869834)</f>
        <v>0.18632781869834</v>
      </c>
      <c r="G14" s="35">
        <f ca="1">IFERROR(__xludf.DUMMYFUNCTION("""COMPUTED_VALUE"""),2159.55)</f>
        <v>2159.5500000000002</v>
      </c>
      <c r="H14" s="35">
        <f ca="1">IFERROR(__xludf.DUMMYFUNCTION("""COMPUTED_VALUE"""),0.465536801648491)</f>
        <v>0.46553680164849098</v>
      </c>
      <c r="I14" s="35">
        <f ca="1">IFERROR(__xludf.DUMMYFUNCTION("""COMPUTED_VALUE"""),3103.25)</f>
        <v>3103.25</v>
      </c>
      <c r="J14" s="36">
        <f ca="1">IFERROR(__xludf.DUMMYFUNCTION("""COMPUTED_VALUE"""),0.0198662692338677)</f>
        <v>1.9866269233867698E-2</v>
      </c>
      <c r="K14" s="36" t="str">
        <f ca="1">IFERROR(__xludf.DUMMYFUNCTION("""COMPUTED_VALUE"""),"Automobile")</f>
        <v>Automobile</v>
      </c>
      <c r="L14" s="36" t="str">
        <f ca="1">IFERROR(__xludf.DUMMYFUNCTION("""COMPUTED_VALUE"""),"EICHERMOT")</f>
        <v>EICHERMOT</v>
      </c>
      <c r="M14" s="36" t="str">
        <f ca="1">IFERROR(__xludf.DUMMYFUNCTION("""COMPUTED_VALUE"""),"No")</f>
        <v>No</v>
      </c>
      <c r="N14" s="36" t="str">
        <f ca="1">IFERROR(__xludf.DUMMYFUNCTION("""COMPUTED_VALUE"""),"No")</f>
        <v>No</v>
      </c>
      <c r="O14" s="36" t="str">
        <f ca="1">IFERROR(__xludf.DUMMYFUNCTION("""COMPUTED_VALUE"""),"Good Stock")</f>
        <v>Good Stock</v>
      </c>
      <c r="P14" s="36" t="str">
        <f ca="1">IFERROR(__xludf.DUMMYFUNCTION("""COMPUTED_VALUE"""),"Low Cap")</f>
        <v>Low Cap</v>
      </c>
      <c r="Q14" s="26"/>
      <c r="R14" s="26"/>
      <c r="S14" s="26"/>
      <c r="T14" s="26"/>
      <c r="U14" s="26"/>
      <c r="V14" s="26"/>
      <c r="W14" s="26"/>
      <c r="X14" s="26"/>
      <c r="Y14" s="26"/>
      <c r="Z14" s="27"/>
      <c r="AA14" s="33"/>
      <c r="AB14" s="26"/>
    </row>
    <row r="15" spans="1:28" ht="24">
      <c r="A15" s="34" t="str">
        <f ca="1">IFERROR(__xludf.DUMMYFUNCTION("""COMPUTED_VALUE"""),"Varun Beverage")</f>
        <v>Varun Beverage</v>
      </c>
      <c r="B15" s="35">
        <f ca="1">IFERROR(__xludf.DUMMYFUNCTION("""COMPUTED_VALUE"""),73698.477067)</f>
        <v>73698.477067</v>
      </c>
      <c r="C15" s="35">
        <f ca="1">IFERROR(__xludf.DUMMYFUNCTION("""COMPUTED_VALUE"""),1134.8)</f>
        <v>1134.8</v>
      </c>
      <c r="D15" s="35">
        <f ca="1">IFERROR(__xludf.DUMMYFUNCTION("""COMPUTED_VALUE"""),51.22)</f>
        <v>51.22</v>
      </c>
      <c r="E15" s="35">
        <f ca="1">IFERROR(__xludf.DUMMYFUNCTION("""COMPUTED_VALUE"""),1432.05)</f>
        <v>1432.05</v>
      </c>
      <c r="F15" s="35">
        <f ca="1">IFERROR(__xludf.DUMMYFUNCTION("""COMPUTED_VALUE"""),0.207569568101672)</f>
        <v>0.20756956810167199</v>
      </c>
      <c r="G15" s="35">
        <f ca="1">IFERROR(__xludf.DUMMYFUNCTION("""COMPUTED_VALUE"""),557.23)</f>
        <v>557.23</v>
      </c>
      <c r="H15" s="35">
        <f ca="1">IFERROR(__xludf.DUMMYFUNCTION("""COMPUTED_VALUE"""),1.03650198302316)</f>
        <v>1.0365019830231601</v>
      </c>
      <c r="I15" s="35">
        <f ca="1">IFERROR(__xludf.DUMMYFUNCTION("""COMPUTED_VALUE"""),1187.3)</f>
        <v>1187.3</v>
      </c>
      <c r="J15" s="36">
        <f ca="1">IFERROR(__xludf.DUMMYFUNCTION("""COMPUTED_VALUE"""),-0.0442179735534405)</f>
        <v>-4.4217973553440502E-2</v>
      </c>
      <c r="K15" s="36" t="str">
        <f ca="1">IFERROR(__xludf.DUMMYFUNCTION("""COMPUTED_VALUE"""),"Food")</f>
        <v>Food</v>
      </c>
      <c r="L15" s="36" t="str">
        <f ca="1">IFERROR(__xludf.DUMMYFUNCTION("""COMPUTED_VALUE"""),"BOM:540180")</f>
        <v>BOM:540180</v>
      </c>
      <c r="M15" s="36" t="str">
        <f ca="1">IFERROR(__xludf.DUMMYFUNCTION("""COMPUTED_VALUE"""),"No")</f>
        <v>No</v>
      </c>
      <c r="N15" s="36" t="str">
        <f ca="1">IFERROR(__xludf.DUMMYFUNCTION("""COMPUTED_VALUE"""),"No")</f>
        <v>No</v>
      </c>
      <c r="O15" s="36" t="str">
        <f ca="1">IFERROR(__xludf.DUMMYFUNCTION("""COMPUTED_VALUE"""),"Good Stock")</f>
        <v>Good Stock</v>
      </c>
      <c r="P15" s="36" t="str">
        <f ca="1">IFERROR(__xludf.DUMMYFUNCTION("""COMPUTED_VALUE"""),"Low Cap")</f>
        <v>Low Cap</v>
      </c>
      <c r="Q15" s="26"/>
      <c r="R15" s="26"/>
      <c r="S15" s="26"/>
      <c r="T15" s="26"/>
      <c r="U15" s="26"/>
      <c r="V15" s="26"/>
      <c r="W15" s="26"/>
      <c r="X15" s="26"/>
      <c r="Y15" s="26"/>
      <c r="Z15" s="27"/>
      <c r="AA15" s="33"/>
      <c r="AB15" s="26"/>
    </row>
    <row r="16" spans="1:28" ht="24">
      <c r="A16" s="34" t="str">
        <f ca="1">IFERROR(__xludf.DUMMYFUNCTION("""COMPUTED_VALUE"""),"Yesbank")</f>
        <v>Yesbank</v>
      </c>
      <c r="B16" s="35">
        <f ca="1">IFERROR(__xludf.DUMMYFUNCTION("""COMPUTED_VALUE"""),57937.9387031)</f>
        <v>57937.938703100001</v>
      </c>
      <c r="C16" s="35">
        <f ca="1">IFERROR(__xludf.DUMMYFUNCTION("""COMPUTED_VALUE"""),20.15)</f>
        <v>20.149999999999999</v>
      </c>
      <c r="D16" s="35">
        <f ca="1">IFERROR(__xludf.DUMMYFUNCTION("""COMPUTED_VALUE"""),45.52)</f>
        <v>45.52</v>
      </c>
      <c r="E16" s="35">
        <f ca="1">IFERROR(__xludf.DUMMYFUNCTION("""COMPUTED_VALUE"""),24.75)</f>
        <v>24.75</v>
      </c>
      <c r="F16" s="35">
        <f ca="1">IFERROR(__xludf.DUMMYFUNCTION("""COMPUTED_VALUE"""),0.185858585858585)</f>
        <v>0.185858585858585</v>
      </c>
      <c r="G16" s="35">
        <f ca="1">IFERROR(__xludf.DUMMYFUNCTION("""COMPUTED_VALUE"""),12.11)</f>
        <v>12.11</v>
      </c>
      <c r="H16" s="35">
        <f ca="1">IFERROR(__xludf.DUMMYFUNCTION("""COMPUTED_VALUE"""),0.663914120561519)</f>
        <v>0.66391412056151899</v>
      </c>
      <c r="I16" s="35">
        <f ca="1">IFERROR(__xludf.DUMMYFUNCTION("""COMPUTED_VALUE"""),19.9)</f>
        <v>19.899999999999999</v>
      </c>
      <c r="J16" s="36">
        <f ca="1">IFERROR(__xludf.DUMMYFUNCTION("""COMPUTED_VALUE"""),0.0125628140703517)</f>
        <v>1.25628140703517E-2</v>
      </c>
      <c r="K16" s="37" t="str">
        <f ca="1">IFERROR(__xludf.DUMMYFUNCTION("""COMPUTED_VALUE"""),"Bank")</f>
        <v>Bank</v>
      </c>
      <c r="L16" s="36" t="str">
        <f ca="1">IFERROR(__xludf.DUMMYFUNCTION("""COMPUTED_VALUE"""),"BOM:532648")</f>
        <v>BOM:532648</v>
      </c>
      <c r="M16" s="36" t="str">
        <f ca="1">IFERROR(__xludf.DUMMYFUNCTION("""COMPUTED_VALUE"""),"No")</f>
        <v>No</v>
      </c>
      <c r="N16" s="36" t="str">
        <f ca="1">IFERROR(__xludf.DUMMYFUNCTION("""COMPUTED_VALUE"""),"No")</f>
        <v>No</v>
      </c>
      <c r="O16" s="36" t="str">
        <f ca="1">IFERROR(__xludf.DUMMYFUNCTION("""COMPUTED_VALUE"""),"Good Stock")</f>
        <v>Good Stock</v>
      </c>
      <c r="P16" s="36" t="str">
        <f ca="1">IFERROR(__xludf.DUMMYFUNCTION("""COMPUTED_VALUE"""),"Low Cap")</f>
        <v>Low Cap</v>
      </c>
      <c r="Q16" s="26"/>
      <c r="R16" s="26"/>
      <c r="S16" s="26"/>
      <c r="T16" s="26"/>
      <c r="U16" s="26"/>
      <c r="V16" s="26"/>
      <c r="W16" s="26"/>
      <c r="X16" s="26"/>
      <c r="Y16" s="26"/>
      <c r="Z16" s="27"/>
      <c r="AA16" s="33"/>
      <c r="AB16" s="26"/>
    </row>
    <row r="17" spans="1:28" ht="24">
      <c r="A17" s="34" t="str">
        <f ca="1">IFERROR(__xludf.DUMMYFUNCTION("""COMPUTED_VALUE"""),"PI industries")</f>
        <v>PI industries</v>
      </c>
      <c r="B17" s="35">
        <f ca="1">IFERROR(__xludf.DUMMYFUNCTION("""COMPUTED_VALUE"""),49475.63474)</f>
        <v>49475.634740000001</v>
      </c>
      <c r="C17" s="35">
        <f ca="1">IFERROR(__xludf.DUMMYFUNCTION("""COMPUTED_VALUE"""),3262)</f>
        <v>3262</v>
      </c>
      <c r="D17" s="35">
        <f ca="1">IFERROR(__xludf.DUMMYFUNCTION("""COMPUTED_VALUE"""),48.33)</f>
        <v>48.33</v>
      </c>
      <c r="E17" s="35">
        <f ca="1">IFERROR(__xludf.DUMMYFUNCTION("""COMPUTED_VALUE"""),3698.45)</f>
        <v>3698.45</v>
      </c>
      <c r="F17" s="35">
        <f ca="1">IFERROR(__xludf.DUMMYFUNCTION("""COMPUTED_VALUE"""),0.118008895618434)</f>
        <v>0.118008895618434</v>
      </c>
      <c r="G17" s="35">
        <f ca="1">IFERROR(__xludf.DUMMYFUNCTION("""COMPUTED_VALUE"""),2333.55)</f>
        <v>2333.5500000000002</v>
      </c>
      <c r="H17" s="35">
        <f ca="1">IFERROR(__xludf.DUMMYFUNCTION("""COMPUTED_VALUE"""),0.39787019776735)</f>
        <v>0.39787019776735</v>
      </c>
      <c r="I17" s="35">
        <f ca="1">IFERROR(__xludf.DUMMYFUNCTION("""COMPUTED_VALUE"""),3292.65)</f>
        <v>3292.65</v>
      </c>
      <c r="J17" s="36">
        <f ca="1">IFERROR(__xludf.DUMMYFUNCTION("""COMPUTED_VALUE"""),-0.00930861160463459)</f>
        <v>-9.3086116046345903E-3</v>
      </c>
      <c r="K17" s="36" t="str">
        <f ca="1">IFERROR(__xludf.DUMMYFUNCTION("""COMPUTED_VALUE"""),"Agrochemical")</f>
        <v>Agrochemical</v>
      </c>
      <c r="L17" s="36" t="str">
        <f ca="1">IFERROR(__xludf.DUMMYFUNCTION("""COMPUTED_VALUE"""),"PIIND")</f>
        <v>PIIND</v>
      </c>
      <c r="M17" s="36" t="str">
        <f ca="1">IFERROR(__xludf.DUMMYFUNCTION("""COMPUTED_VALUE"""),"No")</f>
        <v>No</v>
      </c>
      <c r="N17" s="36" t="str">
        <f ca="1">IFERROR(__xludf.DUMMYFUNCTION("""COMPUTED_VALUE"""),"No")</f>
        <v>No</v>
      </c>
      <c r="O17" s="37" t="str">
        <f ca="1">IFERROR(__xludf.DUMMYFUNCTION("""COMPUTED_VALUE"""),"Good Stock")</f>
        <v>Good Stock</v>
      </c>
      <c r="P17" s="38" t="str">
        <f ca="1">IFERROR(__xludf.DUMMYFUNCTION("""COMPUTED_VALUE"""),"Low Cap")</f>
        <v>Low Cap</v>
      </c>
      <c r="Q17" s="26"/>
      <c r="R17" s="26"/>
      <c r="S17" s="26"/>
      <c r="T17" s="26"/>
      <c r="U17" s="26"/>
      <c r="V17" s="26"/>
      <c r="W17" s="26"/>
      <c r="X17" s="26"/>
      <c r="Y17" s="26"/>
      <c r="Z17" s="27"/>
      <c r="AA17" s="33"/>
      <c r="AB17" s="26"/>
    </row>
    <row r="18" spans="1:28" ht="24">
      <c r="A18" s="34" t="str">
        <f ca="1">IFERROR(__xludf.DUMMYFUNCTION("""COMPUTED_VALUE"""),"TVS")</f>
        <v>TVS</v>
      </c>
      <c r="B18" s="35">
        <f ca="1">IFERROR(__xludf.DUMMYFUNCTION("""COMPUTED_VALUE"""),47610.86)</f>
        <v>47610.86</v>
      </c>
      <c r="C18" s="35">
        <f ca="1">IFERROR(__xludf.DUMMYFUNCTION("""COMPUTED_VALUE"""),999.5)</f>
        <v>999.5</v>
      </c>
      <c r="D18" s="35">
        <f ca="1">IFERROR(__xludf.DUMMYFUNCTION("""COMPUTED_VALUE"""),39.03)</f>
        <v>39.03</v>
      </c>
      <c r="E18" s="35">
        <f ca="1">IFERROR(__xludf.DUMMYFUNCTION("""COMPUTED_VALUE"""),1177)</f>
        <v>1177</v>
      </c>
      <c r="F18" s="35">
        <f ca="1">IFERROR(__xludf.DUMMYFUNCTION("""COMPUTED_VALUE"""),0.150807136788445)</f>
        <v>0.15080713678844501</v>
      </c>
      <c r="G18" s="35">
        <f ca="1">IFERROR(__xludf.DUMMYFUNCTION("""COMPUTED_VALUE"""),513)</f>
        <v>513</v>
      </c>
      <c r="H18" s="35">
        <f ca="1">IFERROR(__xludf.DUMMYFUNCTION("""COMPUTED_VALUE"""),0.948343079922027)</f>
        <v>0.94834307992202704</v>
      </c>
      <c r="I18" s="35">
        <f ca="1">IFERROR(__xludf.DUMMYFUNCTION("""COMPUTED_VALUE"""),1005.2)</f>
        <v>1005.2</v>
      </c>
      <c r="J18" s="36">
        <f ca="1">IFERROR(__xludf.DUMMYFUNCTION("""COMPUTED_VALUE"""),-0.0056705133306805)</f>
        <v>-5.6705133306804998E-3</v>
      </c>
      <c r="K18" s="36" t="str">
        <f ca="1">IFERROR(__xludf.DUMMYFUNCTION("""COMPUTED_VALUE"""),"Automobile")</f>
        <v>Automobile</v>
      </c>
      <c r="L18" s="36" t="str">
        <f ca="1">IFERROR(__xludf.DUMMYFUNCTION("""COMPUTED_VALUE"""),"BOM:532343")</f>
        <v>BOM:532343</v>
      </c>
      <c r="M18" s="36" t="str">
        <f ca="1">IFERROR(__xludf.DUMMYFUNCTION("""COMPUTED_VALUE"""),"No")</f>
        <v>No</v>
      </c>
      <c r="N18" s="36" t="str">
        <f ca="1">IFERROR(__xludf.DUMMYFUNCTION("""COMPUTED_VALUE"""),"No")</f>
        <v>No</v>
      </c>
      <c r="O18" s="37" t="str">
        <f ca="1">IFERROR(__xludf.DUMMYFUNCTION("""COMPUTED_VALUE"""),"Good Stock")</f>
        <v>Good Stock</v>
      </c>
      <c r="P18" s="38" t="str">
        <f ca="1">IFERROR(__xludf.DUMMYFUNCTION("""COMPUTED_VALUE"""),"Low Cap")</f>
        <v>Low Cap</v>
      </c>
      <c r="Q18" s="26"/>
      <c r="R18" s="26"/>
      <c r="S18" s="26"/>
      <c r="T18" s="26"/>
      <c r="U18" s="26"/>
      <c r="V18" s="26"/>
      <c r="W18" s="26"/>
      <c r="X18" s="26"/>
      <c r="Y18" s="26"/>
      <c r="Z18" s="27"/>
      <c r="AA18" s="33"/>
      <c r="AB18" s="26"/>
    </row>
    <row r="19" spans="1:28" ht="24">
      <c r="A19" s="34" t="str">
        <f ca="1">IFERROR(__xludf.DUMMYFUNCTION("""COMPUTED_VALUE"""),"Abbott India")</f>
        <v>Abbott India</v>
      </c>
      <c r="B19" s="35">
        <f ca="1">IFERROR(__xludf.DUMMYFUNCTION("""COMPUTED_VALUE"""),47348.12)</f>
        <v>47348.12</v>
      </c>
      <c r="C19" s="35">
        <f ca="1">IFERROR(__xludf.DUMMYFUNCTION("""COMPUTED_VALUE"""),22241)</f>
        <v>22241</v>
      </c>
      <c r="D19" s="35">
        <f ca="1">IFERROR(__xludf.DUMMYFUNCTION("""COMPUTED_VALUE"""),53.6)</f>
        <v>53.6</v>
      </c>
      <c r="E19" s="35">
        <f ca="1">IFERROR(__xludf.DUMMYFUNCTION("""COMPUTED_VALUE"""),22499)</f>
        <v>22499</v>
      </c>
      <c r="F19" s="35">
        <f ca="1">IFERROR(__xludf.DUMMYFUNCTION("""COMPUTED_VALUE"""),0.0114671763189475)</f>
        <v>1.1467176318947499E-2</v>
      </c>
      <c r="G19" s="35">
        <f ca="1">IFERROR(__xludf.DUMMYFUNCTION("""COMPUTED_VALUE"""),15514)</f>
        <v>15514</v>
      </c>
      <c r="H19" s="35">
        <f ca="1">IFERROR(__xludf.DUMMYFUNCTION("""COMPUTED_VALUE"""),0.433608353745004)</f>
        <v>0.433608353745004</v>
      </c>
      <c r="I19" s="35">
        <f ca="1">IFERROR(__xludf.DUMMYFUNCTION("""COMPUTED_VALUE"""),22162.55)</f>
        <v>22162.55</v>
      </c>
      <c r="J19" s="36">
        <f ca="1">IFERROR(__xludf.DUMMYFUNCTION("""COMPUTED_VALUE"""),0.00353975512745603)</f>
        <v>3.53975512745603E-3</v>
      </c>
      <c r="K19" s="36" t="str">
        <f ca="1">IFERROR(__xludf.DUMMYFUNCTION("""COMPUTED_VALUE"""),"Pharma")</f>
        <v>Pharma</v>
      </c>
      <c r="L19" s="36" t="str">
        <f ca="1">IFERROR(__xludf.DUMMYFUNCTION("""COMPUTED_VALUE"""),"ABBOTINDIA")</f>
        <v>ABBOTINDIA</v>
      </c>
      <c r="M19" s="36" t="str">
        <f ca="1">IFERROR(__xludf.DUMMYFUNCTION("""COMPUTED_VALUE"""),"No")</f>
        <v>No</v>
      </c>
      <c r="N19" s="36" t="str">
        <f ca="1">IFERROR(__xludf.DUMMYFUNCTION("""COMPUTED_VALUE"""),"No")</f>
        <v>No</v>
      </c>
      <c r="O19" s="37" t="str">
        <f ca="1">IFERROR(__xludf.DUMMYFUNCTION("""COMPUTED_VALUE"""),"Good Stock")</f>
        <v>Good Stock</v>
      </c>
      <c r="P19" s="37" t="str">
        <f ca="1">IFERROR(__xludf.DUMMYFUNCTION("""COMPUTED_VALUE"""),"Low Cap")</f>
        <v>Low Cap</v>
      </c>
      <c r="Q19" s="26"/>
      <c r="R19" s="26"/>
      <c r="S19" s="26"/>
      <c r="T19" s="26"/>
      <c r="U19" s="26"/>
      <c r="V19" s="26"/>
      <c r="W19" s="26"/>
      <c r="X19" s="26"/>
      <c r="Y19" s="26"/>
      <c r="Z19" s="27"/>
      <c r="AA19" s="33"/>
      <c r="AB19" s="26"/>
    </row>
    <row r="20" spans="1:28" ht="24">
      <c r="A20" s="34" t="str">
        <f ca="1">IFERROR(__xludf.DUMMYFUNCTION("""COMPUTED_VALUE"""),"Balkrishna Industries")</f>
        <v>Balkrishna Industries</v>
      </c>
      <c r="B20" s="35">
        <f ca="1">IFERROR(__xludf.DUMMYFUNCTION("""COMPUTED_VALUE"""),43195.8704177)</f>
        <v>43195.870417700004</v>
      </c>
      <c r="C20" s="35">
        <f ca="1">IFERROR(__xludf.DUMMYFUNCTION("""COMPUTED_VALUE"""),2229)</f>
        <v>2229</v>
      </c>
      <c r="D20" s="35">
        <f ca="1">IFERROR(__xludf.DUMMYFUNCTION("""COMPUTED_VALUE"""),30.72)</f>
        <v>30.72</v>
      </c>
      <c r="E20" s="35">
        <f ca="1">IFERROR(__xludf.DUMMYFUNCTION("""COMPUTED_VALUE"""),2537.45)</f>
        <v>2537.4499999999998</v>
      </c>
      <c r="F20" s="35">
        <f ca="1">IFERROR(__xludf.DUMMYFUNCTION("""COMPUTED_VALUE"""),0.121559045498433)</f>
        <v>0.12155904549843299</v>
      </c>
      <c r="G20" s="35">
        <f ca="1">IFERROR(__xludf.DUMMYFUNCTION("""COMPUTED_VALUE"""),1690.55)</f>
        <v>1690.55</v>
      </c>
      <c r="H20" s="35">
        <f ca="1">IFERROR(__xludf.DUMMYFUNCTION("""COMPUTED_VALUE"""),0.318505811718079)</f>
        <v>0.31850581171807901</v>
      </c>
      <c r="I20" s="35">
        <f ca="1">IFERROR(__xludf.DUMMYFUNCTION("""COMPUTED_VALUE"""),2214.25)</f>
        <v>2214.25</v>
      </c>
      <c r="J20" s="36">
        <f ca="1">IFERROR(__xludf.DUMMYFUNCTION("""COMPUTED_VALUE"""),0.00666139776448007)</f>
        <v>6.6613977644800699E-3</v>
      </c>
      <c r="K20" s="36" t="str">
        <f ca="1">IFERROR(__xludf.DUMMYFUNCTION("""COMPUTED_VALUE"""),"Tyre")</f>
        <v>Tyre</v>
      </c>
      <c r="L20" s="36" t="str">
        <f ca="1">IFERROR(__xludf.DUMMYFUNCTION("""COMPUTED_VALUE"""),"BALKRISIND")</f>
        <v>BALKRISIND</v>
      </c>
      <c r="M20" s="36" t="str">
        <f ca="1">IFERROR(__xludf.DUMMYFUNCTION("""COMPUTED_VALUE"""),"No")</f>
        <v>No</v>
      </c>
      <c r="N20" s="36" t="str">
        <f ca="1">IFERROR(__xludf.DUMMYFUNCTION("""COMPUTED_VALUE"""),"No")</f>
        <v>No</v>
      </c>
      <c r="O20" s="36" t="str">
        <f ca="1">IFERROR(__xludf.DUMMYFUNCTION("""COMPUTED_VALUE"""),"Good Stock")</f>
        <v>Good Stock</v>
      </c>
      <c r="P20" s="36" t="str">
        <f ca="1">IFERROR(__xludf.DUMMYFUNCTION("""COMPUTED_VALUE"""),"Low Cap")</f>
        <v>Low Cap</v>
      </c>
      <c r="Q20" s="26"/>
      <c r="R20" s="26"/>
      <c r="S20" s="26"/>
      <c r="T20" s="26"/>
      <c r="U20" s="26"/>
      <c r="V20" s="26"/>
      <c r="W20" s="26"/>
      <c r="X20" s="26"/>
      <c r="Y20" s="26"/>
      <c r="Z20" s="27"/>
      <c r="AA20" s="33"/>
      <c r="AB20" s="26"/>
    </row>
    <row r="21" spans="1:28" ht="24">
      <c r="A21" s="34" t="str">
        <f ca="1">IFERROR(__xludf.DUMMYFUNCTION("""COMPUTED_VALUE"""),"Polycab")</f>
        <v>Polycab</v>
      </c>
      <c r="B21" s="35">
        <f ca="1">IFERROR(__xludf.DUMMYFUNCTION("""COMPUTED_VALUE"""),39945.4022299)</f>
        <v>39945.402229899999</v>
      </c>
      <c r="C21" s="35">
        <f ca="1">IFERROR(__xludf.DUMMYFUNCTION("""COMPUTED_VALUE"""),2662)</f>
        <v>2662</v>
      </c>
      <c r="D21" s="35">
        <f ca="1">IFERROR(__xludf.DUMMYFUNCTION("""COMPUTED_VALUE"""),35.5)</f>
        <v>35.5</v>
      </c>
      <c r="E21" s="35">
        <f ca="1">IFERROR(__xludf.DUMMYFUNCTION("""COMPUTED_VALUE"""),3025)</f>
        <v>3025</v>
      </c>
      <c r="F21" s="35">
        <f ca="1">IFERROR(__xludf.DUMMYFUNCTION("""COMPUTED_VALUE"""),0.12)</f>
        <v>0.12</v>
      </c>
      <c r="G21" s="35">
        <f ca="1">IFERROR(__xludf.DUMMYFUNCTION("""COMPUTED_VALUE"""),2043.85)</f>
        <v>2043.85</v>
      </c>
      <c r="H21" s="35">
        <f ca="1">IFERROR(__xludf.DUMMYFUNCTION("""COMPUTED_VALUE"""),0.302443917117205)</f>
        <v>0.30244391711720497</v>
      </c>
      <c r="I21" s="35">
        <f ca="1">IFERROR(__xludf.DUMMYFUNCTION("""COMPUTED_VALUE"""),2677.05)</f>
        <v>2677.05</v>
      </c>
      <c r="J21" s="36">
        <f ca="1">IFERROR(__xludf.DUMMYFUNCTION("""COMPUTED_VALUE"""),-0.00562185988308032)</f>
        <v>-5.6218598830803197E-3</v>
      </c>
      <c r="K21" s="37" t="str">
        <f ca="1">IFERROR(__xludf.DUMMYFUNCTION("""COMPUTED_VALUE"""),"Consumer Electrical")</f>
        <v>Consumer Electrical</v>
      </c>
      <c r="L21" s="37" t="str">
        <f ca="1">IFERROR(__xludf.DUMMYFUNCTION("""COMPUTED_VALUE"""),"POLYCAB")</f>
        <v>POLYCAB</v>
      </c>
      <c r="M21" s="37" t="str">
        <f ca="1">IFERROR(__xludf.DUMMYFUNCTION("""COMPUTED_VALUE"""),"No")</f>
        <v>No</v>
      </c>
      <c r="N21" s="37" t="str">
        <f ca="1">IFERROR(__xludf.DUMMYFUNCTION("""COMPUTED_VALUE"""),"No")</f>
        <v>No</v>
      </c>
      <c r="O21" s="37" t="str">
        <f ca="1">IFERROR(__xludf.DUMMYFUNCTION("""COMPUTED_VALUE"""),"Good Stock")</f>
        <v>Good Stock</v>
      </c>
      <c r="P21" s="37" t="str">
        <f ca="1">IFERROR(__xludf.DUMMYFUNCTION("""COMPUTED_VALUE"""),"Low Cap")</f>
        <v>Low Cap</v>
      </c>
      <c r="Q21" s="19"/>
      <c r="R21" s="19"/>
      <c r="S21" s="19"/>
      <c r="T21" s="19"/>
      <c r="U21" s="19"/>
      <c r="V21" s="19"/>
      <c r="W21" s="19"/>
      <c r="X21" s="19"/>
      <c r="Y21" s="19"/>
      <c r="Z21" s="20"/>
      <c r="AA21" s="19"/>
      <c r="AB21" s="19"/>
    </row>
    <row r="22" spans="1:28" ht="24">
      <c r="A22" s="34" t="str">
        <f ca="1">IFERROR(__xludf.DUMMYFUNCTION("""COMPUTED_VALUE"""),"Solar Industries")</f>
        <v>Solar Industries</v>
      </c>
      <c r="B22" s="35">
        <f ca="1">IFERROR(__xludf.DUMMYFUNCTION("""COMPUTED_VALUE"""),38859.14)</f>
        <v>38859.14</v>
      </c>
      <c r="C22" s="35">
        <f ca="1">IFERROR(__xludf.DUMMYFUNCTION("""COMPUTED_VALUE"""),4338)</f>
        <v>4338</v>
      </c>
      <c r="D22" s="35">
        <f ca="1">IFERROR(__xludf.DUMMYFUNCTION("""COMPUTED_VALUE"""),63.66)</f>
        <v>63.66</v>
      </c>
      <c r="E22" s="35">
        <f ca="1">IFERROR(__xludf.DUMMYFUNCTION("""COMPUTED_VALUE"""),4535.95)</f>
        <v>4535.95</v>
      </c>
      <c r="F22" s="35">
        <f ca="1">IFERROR(__xludf.DUMMYFUNCTION("""COMPUTED_VALUE"""),0.0436402517664435)</f>
        <v>4.3640251766443497E-2</v>
      </c>
      <c r="G22" s="35">
        <f ca="1">IFERROR(__xludf.DUMMYFUNCTION("""COMPUTED_VALUE"""),2160.05)</f>
        <v>2160.0500000000002</v>
      </c>
      <c r="H22" s="35">
        <f ca="1">IFERROR(__xludf.DUMMYFUNCTION("""COMPUTED_VALUE"""),1.00828684521191)</f>
        <v>1.00828684521191</v>
      </c>
      <c r="I22" s="35">
        <f ca="1">IFERROR(__xludf.DUMMYFUNCTION("""COMPUTED_VALUE"""),4340.15)</f>
        <v>4340.1499999999996</v>
      </c>
      <c r="J22" s="36">
        <f ca="1">IFERROR(__xludf.DUMMYFUNCTION("""COMPUTED_VALUE"""),-0.000495374583827664)</f>
        <v>-4.9537458382766398E-4</v>
      </c>
      <c r="K22" s="37" t="str">
        <f ca="1">IFERROR(__xludf.DUMMYFUNCTION("""COMPUTED_VALUE"""),"Defence")</f>
        <v>Defence</v>
      </c>
      <c r="L22" s="36" t="str">
        <f ca="1">IFERROR(__xludf.DUMMYFUNCTION("""COMPUTED_VALUE"""),"BOM:532725")</f>
        <v>BOM:532725</v>
      </c>
      <c r="M22" s="36" t="str">
        <f ca="1">IFERROR(__xludf.DUMMYFUNCTION("""COMPUTED_VALUE"""),"No")</f>
        <v>No</v>
      </c>
      <c r="N22" s="36" t="str">
        <f ca="1">IFERROR(__xludf.DUMMYFUNCTION("""COMPUTED_VALUE"""),"No")</f>
        <v>No</v>
      </c>
      <c r="O22" s="38" t="str">
        <f ca="1">IFERROR(__xludf.DUMMYFUNCTION("""COMPUTED_VALUE"""),"Good Stock")</f>
        <v>Good Stock</v>
      </c>
      <c r="P22" s="36" t="str">
        <f ca="1">IFERROR(__xludf.DUMMYFUNCTION("""COMPUTED_VALUE"""),"Low Cap")</f>
        <v>Low Cap</v>
      </c>
      <c r="Q22" s="26"/>
      <c r="R22" s="26"/>
      <c r="S22" s="26"/>
      <c r="T22" s="26"/>
      <c r="U22" s="26"/>
      <c r="V22" s="26"/>
      <c r="W22" s="26"/>
      <c r="X22" s="26"/>
      <c r="Y22" s="26"/>
      <c r="Z22" s="27"/>
      <c r="AA22" s="26"/>
      <c r="AB22" s="26"/>
    </row>
    <row r="23" spans="1:28" ht="24">
      <c r="A23" s="34" t="str">
        <f ca="1">IFERROR(__xludf.DUMMYFUNCTION("""COMPUTED_VALUE"""),"APL Apollo")</f>
        <v>APL Apollo</v>
      </c>
      <c r="B23" s="35">
        <f ca="1">IFERROR(__xludf.DUMMYFUNCTION("""COMPUTED_VALUE"""),31477.05)</f>
        <v>31477.05</v>
      </c>
      <c r="C23" s="35">
        <f ca="1">IFERROR(__xludf.DUMMYFUNCTION("""COMPUTED_VALUE"""),1136)</f>
        <v>1136</v>
      </c>
      <c r="D23" s="35">
        <f ca="1">IFERROR(__xludf.DUMMYFUNCTION("""COMPUTED_VALUE"""),54.9)</f>
        <v>54.9</v>
      </c>
      <c r="E23" s="35">
        <f ca="1">IFERROR(__xludf.DUMMYFUNCTION("""COMPUTED_VALUE"""),1193.85)</f>
        <v>1193.8499999999999</v>
      </c>
      <c r="F23" s="35">
        <f ca="1">IFERROR(__xludf.DUMMYFUNCTION("""COMPUTED_VALUE"""),0.048456673786489)</f>
        <v>4.8456673786488998E-2</v>
      </c>
      <c r="G23" s="35">
        <f ca="1">IFERROR(__xludf.DUMMYFUNCTION("""COMPUTED_VALUE"""),771)</f>
        <v>771</v>
      </c>
      <c r="H23" s="35">
        <f ca="1">IFERROR(__xludf.DUMMYFUNCTION("""COMPUTED_VALUE"""),0.473411154345006)</f>
        <v>0.47341115434500602</v>
      </c>
      <c r="I23" s="35">
        <f ca="1">IFERROR(__xludf.DUMMYFUNCTION("""COMPUTED_VALUE"""),1127.95)</f>
        <v>1127.95</v>
      </c>
      <c r="J23" s="36">
        <f ca="1">IFERROR(__xludf.DUMMYFUNCTION("""COMPUTED_VALUE"""),0.00713684117203772)</f>
        <v>7.1368411720377197E-3</v>
      </c>
      <c r="K23" s="36" t="str">
        <f ca="1">IFERROR(__xludf.DUMMYFUNCTION("""COMPUTED_VALUE"""),"Steel")</f>
        <v>Steel</v>
      </c>
      <c r="L23" s="36" t="str">
        <f ca="1">IFERROR(__xludf.DUMMYFUNCTION("""COMPUTED_VALUE"""),"BOM:533758")</f>
        <v>BOM:533758</v>
      </c>
      <c r="M23" s="36" t="str">
        <f ca="1">IFERROR(__xludf.DUMMYFUNCTION("""COMPUTED_VALUE"""),"No")</f>
        <v>No</v>
      </c>
      <c r="N23" s="36" t="str">
        <f ca="1">IFERROR(__xludf.DUMMYFUNCTION("""COMPUTED_VALUE"""),"No")</f>
        <v>No</v>
      </c>
      <c r="O23" s="38" t="str">
        <f ca="1">IFERROR(__xludf.DUMMYFUNCTION("""COMPUTED_VALUE"""),"Good Stock")</f>
        <v>Good Stock</v>
      </c>
      <c r="P23" s="36" t="str">
        <f ca="1">IFERROR(__xludf.DUMMYFUNCTION("""COMPUTED_VALUE"""),"Low Cap")</f>
        <v>Low Cap</v>
      </c>
      <c r="Q23" s="26"/>
      <c r="R23" s="26"/>
      <c r="S23" s="26"/>
      <c r="T23" s="26"/>
      <c r="U23" s="26"/>
      <c r="V23" s="26"/>
      <c r="W23" s="26"/>
      <c r="X23" s="26"/>
      <c r="Y23" s="26"/>
      <c r="Z23" s="27"/>
      <c r="AA23" s="26"/>
      <c r="AB23" s="26"/>
    </row>
    <row r="24" spans="1:28" ht="24">
      <c r="A24" s="34" t="str">
        <f ca="1">IFERROR(__xludf.DUMMYFUNCTION("""COMPUTED_VALUE"""),"Supreme Industries")</f>
        <v>Supreme Industries</v>
      </c>
      <c r="B24" s="35">
        <f ca="1">IFERROR(__xludf.DUMMYFUNCTION("""COMPUTED_VALUE"""),31369.92)</f>
        <v>31369.919999999998</v>
      </c>
      <c r="C24" s="35">
        <f ca="1">IFERROR(__xludf.DUMMYFUNCTION("""COMPUTED_VALUE"""),2461)</f>
        <v>2461</v>
      </c>
      <c r="D24" s="35">
        <f ca="1">IFERROR(__xludf.DUMMYFUNCTION("""COMPUTED_VALUE"""),36.12)</f>
        <v>36.119999999999997</v>
      </c>
      <c r="E24" s="35">
        <f ca="1">IFERROR(__xludf.DUMMYFUNCTION("""COMPUTED_VALUE"""),2607.65)</f>
        <v>2607.65</v>
      </c>
      <c r="F24" s="35">
        <f ca="1">IFERROR(__xludf.DUMMYFUNCTION("""COMPUTED_VALUE"""),0.0562383755488658)</f>
        <v>5.62383755488658E-2</v>
      </c>
      <c r="G24" s="35">
        <f ca="1">IFERROR(__xludf.DUMMYFUNCTION("""COMPUTED_VALUE"""),1666.25)</f>
        <v>1666.25</v>
      </c>
      <c r="H24" s="35">
        <f ca="1">IFERROR(__xludf.DUMMYFUNCTION("""COMPUTED_VALUE"""),0.476969242310577)</f>
        <v>0.47696924231057702</v>
      </c>
      <c r="I24" s="35">
        <f ca="1">IFERROR(__xludf.DUMMYFUNCTION("""COMPUTED_VALUE"""),2452.7)</f>
        <v>2452.6999999999998</v>
      </c>
      <c r="J24" s="36">
        <f ca="1">IFERROR(__xludf.DUMMYFUNCTION("""COMPUTED_VALUE"""),0.00338402576752158)</f>
        <v>3.3840257675215799E-3</v>
      </c>
      <c r="K24" s="36" t="str">
        <f ca="1">IFERROR(__xludf.DUMMYFUNCTION("""COMPUTED_VALUE"""),"Plastic")</f>
        <v>Plastic</v>
      </c>
      <c r="L24" s="36" t="str">
        <f ca="1">IFERROR(__xludf.DUMMYFUNCTION("""COMPUTED_VALUE"""),"SUPREMEIND")</f>
        <v>SUPREMEIND</v>
      </c>
      <c r="M24" s="36" t="str">
        <f ca="1">IFERROR(__xludf.DUMMYFUNCTION("""COMPUTED_VALUE"""),"No")</f>
        <v>No</v>
      </c>
      <c r="N24" s="36" t="str">
        <f ca="1">IFERROR(__xludf.DUMMYFUNCTION("""COMPUTED_VALUE"""),"No")</f>
        <v>No</v>
      </c>
      <c r="O24" s="38" t="str">
        <f ca="1">IFERROR(__xludf.DUMMYFUNCTION("""COMPUTED_VALUE"""),"Good Stock")</f>
        <v>Good Stock</v>
      </c>
      <c r="P24" s="36" t="str">
        <f ca="1">IFERROR(__xludf.DUMMYFUNCTION("""COMPUTED_VALUE"""),"Low Cap")</f>
        <v>Low Cap</v>
      </c>
      <c r="Q24" s="26"/>
      <c r="R24" s="26"/>
      <c r="S24" s="26"/>
      <c r="T24" s="26"/>
      <c r="U24" s="26"/>
      <c r="V24" s="26"/>
      <c r="W24" s="26"/>
      <c r="X24" s="26"/>
      <c r="Y24" s="26"/>
      <c r="Z24" s="27"/>
      <c r="AA24" s="26"/>
      <c r="AB24" s="26"/>
    </row>
    <row r="25" spans="1:28" ht="24">
      <c r="A25" s="34" t="str">
        <f ca="1">IFERROR(__xludf.DUMMYFUNCTION("""COMPUTED_VALUE"""),"Federal Bank")</f>
        <v>Federal Bank</v>
      </c>
      <c r="B25" s="35">
        <f ca="1">IFERROR(__xludf.DUMMYFUNCTION("""COMPUTED_VALUE"""),29278.4915846)</f>
        <v>29278.4915846</v>
      </c>
      <c r="C25" s="35">
        <f ca="1">IFERROR(__xludf.DUMMYFUNCTION("""COMPUTED_VALUE"""),138.45)</f>
        <v>138.44999999999999</v>
      </c>
      <c r="D25" s="35">
        <f ca="1">IFERROR(__xludf.DUMMYFUNCTION("""COMPUTED_VALUE"""),11.78)</f>
        <v>11.78</v>
      </c>
      <c r="E25" s="35">
        <f ca="1">IFERROR(__xludf.DUMMYFUNCTION("""COMPUTED_VALUE"""),142.25)</f>
        <v>142.25</v>
      </c>
      <c r="F25" s="35">
        <f ca="1">IFERROR(__xludf.DUMMYFUNCTION("""COMPUTED_VALUE"""),0.0267135325131811)</f>
        <v>2.67135325131811E-2</v>
      </c>
      <c r="G25" s="35">
        <f ca="1">IFERROR(__xludf.DUMMYFUNCTION("""COMPUTED_VALUE"""),82.5)</f>
        <v>82.5</v>
      </c>
      <c r="H25" s="35">
        <f ca="1">IFERROR(__xludf.DUMMYFUNCTION("""COMPUTED_VALUE"""),0.678181818181818)</f>
        <v>0.678181818181818</v>
      </c>
      <c r="I25" s="35">
        <f ca="1">IFERROR(__xludf.DUMMYFUNCTION("""COMPUTED_VALUE"""),135.05)</f>
        <v>135.05000000000001</v>
      </c>
      <c r="J25" s="36">
        <f ca="1">IFERROR(__xludf.DUMMYFUNCTION("""COMPUTED_VALUE"""),0.0251758607922989)</f>
        <v>2.5175860792298901E-2</v>
      </c>
      <c r="K25" s="36" t="str">
        <f ca="1">IFERROR(__xludf.DUMMYFUNCTION("""COMPUTED_VALUE"""),"Bank")</f>
        <v>Bank</v>
      </c>
      <c r="L25" s="36" t="str">
        <f ca="1">IFERROR(__xludf.DUMMYFUNCTION("""COMPUTED_VALUE"""),"BOM:500469")</f>
        <v>BOM:500469</v>
      </c>
      <c r="M25" s="36" t="str">
        <f ca="1">IFERROR(__xludf.DUMMYFUNCTION("""COMPUTED_VALUE"""),"No")</f>
        <v>No</v>
      </c>
      <c r="N25" s="36" t="str">
        <f ca="1">IFERROR(__xludf.DUMMYFUNCTION("""COMPUTED_VALUE"""),"No")</f>
        <v>No</v>
      </c>
      <c r="O25" s="38" t="str">
        <f ca="1">IFERROR(__xludf.DUMMYFUNCTION("""COMPUTED_VALUE"""),"Good Stock")</f>
        <v>Good Stock</v>
      </c>
      <c r="P25" s="36" t="str">
        <f ca="1">IFERROR(__xludf.DUMMYFUNCTION("""COMPUTED_VALUE"""),"Low Cap")</f>
        <v>Low Cap</v>
      </c>
      <c r="Q25" s="26"/>
      <c r="R25" s="26"/>
      <c r="S25" s="26"/>
      <c r="T25" s="26"/>
      <c r="U25" s="26"/>
      <c r="V25" s="26"/>
      <c r="W25" s="26"/>
      <c r="X25" s="26"/>
      <c r="Y25" s="26"/>
      <c r="Z25" s="27"/>
      <c r="AA25" s="26"/>
      <c r="AB25" s="26"/>
    </row>
    <row r="26" spans="1:28" ht="48">
      <c r="A26" s="34" t="str">
        <f ca="1">IFERROR(__xludf.DUMMYFUNCTION("""COMPUTED_VALUE"""),"Sumitomo Chemicals")</f>
        <v>Sumitomo Chemicals</v>
      </c>
      <c r="B26" s="35">
        <f ca="1">IFERROR(__xludf.DUMMYFUNCTION("""COMPUTED_VALUE"""),24637.83)</f>
        <v>24637.83</v>
      </c>
      <c r="C26" s="35">
        <f ca="1">IFERROR(__xludf.DUMMYFUNCTION("""COMPUTED_VALUE"""),493.2)</f>
        <v>493.2</v>
      </c>
      <c r="D26" s="35">
        <f ca="1">IFERROR(__xludf.DUMMYFUNCTION("""COMPUTED_VALUE"""),48.9)</f>
        <v>48.9</v>
      </c>
      <c r="E26" s="35">
        <f ca="1">IFERROR(__xludf.DUMMYFUNCTION("""COMPUTED_VALUE"""),540.8)</f>
        <v>540.79999999999995</v>
      </c>
      <c r="F26" s="35">
        <f ca="1">IFERROR(__xludf.DUMMYFUNCTION("""COMPUTED_VALUE"""),0.0880177514792898)</f>
        <v>8.8017751479289794E-2</v>
      </c>
      <c r="G26" s="35">
        <f ca="1">IFERROR(__xludf.DUMMYFUNCTION("""COMPUTED_VALUE"""),351.5)</f>
        <v>351.5</v>
      </c>
      <c r="H26" s="35">
        <f ca="1">IFERROR(__xludf.DUMMYFUNCTION("""COMPUTED_VALUE"""),0.403129445234708)</f>
        <v>0.40312944523470801</v>
      </c>
      <c r="I26" s="35">
        <f ca="1">IFERROR(__xludf.DUMMYFUNCTION("""COMPUTED_VALUE"""),487.95)</f>
        <v>487.95</v>
      </c>
      <c r="J26" s="36">
        <f ca="1">IFERROR(__xludf.DUMMYFUNCTION("""COMPUTED_VALUE"""),0.0107592991085152)</f>
        <v>1.07592991085152E-2</v>
      </c>
      <c r="K26" s="36" t="str">
        <f ca="1">IFERROR(__xludf.DUMMYFUNCTION("""COMPUTED_VALUE"""),"Agrochemical")</f>
        <v>Agrochemical</v>
      </c>
      <c r="L26" s="36" t="str">
        <f ca="1">IFERROR(__xludf.DUMMYFUNCTION("""COMPUTED_VALUE"""),"SUMICHEM")</f>
        <v>SUMICHEM</v>
      </c>
      <c r="M26" s="36" t="str">
        <f ca="1">IFERROR(__xludf.DUMMYFUNCTION("""COMPUTED_VALUE"""),"No")</f>
        <v>No</v>
      </c>
      <c r="N26" s="36" t="str">
        <f ca="1">IFERROR(__xludf.DUMMYFUNCTION("""COMPUTED_VALUE"""),"No")</f>
        <v>No</v>
      </c>
      <c r="O26" s="38" t="str">
        <f ca="1">IFERROR(__xludf.DUMMYFUNCTION("""COMPUTED_VALUE"""),"Good Stock")</f>
        <v>Good Stock</v>
      </c>
      <c r="P26" s="36" t="str">
        <f ca="1">IFERROR(__xludf.DUMMYFUNCTION("""COMPUTED_VALUE"""),"Low Cap")</f>
        <v>Low Cap</v>
      </c>
      <c r="Q26" s="26"/>
      <c r="R26" s="26"/>
      <c r="S26" s="26"/>
      <c r="T26" s="26"/>
      <c r="U26" s="26"/>
      <c r="V26" s="26"/>
      <c r="W26" s="26"/>
      <c r="X26" s="26"/>
      <c r="Y26" s="26"/>
      <c r="Z26" s="27"/>
      <c r="AA26" s="26"/>
      <c r="AB26" s="26"/>
    </row>
    <row r="27" spans="1:28" ht="24">
      <c r="A27" s="34" t="str">
        <f ca="1">IFERROR(__xludf.DUMMYFUNCTION("""COMPUTED_VALUE"""),"J K Cement")</f>
        <v>J K Cement</v>
      </c>
      <c r="B27" s="35">
        <f ca="1">IFERROR(__xludf.DUMMYFUNCTION("""COMPUTED_VALUE"""),22430.59)</f>
        <v>22430.59</v>
      </c>
      <c r="C27" s="35">
        <f ca="1">IFERROR(__xludf.DUMMYFUNCTION("""COMPUTED_VALUE"""),2900.45)</f>
        <v>2900.45</v>
      </c>
      <c r="D27" s="35">
        <f ca="1">IFERROR(__xludf.DUMMYFUNCTION("""COMPUTED_VALUE"""),36.07)</f>
        <v>36.07</v>
      </c>
      <c r="E27" s="35">
        <f ca="1">IFERROR(__xludf.DUMMYFUNCTION("""COMPUTED_VALUE"""),3646.25)</f>
        <v>3646.25</v>
      </c>
      <c r="F27" s="35">
        <f ca="1">IFERROR(__xludf.DUMMYFUNCTION("""COMPUTED_VALUE"""),0.204538909838875)</f>
        <v>0.20453890983887499</v>
      </c>
      <c r="G27" s="35">
        <f ca="1">IFERROR(__xludf.DUMMYFUNCTION("""COMPUTED_VALUE"""),2005)</f>
        <v>2005</v>
      </c>
      <c r="H27" s="35">
        <f ca="1">IFERROR(__xludf.DUMMYFUNCTION("""COMPUTED_VALUE"""),0.446608478802992)</f>
        <v>0.44660847880299198</v>
      </c>
      <c r="I27" s="35">
        <f ca="1">IFERROR(__xludf.DUMMYFUNCTION("""COMPUTED_VALUE"""),2905.9)</f>
        <v>2905.9</v>
      </c>
      <c r="J27" s="36">
        <f ca="1">IFERROR(__xludf.DUMMYFUNCTION("""COMPUTED_VALUE"""),-0.00187549468323076)</f>
        <v>-1.8754946832307601E-3</v>
      </c>
      <c r="K27" s="36" t="str">
        <f ca="1">IFERROR(__xludf.DUMMYFUNCTION("""COMPUTED_VALUE"""),"Cement")</f>
        <v>Cement</v>
      </c>
      <c r="L27" s="36" t="str">
        <f ca="1">IFERROR(__xludf.DUMMYFUNCTION("""COMPUTED_VALUE"""),"BOM:532644")</f>
        <v>BOM:532644</v>
      </c>
      <c r="M27" s="36" t="str">
        <f ca="1">IFERROR(__xludf.DUMMYFUNCTION("""COMPUTED_VALUE"""),"No")</f>
        <v>No</v>
      </c>
      <c r="N27" s="36" t="str">
        <f ca="1">IFERROR(__xludf.DUMMYFUNCTION("""COMPUTED_VALUE"""),"No")</f>
        <v>No</v>
      </c>
      <c r="O27" s="38" t="str">
        <f ca="1">IFERROR(__xludf.DUMMYFUNCTION("""COMPUTED_VALUE"""),"Good Stock")</f>
        <v>Good Stock</v>
      </c>
      <c r="P27" s="36" t="str">
        <f ca="1">IFERROR(__xludf.DUMMYFUNCTION("""COMPUTED_VALUE"""),"Low Cap")</f>
        <v>Low Cap</v>
      </c>
      <c r="Q27" s="26"/>
      <c r="R27" s="26"/>
      <c r="S27" s="26"/>
      <c r="T27" s="26"/>
      <c r="U27" s="26"/>
      <c r="V27" s="26"/>
      <c r="W27" s="26"/>
      <c r="X27" s="26"/>
      <c r="Y27" s="26"/>
      <c r="Z27" s="27"/>
      <c r="AA27" s="26"/>
      <c r="AB27" s="26"/>
    </row>
    <row r="28" spans="1:28" ht="24">
      <c r="A28" s="34" t="str">
        <f ca="1">IFERROR(__xludf.DUMMYFUNCTION("""COMPUTED_VALUE"""),"LIC Housing Finance")</f>
        <v>LIC Housing Finance</v>
      </c>
      <c r="B28" s="35">
        <f ca="1">IFERROR(__xludf.DUMMYFUNCTION("""COMPUTED_VALUE"""),22159.2659823)</f>
        <v>22159.265982299999</v>
      </c>
      <c r="C28" s="35">
        <f ca="1">IFERROR(__xludf.DUMMYFUNCTION("""COMPUTED_VALUE"""),402.9)</f>
        <v>402.9</v>
      </c>
      <c r="D28" s="35">
        <f ca="1">IFERROR(__xludf.DUMMYFUNCTION("""COMPUTED_VALUE"""),6.85)</f>
        <v>6.85</v>
      </c>
      <c r="E28" s="35">
        <f ca="1">IFERROR(__xludf.DUMMYFUNCTION("""COMPUTED_VALUE"""),443.5)</f>
        <v>443.5</v>
      </c>
      <c r="F28" s="35">
        <f ca="1">IFERROR(__xludf.DUMMYFUNCTION("""COMPUTED_VALUE"""),0.0915445321307779)</f>
        <v>9.15445321307779E-2</v>
      </c>
      <c r="G28" s="35">
        <f ca="1">IFERROR(__xludf.DUMMYFUNCTION("""COMPUTED_VALUE"""),291.75)</f>
        <v>291.75</v>
      </c>
      <c r="H28" s="35">
        <f ca="1">IFERROR(__xludf.DUMMYFUNCTION("""COMPUTED_VALUE"""),0.380976863753213)</f>
        <v>0.38097686375321299</v>
      </c>
      <c r="I28" s="35">
        <f ca="1">IFERROR(__xludf.DUMMYFUNCTION("""COMPUTED_VALUE"""),400.2)</f>
        <v>400.2</v>
      </c>
      <c r="J28" s="36">
        <f ca="1">IFERROR(__xludf.DUMMYFUNCTION("""COMPUTED_VALUE"""),0.00674662668665664)</f>
        <v>6.7466266866566399E-3</v>
      </c>
      <c r="K28" s="36" t="str">
        <f ca="1">IFERROR(__xludf.DUMMYFUNCTION("""COMPUTED_VALUE"""),"NBFC")</f>
        <v>NBFC</v>
      </c>
      <c r="L28" s="36" t="str">
        <f ca="1">IFERROR(__xludf.DUMMYFUNCTION("""COMPUTED_VALUE"""),"BOM:500253")</f>
        <v>BOM:500253</v>
      </c>
      <c r="M28" s="36" t="str">
        <f ca="1">IFERROR(__xludf.DUMMYFUNCTION("""COMPUTED_VALUE"""),"No")</f>
        <v>No</v>
      </c>
      <c r="N28" s="36" t="str">
        <f ca="1">IFERROR(__xludf.DUMMYFUNCTION("""COMPUTED_VALUE"""),"No")</f>
        <v>No</v>
      </c>
      <c r="O28" s="38" t="str">
        <f ca="1">IFERROR(__xludf.DUMMYFUNCTION("""COMPUTED_VALUE"""),"Good Stock")</f>
        <v>Good Stock</v>
      </c>
      <c r="P28" s="36" t="str">
        <f ca="1">IFERROR(__xludf.DUMMYFUNCTION("""COMPUTED_VALUE"""),"Low Cap")</f>
        <v>Low Cap</v>
      </c>
      <c r="Q28" s="26"/>
      <c r="R28" s="26"/>
      <c r="S28" s="26"/>
      <c r="T28" s="26"/>
      <c r="U28" s="26"/>
      <c r="V28" s="26"/>
      <c r="W28" s="26"/>
      <c r="X28" s="26"/>
      <c r="Y28" s="26"/>
      <c r="Z28" s="27"/>
      <c r="AA28" s="26"/>
      <c r="AB28" s="26"/>
    </row>
    <row r="29" spans="1:28" ht="48">
      <c r="A29" s="34" t="str">
        <f ca="1">IFERROR(__xludf.DUMMYFUNCTION("""COMPUTED_VALUE"""),"Endurance Technology")</f>
        <v>Endurance Technology</v>
      </c>
      <c r="B29" s="35">
        <f ca="1">IFERROR(__xludf.DUMMYFUNCTION("""COMPUTED_VALUE"""),19679.44)</f>
        <v>19679.439999999999</v>
      </c>
      <c r="C29" s="35">
        <f ca="1">IFERROR(__xludf.DUMMYFUNCTION("""COMPUTED_VALUE"""),1398.5)</f>
        <v>1398.5</v>
      </c>
      <c r="D29" s="35">
        <f ca="1">IFERROR(__xludf.DUMMYFUNCTION("""COMPUTED_VALUE"""),42.23)</f>
        <v>42.23</v>
      </c>
      <c r="E29" s="35">
        <f ca="1">IFERROR(__xludf.DUMMYFUNCTION("""COMPUTED_VALUE"""),1736.15)</f>
        <v>1736.15</v>
      </c>
      <c r="F29" s="35">
        <f ca="1">IFERROR(__xludf.DUMMYFUNCTION("""COMPUTED_VALUE"""),0.194482043602223)</f>
        <v>0.19448204360222299</v>
      </c>
      <c r="G29" s="35">
        <f ca="1">IFERROR(__xludf.DUMMYFUNCTION("""COMPUTED_VALUE"""),1047.2)</f>
        <v>1047.2</v>
      </c>
      <c r="H29" s="35">
        <f ca="1">IFERROR(__xludf.DUMMYFUNCTION("""COMPUTED_VALUE"""),0.335466004583651)</f>
        <v>0.335466004583651</v>
      </c>
      <c r="I29" s="35">
        <f ca="1">IFERROR(__xludf.DUMMYFUNCTION("""COMPUTED_VALUE"""),1401.15)</f>
        <v>1401.15</v>
      </c>
      <c r="J29" s="36">
        <f ca="1">IFERROR(__xludf.DUMMYFUNCTION("""COMPUTED_VALUE"""),-0.00189130357206586)</f>
        <v>-1.89130357206586E-3</v>
      </c>
      <c r="K29" s="36" t="str">
        <f ca="1">IFERROR(__xludf.DUMMYFUNCTION("""COMPUTED_VALUE"""),"Automobile Ancilliary")</f>
        <v>Automobile Ancilliary</v>
      </c>
      <c r="L29" s="36" t="str">
        <f ca="1">IFERROR(__xludf.DUMMYFUNCTION("""COMPUTED_VALUE"""),"ENDURANCE")</f>
        <v>ENDURANCE</v>
      </c>
      <c r="M29" s="36" t="str">
        <f ca="1">IFERROR(__xludf.DUMMYFUNCTION("""COMPUTED_VALUE"""),"No")</f>
        <v>No</v>
      </c>
      <c r="N29" s="36" t="str">
        <f ca="1">IFERROR(__xludf.DUMMYFUNCTION("""COMPUTED_VALUE"""),"No")</f>
        <v>No</v>
      </c>
      <c r="O29" s="38" t="str">
        <f ca="1">IFERROR(__xludf.DUMMYFUNCTION("""COMPUTED_VALUE"""),"Good Stock")</f>
        <v>Good Stock</v>
      </c>
      <c r="P29" s="36" t="str">
        <f ca="1">IFERROR(__xludf.DUMMYFUNCTION("""COMPUTED_VALUE"""),"Low Cap")</f>
        <v>Low Cap</v>
      </c>
      <c r="Q29" s="26"/>
      <c r="R29" s="26"/>
      <c r="S29" s="26"/>
      <c r="T29" s="26"/>
      <c r="U29" s="26"/>
      <c r="V29" s="26"/>
      <c r="W29" s="26"/>
      <c r="X29" s="26"/>
      <c r="Y29" s="26"/>
      <c r="Z29" s="27"/>
      <c r="AA29" s="26"/>
      <c r="AB29" s="26"/>
    </row>
    <row r="30" spans="1:28" ht="24">
      <c r="A30" s="34" t="str">
        <f ca="1">IFERROR(__xludf.DUMMYFUNCTION("""COMPUTED_VALUE"""),"KPIT")</f>
        <v>KPIT</v>
      </c>
      <c r="B30" s="35">
        <f ca="1">IFERROR(__xludf.DUMMYFUNCTION("""COMPUTED_VALUE"""),18827.9516699)</f>
        <v>18827.951669900001</v>
      </c>
      <c r="C30" s="35">
        <f ca="1">IFERROR(__xludf.DUMMYFUNCTION("""COMPUTED_VALUE"""),696.3)</f>
        <v>696.3</v>
      </c>
      <c r="D30" s="35">
        <f ca="1">IFERROR(__xludf.DUMMYFUNCTION("""COMPUTED_VALUE"""),59.82)</f>
        <v>59.82</v>
      </c>
      <c r="E30" s="35">
        <f ca="1">IFERROR(__xludf.DUMMYFUNCTION("""COMPUTED_VALUE"""),764.25)</f>
        <v>764.25</v>
      </c>
      <c r="F30" s="35">
        <f ca="1">IFERROR(__xludf.DUMMYFUNCTION("""COMPUTED_VALUE"""),0.0889106967615309)</f>
        <v>8.8910696761530905E-2</v>
      </c>
      <c r="G30" s="35">
        <f ca="1">IFERROR(__xludf.DUMMYFUNCTION("""COMPUTED_VALUE"""),440)</f>
        <v>440</v>
      </c>
      <c r="H30" s="35">
        <f ca="1">IFERROR(__xludf.DUMMYFUNCTION("""COMPUTED_VALUE"""),0.582499999999999)</f>
        <v>0.58249999999999902</v>
      </c>
      <c r="I30" s="35">
        <f ca="1">IFERROR(__xludf.DUMMYFUNCTION("""COMPUTED_VALUE"""),692.45)</f>
        <v>692.45</v>
      </c>
      <c r="J30" s="36">
        <f ca="1">IFERROR(__xludf.DUMMYFUNCTION("""COMPUTED_VALUE"""),0.00555996822875284)</f>
        <v>5.5599682287528398E-3</v>
      </c>
      <c r="K30" s="36" t="str">
        <f ca="1">IFERROR(__xludf.DUMMYFUNCTION("""COMPUTED_VALUE"""),"IT")</f>
        <v>IT</v>
      </c>
      <c r="L30" s="36" t="str">
        <f ca="1">IFERROR(__xludf.DUMMYFUNCTION("""COMPUTED_VALUE"""),"BOM:542651")</f>
        <v>BOM:542651</v>
      </c>
      <c r="M30" s="36" t="str">
        <f ca="1">IFERROR(__xludf.DUMMYFUNCTION("""COMPUTED_VALUE"""),"No")</f>
        <v>No</v>
      </c>
      <c r="N30" s="36" t="str">
        <f ca="1">IFERROR(__xludf.DUMMYFUNCTION("""COMPUTED_VALUE"""),"No")</f>
        <v>No</v>
      </c>
      <c r="O30" s="38" t="str">
        <f ca="1">IFERROR(__xludf.DUMMYFUNCTION("""COMPUTED_VALUE"""),"Good Stock")</f>
        <v>Good Stock</v>
      </c>
      <c r="P30" s="36" t="str">
        <f ca="1">IFERROR(__xludf.DUMMYFUNCTION("""COMPUTED_VALUE"""),"Low Cap")</f>
        <v>Low Cap</v>
      </c>
      <c r="Q30" s="26"/>
      <c r="R30" s="26"/>
      <c r="S30" s="26"/>
      <c r="T30" s="26"/>
      <c r="U30" s="26"/>
      <c r="V30" s="26"/>
      <c r="W30" s="26"/>
      <c r="X30" s="26"/>
      <c r="Y30" s="26"/>
      <c r="Z30" s="27"/>
      <c r="AA30" s="26"/>
      <c r="AB30" s="26"/>
    </row>
    <row r="31" spans="1:28" ht="24">
      <c r="A31" s="34" t="str">
        <f ca="1">IFERROR(__xludf.DUMMYFUNCTION("""COMPUTED_VALUE"""),"Fine Organics")</f>
        <v>Fine Organics</v>
      </c>
      <c r="B31" s="35">
        <f ca="1">IFERROR(__xludf.DUMMYFUNCTION("""COMPUTED_VALUE"""),17277.2)</f>
        <v>17277.2</v>
      </c>
      <c r="C31" s="35">
        <f ca="1">IFERROR(__xludf.DUMMYFUNCTION("""COMPUTED_VALUE"""),5630)</f>
        <v>5630</v>
      </c>
      <c r="D31" s="35">
        <f ca="1">IFERROR(__xludf.DUMMYFUNCTION("""COMPUTED_VALUE"""),32.19)</f>
        <v>32.19</v>
      </c>
      <c r="E31" s="35">
        <f ca="1">IFERROR(__xludf.DUMMYFUNCTION("""COMPUTED_VALUE"""),7328.75)</f>
        <v>7328.75</v>
      </c>
      <c r="F31" s="35">
        <f ca="1">IFERROR(__xludf.DUMMYFUNCTION("""COMPUTED_VALUE"""),0.231792597646256)</f>
        <v>0.23179259764625601</v>
      </c>
      <c r="G31" s="35">
        <f ca="1">IFERROR(__xludf.DUMMYFUNCTION("""COMPUTED_VALUE"""),3457.1)</f>
        <v>3457.1</v>
      </c>
      <c r="H31" s="35">
        <f ca="1">IFERROR(__xludf.DUMMYFUNCTION("""COMPUTED_VALUE"""),0.628532585114691)</f>
        <v>0.62853258511469101</v>
      </c>
      <c r="I31" s="35">
        <f ca="1">IFERROR(__xludf.DUMMYFUNCTION("""COMPUTED_VALUE"""),5672.25)</f>
        <v>5672.25</v>
      </c>
      <c r="J31" s="36">
        <f ca="1">IFERROR(__xludf.DUMMYFUNCTION("""COMPUTED_VALUE"""),-0.00744854334699634)</f>
        <v>-7.4485433469963398E-3</v>
      </c>
      <c r="K31" s="36" t="str">
        <f ca="1">IFERROR(__xludf.DUMMYFUNCTION("""COMPUTED_VALUE"""),"Chemical")</f>
        <v>Chemical</v>
      </c>
      <c r="L31" s="36" t="str">
        <f ca="1">IFERROR(__xludf.DUMMYFUNCTION("""COMPUTED_VALUE"""),"FINEORG")</f>
        <v>FINEORG</v>
      </c>
      <c r="M31" s="36" t="str">
        <f ca="1">IFERROR(__xludf.DUMMYFUNCTION("""COMPUTED_VALUE"""),"No")</f>
        <v>No</v>
      </c>
      <c r="N31" s="36" t="str">
        <f ca="1">IFERROR(__xludf.DUMMYFUNCTION("""COMPUTED_VALUE"""),"No")</f>
        <v>No</v>
      </c>
      <c r="O31" s="38" t="str">
        <f ca="1">IFERROR(__xludf.DUMMYFUNCTION("""COMPUTED_VALUE"""),"Good Stock")</f>
        <v>Good Stock</v>
      </c>
      <c r="P31" s="36" t="str">
        <f ca="1">IFERROR(__xludf.DUMMYFUNCTION("""COMPUTED_VALUE"""),"Low Cap")</f>
        <v>Low Cap</v>
      </c>
      <c r="Q31" s="26"/>
      <c r="R31" s="26"/>
      <c r="S31" s="26"/>
      <c r="T31" s="26"/>
      <c r="U31" s="26"/>
      <c r="V31" s="26"/>
      <c r="W31" s="26"/>
      <c r="X31" s="26"/>
      <c r="Y31" s="26"/>
      <c r="Z31" s="27"/>
      <c r="AA31" s="26"/>
      <c r="AB31" s="26"/>
    </row>
    <row r="32" spans="1:28" ht="24">
      <c r="A32" s="34" t="str">
        <f ca="1">IFERROR(__xludf.DUMMYFUNCTION("""COMPUTED_VALUE"""),"Exide Battery")</f>
        <v>Exide Battery</v>
      </c>
      <c r="B32" s="35">
        <f ca="1">IFERROR(__xludf.DUMMYFUNCTION("""COMPUTED_VALUE"""),15554.9906858)</f>
        <v>15554.990685799999</v>
      </c>
      <c r="C32" s="35">
        <f ca="1">IFERROR(__xludf.DUMMYFUNCTION("""COMPUTED_VALUE"""),182.85)</f>
        <v>182.85</v>
      </c>
      <c r="D32" s="35">
        <f ca="1">IFERROR(__xludf.DUMMYFUNCTION("""COMPUTED_VALUE"""),3.39)</f>
        <v>3.39</v>
      </c>
      <c r="E32" s="35">
        <f ca="1">IFERROR(__xludf.DUMMYFUNCTION("""COMPUTED_VALUE"""),194.2)</f>
        <v>194.2</v>
      </c>
      <c r="F32" s="35">
        <f ca="1">IFERROR(__xludf.DUMMYFUNCTION("""COMPUTED_VALUE"""),0.0584449021627188)</f>
        <v>5.8444902162718797E-2</v>
      </c>
      <c r="G32" s="35">
        <f ca="1">IFERROR(__xludf.DUMMYFUNCTION("""COMPUTED_VALUE"""),130.25)</f>
        <v>130.25</v>
      </c>
      <c r="H32" s="35">
        <f ca="1">IFERROR(__xludf.DUMMYFUNCTION("""COMPUTED_VALUE"""),0.40383877159309)</f>
        <v>0.40383877159309001</v>
      </c>
      <c r="I32" s="35">
        <f ca="1">IFERROR(__xludf.DUMMYFUNCTION("""COMPUTED_VALUE"""),182.65)</f>
        <v>182.65</v>
      </c>
      <c r="J32" s="36">
        <f ca="1">IFERROR(__xludf.DUMMYFUNCTION("""COMPUTED_VALUE"""),0.00109499041883377)</f>
        <v>1.0949904188337701E-3</v>
      </c>
      <c r="K32" s="36" t="str">
        <f ca="1">IFERROR(__xludf.DUMMYFUNCTION("""COMPUTED_VALUE"""),"Automobile Ancilliary")</f>
        <v>Automobile Ancilliary</v>
      </c>
      <c r="L32" s="36" t="str">
        <f ca="1">IFERROR(__xludf.DUMMYFUNCTION("""COMPUTED_VALUE"""),"EXIDEIND")</f>
        <v>EXIDEIND</v>
      </c>
      <c r="M32" s="36" t="str">
        <f ca="1">IFERROR(__xludf.DUMMYFUNCTION("""COMPUTED_VALUE"""),"No")</f>
        <v>No</v>
      </c>
      <c r="N32" s="36" t="str">
        <f ca="1">IFERROR(__xludf.DUMMYFUNCTION("""COMPUTED_VALUE"""),"No")</f>
        <v>No</v>
      </c>
      <c r="O32" s="38" t="str">
        <f ca="1">IFERROR(__xludf.DUMMYFUNCTION("""COMPUTED_VALUE"""),"Good Stock")</f>
        <v>Good Stock</v>
      </c>
      <c r="P32" s="36" t="str">
        <f ca="1">IFERROR(__xludf.DUMMYFUNCTION("""COMPUTED_VALUE"""),"Low Cap")</f>
        <v>Low Cap</v>
      </c>
      <c r="Q32" s="26"/>
      <c r="R32" s="26"/>
      <c r="S32" s="26"/>
      <c r="T32" s="26"/>
      <c r="U32" s="26"/>
      <c r="V32" s="26"/>
      <c r="W32" s="26"/>
      <c r="X32" s="26"/>
      <c r="Y32" s="26"/>
      <c r="Z32" s="27"/>
      <c r="AA32" s="26"/>
      <c r="AB32" s="26"/>
    </row>
    <row r="33" spans="1:28" ht="24">
      <c r="A33" s="34" t="str">
        <f ca="1">IFERROR(__xludf.DUMMYFUNCTION("""COMPUTED_VALUE"""),"KEI Industries")</f>
        <v>KEI Industries</v>
      </c>
      <c r="B33" s="35">
        <f ca="1">IFERROR(__xludf.DUMMYFUNCTION("""COMPUTED_VALUE"""),12966.0743501)</f>
        <v>12966.0743501</v>
      </c>
      <c r="C33" s="35">
        <f ca="1">IFERROR(__xludf.DUMMYFUNCTION("""COMPUTED_VALUE"""),1436.05)</f>
        <v>1436.05</v>
      </c>
      <c r="D33" s="35">
        <f ca="1">IFERROR(__xludf.DUMMYFUNCTION("""COMPUTED_VALUE"""),30.59)</f>
        <v>30.59</v>
      </c>
      <c r="E33" s="35">
        <f ca="1">IFERROR(__xludf.DUMMYFUNCTION("""COMPUTED_VALUE"""),1662.45)</f>
        <v>1662.45</v>
      </c>
      <c r="F33" s="35">
        <f ca="1">IFERROR(__xludf.DUMMYFUNCTION("""COMPUTED_VALUE"""),0.136184546903666)</f>
        <v>0.13618454690366599</v>
      </c>
      <c r="G33" s="35">
        <f ca="1">IFERROR(__xludf.DUMMYFUNCTION("""COMPUTED_VALUE"""),905.2)</f>
        <v>905.2</v>
      </c>
      <c r="H33" s="35">
        <f ca="1">IFERROR(__xludf.DUMMYFUNCTION("""COMPUTED_VALUE"""),0.586444984533804)</f>
        <v>0.586444984533804</v>
      </c>
      <c r="I33" s="35">
        <f ca="1">IFERROR(__xludf.DUMMYFUNCTION("""COMPUTED_VALUE"""),1435.2)</f>
        <v>1435.2</v>
      </c>
      <c r="J33" s="36">
        <f ca="1">IFERROR(__xludf.DUMMYFUNCTION("""COMPUTED_VALUE"""),0.000592251950947539)</f>
        <v>5.9225195094753905E-4</v>
      </c>
      <c r="K33" s="36" t="str">
        <f ca="1">IFERROR(__xludf.DUMMYFUNCTION("""COMPUTED_VALUE"""),"Consumer Electrical")</f>
        <v>Consumer Electrical</v>
      </c>
      <c r="L33" s="36" t="str">
        <f ca="1">IFERROR(__xludf.DUMMYFUNCTION("""COMPUTED_VALUE"""),"BOM:517569")</f>
        <v>BOM:517569</v>
      </c>
      <c r="M33" s="36" t="str">
        <f ca="1">IFERROR(__xludf.DUMMYFUNCTION("""COMPUTED_VALUE"""),"No")</f>
        <v>No</v>
      </c>
      <c r="N33" s="36" t="str">
        <f ca="1">IFERROR(__xludf.DUMMYFUNCTION("""COMPUTED_VALUE"""),"No")</f>
        <v>No</v>
      </c>
      <c r="O33" s="38" t="str">
        <f ca="1">IFERROR(__xludf.DUMMYFUNCTION("""COMPUTED_VALUE"""),"Good Stock")</f>
        <v>Good Stock</v>
      </c>
      <c r="P33" s="36" t="str">
        <f ca="1">IFERROR(__xludf.DUMMYFUNCTION("""COMPUTED_VALUE"""),"Low Cap")</f>
        <v>Low Cap</v>
      </c>
      <c r="Q33" s="26"/>
      <c r="R33" s="26"/>
      <c r="S33" s="26"/>
      <c r="T33" s="26"/>
      <c r="U33" s="26"/>
      <c r="V33" s="26"/>
      <c r="W33" s="26"/>
      <c r="X33" s="26"/>
      <c r="Y33" s="26"/>
      <c r="Z33" s="27"/>
      <c r="AA33" s="26"/>
      <c r="AB33" s="26"/>
    </row>
    <row r="34" spans="1:28" ht="24">
      <c r="A34" s="34" t="str">
        <f ca="1">IFERROR(__xludf.DUMMYFUNCTION("""COMPUTED_VALUE"""),"Finolex Industries")</f>
        <v>Finolex Industries</v>
      </c>
      <c r="B34" s="35">
        <f ca="1">IFERROR(__xludf.DUMMYFUNCTION("""COMPUTED_VALUE"""),10644.74)</f>
        <v>10644.74</v>
      </c>
      <c r="C34" s="35">
        <f ca="1">IFERROR(__xludf.DUMMYFUNCTION("""COMPUTED_VALUE"""),173)</f>
        <v>173</v>
      </c>
      <c r="D34" s="35">
        <f ca="1">IFERROR(__xludf.DUMMYFUNCTION("""COMPUTED_VALUE"""),15.85)</f>
        <v>15.85</v>
      </c>
      <c r="E34" s="35">
        <f ca="1">IFERROR(__xludf.DUMMYFUNCTION("""COMPUTED_VALUE"""),204.5)</f>
        <v>204.5</v>
      </c>
      <c r="F34" s="35">
        <f ca="1">IFERROR(__xludf.DUMMYFUNCTION("""COMPUTED_VALUE"""),0.15403422982885)</f>
        <v>0.15403422982885001</v>
      </c>
      <c r="G34" s="35">
        <f ca="1">IFERROR(__xludf.DUMMYFUNCTION("""COMPUTED_VALUE"""),128)</f>
        <v>128</v>
      </c>
      <c r="H34" s="35">
        <f ca="1">IFERROR(__xludf.DUMMYFUNCTION("""COMPUTED_VALUE"""),0.3515625)</f>
        <v>0.3515625</v>
      </c>
      <c r="I34" s="35">
        <f ca="1">IFERROR(__xludf.DUMMYFUNCTION("""COMPUTED_VALUE"""),170.9)</f>
        <v>170.9</v>
      </c>
      <c r="J34" s="36">
        <f ca="1">IFERROR(__xludf.DUMMYFUNCTION("""COMPUTED_VALUE"""),0.0122878876535985)</f>
        <v>1.2287887653598501E-2</v>
      </c>
      <c r="K34" s="36" t="str">
        <f ca="1">IFERROR(__xludf.DUMMYFUNCTION("""COMPUTED_VALUE"""),"Piping")</f>
        <v>Piping</v>
      </c>
      <c r="L34" s="36" t="str">
        <f ca="1">IFERROR(__xludf.DUMMYFUNCTION("""COMPUTED_VALUE"""),"BOM:500940")</f>
        <v>BOM:500940</v>
      </c>
      <c r="M34" s="36" t="str">
        <f ca="1">IFERROR(__xludf.DUMMYFUNCTION("""COMPUTED_VALUE"""),"No")</f>
        <v>No</v>
      </c>
      <c r="N34" s="36" t="str">
        <f ca="1">IFERROR(__xludf.DUMMYFUNCTION("""COMPUTED_VALUE"""),"No")</f>
        <v>No</v>
      </c>
      <c r="O34" s="38" t="str">
        <f ca="1">IFERROR(__xludf.DUMMYFUNCTION("""COMPUTED_VALUE"""),"Good Stock")</f>
        <v>Good Stock</v>
      </c>
      <c r="P34" s="36" t="str">
        <f ca="1">IFERROR(__xludf.DUMMYFUNCTION("""COMPUTED_VALUE"""),"Low Cap")</f>
        <v>Low Cap</v>
      </c>
      <c r="Q34" s="26"/>
      <c r="R34" s="26"/>
      <c r="S34" s="26"/>
      <c r="T34" s="26"/>
      <c r="U34" s="26"/>
      <c r="V34" s="26"/>
      <c r="W34" s="26"/>
      <c r="X34" s="26"/>
      <c r="Y34" s="26"/>
      <c r="Z34" s="27"/>
      <c r="AA34" s="26"/>
      <c r="AB34" s="26"/>
    </row>
    <row r="35" spans="1:28" ht="24">
      <c r="A35" s="34" t="str">
        <f ca="1">IFERROR(__xludf.DUMMYFUNCTION("""COMPUTED_VALUE"""),"UTI AMC")</f>
        <v>UTI AMC</v>
      </c>
      <c r="B35" s="35">
        <f ca="1">IFERROR(__xludf.DUMMYFUNCTION("""COMPUTED_VALUE"""),10284.2865)</f>
        <v>10284.2865</v>
      </c>
      <c r="C35" s="35">
        <f ca="1">IFERROR(__xludf.DUMMYFUNCTION("""COMPUTED_VALUE"""),807.2)</f>
        <v>807.2</v>
      </c>
      <c r="D35" s="35">
        <f ca="1">IFERROR(__xludf.DUMMYFUNCTION("""COMPUTED_VALUE"""),21.59)</f>
        <v>21.59</v>
      </c>
      <c r="E35" s="35">
        <f ca="1">IFERROR(__xludf.DUMMYFUNCTION("""COMPUTED_VALUE"""),1096.05)</f>
        <v>1096.05</v>
      </c>
      <c r="F35" s="35">
        <f ca="1">IFERROR(__xludf.DUMMYFUNCTION("""COMPUTED_VALUE"""),0.263537247388349)</f>
        <v>0.26353724738834899</v>
      </c>
      <c r="G35" s="35">
        <f ca="1">IFERROR(__xludf.DUMMYFUNCTION("""COMPUTED_VALUE"""),595)</f>
        <v>595</v>
      </c>
      <c r="H35" s="35">
        <f ca="1">IFERROR(__xludf.DUMMYFUNCTION("""COMPUTED_VALUE"""),0.356638655462184)</f>
        <v>0.35663865546218398</v>
      </c>
      <c r="I35" s="35">
        <f ca="1">IFERROR(__xludf.DUMMYFUNCTION("""COMPUTED_VALUE"""),812.9)</f>
        <v>812.9</v>
      </c>
      <c r="J35" s="36">
        <f ca="1">IFERROR(__xludf.DUMMYFUNCTION("""COMPUTED_VALUE"""),-0.00701193258703399)</f>
        <v>-7.0119325870339902E-3</v>
      </c>
      <c r="K35" s="36" t="str">
        <f ca="1">IFERROR(__xludf.DUMMYFUNCTION("""COMPUTED_VALUE"""),"AMC")</f>
        <v>AMC</v>
      </c>
      <c r="L35" s="36" t="str">
        <f ca="1">IFERROR(__xludf.DUMMYFUNCTION("""COMPUTED_VALUE"""),"BOM:543238")</f>
        <v>BOM:543238</v>
      </c>
      <c r="M35" s="36" t="str">
        <f ca="1">IFERROR(__xludf.DUMMYFUNCTION("""COMPUTED_VALUE"""),"No")</f>
        <v>No</v>
      </c>
      <c r="N35" s="36" t="str">
        <f ca="1">IFERROR(__xludf.DUMMYFUNCTION("""COMPUTED_VALUE"""),"No")</f>
        <v>No</v>
      </c>
      <c r="O35" s="38" t="str">
        <f ca="1">IFERROR(__xludf.DUMMYFUNCTION("""COMPUTED_VALUE"""),"Good Stock")</f>
        <v>Good Stock</v>
      </c>
      <c r="P35" s="36" t="str">
        <f ca="1">IFERROR(__xludf.DUMMYFUNCTION("""COMPUTED_VALUE"""),"Low Cap")</f>
        <v>Low Cap</v>
      </c>
      <c r="Q35" s="26"/>
      <c r="R35" s="26"/>
      <c r="S35" s="26"/>
      <c r="T35" s="26"/>
      <c r="U35" s="26"/>
      <c r="V35" s="26"/>
      <c r="W35" s="26"/>
      <c r="X35" s="26"/>
      <c r="Y35" s="26"/>
      <c r="Z35" s="27"/>
      <c r="AA35" s="26"/>
      <c r="AB35" s="26"/>
    </row>
    <row r="36" spans="1:28" ht="24">
      <c r="A36" s="34" t="str">
        <f ca="1">IFERROR(__xludf.DUMMYFUNCTION("""COMPUTED_VALUE"""),"HFCL")</f>
        <v>HFCL</v>
      </c>
      <c r="B36" s="35">
        <f ca="1">IFERROR(__xludf.DUMMYFUNCTION("""COMPUTED_VALUE"""),10126.79307)</f>
        <v>10126.79307</v>
      </c>
      <c r="C36" s="35">
        <f ca="1">IFERROR(__xludf.DUMMYFUNCTION("""COMPUTED_VALUE"""),73.6)</f>
        <v>73.599999999999994</v>
      </c>
      <c r="D36" s="35">
        <f ca="1">IFERROR(__xludf.DUMMYFUNCTION("""COMPUTED_VALUE"""),36.15)</f>
        <v>36.15</v>
      </c>
      <c r="E36" s="35">
        <f ca="1">IFERROR(__xludf.DUMMYFUNCTION("""COMPUTED_VALUE"""),101.35)</f>
        <v>101.35</v>
      </c>
      <c r="F36" s="35">
        <f ca="1">IFERROR(__xludf.DUMMYFUNCTION("""COMPUTED_VALUE"""),0.273803650715342)</f>
        <v>0.27380365071534202</v>
      </c>
      <c r="G36" s="35">
        <f ca="1">IFERROR(__xludf.DUMMYFUNCTION("""COMPUTED_VALUE"""),51.55)</f>
        <v>51.55</v>
      </c>
      <c r="H36" s="35">
        <f ca="1">IFERROR(__xludf.DUMMYFUNCTION("""COMPUTED_VALUE"""),0.427740058195926)</f>
        <v>0.42774005819592598</v>
      </c>
      <c r="I36" s="35">
        <f ca="1">IFERROR(__xludf.DUMMYFUNCTION("""COMPUTED_VALUE"""),72.4)</f>
        <v>72.400000000000006</v>
      </c>
      <c r="J36" s="36">
        <f ca="1">IFERROR(__xludf.DUMMYFUNCTION("""COMPUTED_VALUE"""),0.0165745856353589)</f>
        <v>1.65745856353589E-2</v>
      </c>
      <c r="K36" s="36" t="str">
        <f ca="1">IFERROR(__xludf.DUMMYFUNCTION("""COMPUTED_VALUE"""),"Telecom")</f>
        <v>Telecom</v>
      </c>
      <c r="L36" s="36" t="str">
        <f ca="1">IFERROR(__xludf.DUMMYFUNCTION("""COMPUTED_VALUE"""),"BOM:500183")</f>
        <v>BOM:500183</v>
      </c>
      <c r="M36" s="36" t="str">
        <f ca="1">IFERROR(__xludf.DUMMYFUNCTION("""COMPUTED_VALUE"""),"No")</f>
        <v>No</v>
      </c>
      <c r="N36" s="36" t="str">
        <f ca="1">IFERROR(__xludf.DUMMYFUNCTION("""COMPUTED_VALUE"""),"No")</f>
        <v>No</v>
      </c>
      <c r="O36" s="38" t="str">
        <f ca="1">IFERROR(__xludf.DUMMYFUNCTION("""COMPUTED_VALUE"""),"Good Stock")</f>
        <v>Good Stock</v>
      </c>
      <c r="P36" s="36" t="str">
        <f ca="1">IFERROR(__xludf.DUMMYFUNCTION("""COMPUTED_VALUE"""),"Low Cap")</f>
        <v>Low Cap</v>
      </c>
      <c r="Q36" s="26"/>
      <c r="R36" s="26"/>
      <c r="S36" s="26"/>
      <c r="T36" s="26"/>
      <c r="U36" s="26"/>
      <c r="V36" s="26"/>
      <c r="W36" s="26"/>
      <c r="X36" s="26"/>
      <c r="Y36" s="26"/>
      <c r="Z36" s="27"/>
      <c r="AA36" s="26"/>
      <c r="AB36" s="26"/>
    </row>
    <row r="37" spans="1:28" ht="24">
      <c r="A37" s="34" t="str">
        <f ca="1">IFERROR(__xludf.DUMMYFUNCTION("""COMPUTED_VALUE"""),"Amara Raja Batter")</f>
        <v>Amara Raja Batter</v>
      </c>
      <c r="B37" s="35">
        <f ca="1">IFERROR(__xludf.DUMMYFUNCTION("""COMPUTED_VALUE"""),9847.33486)</f>
        <v>9847.3348600000008</v>
      </c>
      <c r="C37" s="35">
        <f ca="1">IFERROR(__xludf.DUMMYFUNCTION("""COMPUTED_VALUE"""),576.5)</f>
        <v>576.5</v>
      </c>
      <c r="D37" s="35">
        <f ca="1">IFERROR(__xludf.DUMMYFUNCTION("""COMPUTED_VALUE"""),17.05)</f>
        <v>17.05</v>
      </c>
      <c r="E37" s="35">
        <f ca="1">IFERROR(__xludf.DUMMYFUNCTION("""COMPUTED_VALUE"""),668.15)</f>
        <v>668.15</v>
      </c>
      <c r="F37" s="35">
        <f ca="1">IFERROR(__xludf.DUMMYFUNCTION("""COMPUTED_VALUE"""),0.137169797201227)</f>
        <v>0.13716979720122699</v>
      </c>
      <c r="G37" s="35">
        <f ca="1">IFERROR(__xludf.DUMMYFUNCTION("""COMPUTED_VALUE"""),438.05)</f>
        <v>438.05</v>
      </c>
      <c r="H37" s="35">
        <f ca="1">IFERROR(__xludf.DUMMYFUNCTION("""COMPUTED_VALUE"""),0.316059810523912)</f>
        <v>0.31605981052391202</v>
      </c>
      <c r="I37" s="35">
        <f ca="1">IFERROR(__xludf.DUMMYFUNCTION("""COMPUTED_VALUE"""),590.95)</f>
        <v>590.95000000000005</v>
      </c>
      <c r="J37" s="36">
        <f ca="1">IFERROR(__xludf.DUMMYFUNCTION("""COMPUTED_VALUE"""),-0.024452153312463)</f>
        <v>-2.4452153312463001E-2</v>
      </c>
      <c r="K37" s="36" t="str">
        <f ca="1">IFERROR(__xludf.DUMMYFUNCTION("""COMPUTED_VALUE"""),"Automobile Ancilliary")</f>
        <v>Automobile Ancilliary</v>
      </c>
      <c r="L37" s="36" t="str">
        <f ca="1">IFERROR(__xludf.DUMMYFUNCTION("""COMPUTED_VALUE"""),"AMARAJABAT")</f>
        <v>AMARAJABAT</v>
      </c>
      <c r="M37" s="36" t="str">
        <f ca="1">IFERROR(__xludf.DUMMYFUNCTION("""COMPUTED_VALUE"""),"No")</f>
        <v>No</v>
      </c>
      <c r="N37" s="36" t="str">
        <f ca="1">IFERROR(__xludf.DUMMYFUNCTION("""COMPUTED_VALUE"""),"No")</f>
        <v>No</v>
      </c>
      <c r="O37" s="38" t="str">
        <f ca="1">IFERROR(__xludf.DUMMYFUNCTION("""COMPUTED_VALUE"""),"Good Stock")</f>
        <v>Good Stock</v>
      </c>
      <c r="P37" s="36" t="str">
        <f ca="1">IFERROR(__xludf.DUMMYFUNCTION("""COMPUTED_VALUE"""),"Low Cap")</f>
        <v>Low Cap</v>
      </c>
      <c r="Q37" s="26"/>
      <c r="R37" s="26"/>
      <c r="S37" s="26"/>
      <c r="T37" s="26"/>
      <c r="U37" s="26"/>
      <c r="V37" s="26"/>
      <c r="W37" s="26"/>
      <c r="X37" s="26"/>
      <c r="Y37" s="26"/>
      <c r="Z37" s="27"/>
      <c r="AA37" s="26"/>
      <c r="AB37" s="26"/>
    </row>
    <row r="38" spans="1:28" ht="24">
      <c r="A38" s="34" t="str">
        <f ca="1">IFERROR(__xludf.DUMMYFUNCTION("""COMPUTED_VALUE"""),"Poly Medicure Ltd")</f>
        <v>Poly Medicure Ltd</v>
      </c>
      <c r="B38" s="35">
        <f ca="1">IFERROR(__xludf.DUMMYFUNCTION("""COMPUTED_VALUE"""),8584.669055)</f>
        <v>8584.6690550000003</v>
      </c>
      <c r="C38" s="35">
        <f ca="1">IFERROR(__xludf.DUMMYFUNCTION("""COMPUTED_VALUE"""),891.5)</f>
        <v>891.5</v>
      </c>
      <c r="D38" s="35">
        <f ca="1">IFERROR(__xludf.DUMMYFUNCTION("""COMPUTED_VALUE"""),61.12)</f>
        <v>61.12</v>
      </c>
      <c r="E38" s="35">
        <f ca="1">IFERROR(__xludf.DUMMYFUNCTION("""COMPUTED_VALUE"""),1044.4)</f>
        <v>1044.4000000000001</v>
      </c>
      <c r="F38" s="35">
        <f ca="1">IFERROR(__xludf.DUMMYFUNCTION("""COMPUTED_VALUE"""),0.146399846801991)</f>
        <v>0.146399846801991</v>
      </c>
      <c r="G38" s="35">
        <f ca="1">IFERROR(__xludf.DUMMYFUNCTION("""COMPUTED_VALUE"""),652.3)</f>
        <v>652.29999999999995</v>
      </c>
      <c r="H38" s="35">
        <f ca="1">IFERROR(__xludf.DUMMYFUNCTION("""COMPUTED_VALUE"""),0.366702437528744)</f>
        <v>0.36670243752874399</v>
      </c>
      <c r="I38" s="35">
        <f ca="1">IFERROR(__xludf.DUMMYFUNCTION("""COMPUTED_VALUE"""),897.9)</f>
        <v>897.9</v>
      </c>
      <c r="J38" s="36">
        <f ca="1">IFERROR(__xludf.DUMMYFUNCTION("""COMPUTED_VALUE"""),-0.00712774251030179)</f>
        <v>-7.1277425103017898E-3</v>
      </c>
      <c r="K38" s="36" t="str">
        <f ca="1">IFERROR(__xludf.DUMMYFUNCTION("""COMPUTED_VALUE"""),"Healthcare")</f>
        <v>Healthcare</v>
      </c>
      <c r="L38" s="36" t="str">
        <f ca="1">IFERROR(__xludf.DUMMYFUNCTION("""COMPUTED_VALUE"""),"BOM:531768")</f>
        <v>BOM:531768</v>
      </c>
      <c r="M38" s="36" t="str">
        <f ca="1">IFERROR(__xludf.DUMMYFUNCTION("""COMPUTED_VALUE"""),"No")</f>
        <v>No</v>
      </c>
      <c r="N38" s="36" t="str">
        <f ca="1">IFERROR(__xludf.DUMMYFUNCTION("""COMPUTED_VALUE"""),"No")</f>
        <v>No</v>
      </c>
      <c r="O38" s="38" t="str">
        <f ca="1">IFERROR(__xludf.DUMMYFUNCTION("""COMPUTED_VALUE"""),"Good Stock")</f>
        <v>Good Stock</v>
      </c>
      <c r="P38" s="36" t="str">
        <f ca="1">IFERROR(__xludf.DUMMYFUNCTION("""COMPUTED_VALUE"""),"Low Cap")</f>
        <v>Low Cap</v>
      </c>
      <c r="Q38" s="26"/>
      <c r="R38" s="26"/>
      <c r="S38" s="26"/>
      <c r="T38" s="26"/>
      <c r="U38" s="26"/>
      <c r="V38" s="26"/>
      <c r="W38" s="26"/>
      <c r="X38" s="26"/>
      <c r="Y38" s="26"/>
      <c r="Z38" s="27"/>
      <c r="AA38" s="26"/>
      <c r="AB38" s="26"/>
    </row>
    <row r="39" spans="1:28" ht="24">
      <c r="A39" s="34" t="str">
        <f ca="1">IFERROR(__xludf.DUMMYFUNCTION("""COMPUTED_VALUE"""),"Finolex Cable")</f>
        <v>Finolex Cable</v>
      </c>
      <c r="B39" s="35">
        <f ca="1">IFERROR(__xludf.DUMMYFUNCTION("""COMPUTED_VALUE"""),8463.6612353)</f>
        <v>8463.6612353</v>
      </c>
      <c r="C39" s="35">
        <f ca="1">IFERROR(__xludf.DUMMYFUNCTION("""COMPUTED_VALUE"""),553.4)</f>
        <v>553.4</v>
      </c>
      <c r="D39" s="35">
        <f ca="1">IFERROR(__xludf.DUMMYFUNCTION("""COMPUTED_VALUE"""),15.6)</f>
        <v>15.6</v>
      </c>
      <c r="E39" s="35">
        <f ca="1">IFERROR(__xludf.DUMMYFUNCTION("""COMPUTED_VALUE"""),593.9)</f>
        <v>593.9</v>
      </c>
      <c r="F39" s="35">
        <f ca="1">IFERROR(__xludf.DUMMYFUNCTION("""COMPUTED_VALUE"""),0.0681932985351069)</f>
        <v>6.8193298535106903E-2</v>
      </c>
      <c r="G39" s="35">
        <f ca="1">IFERROR(__xludf.DUMMYFUNCTION("""COMPUTED_VALUE"""),343.5)</f>
        <v>343.5</v>
      </c>
      <c r="H39" s="35">
        <f ca="1">IFERROR(__xludf.DUMMYFUNCTION("""COMPUTED_VALUE"""),0.611062590975254)</f>
        <v>0.61106259097525395</v>
      </c>
      <c r="I39" s="35">
        <f ca="1">IFERROR(__xludf.DUMMYFUNCTION("""COMPUTED_VALUE"""),539.85)</f>
        <v>539.85</v>
      </c>
      <c r="J39" s="36">
        <f ca="1">IFERROR(__xludf.DUMMYFUNCTION("""COMPUTED_VALUE"""),0.0250995646938963)</f>
        <v>2.5099564693896299E-2</v>
      </c>
      <c r="K39" s="36" t="str">
        <f ca="1">IFERROR(__xludf.DUMMYFUNCTION("""COMPUTED_VALUE"""),"Consumer Electrical")</f>
        <v>Consumer Electrical</v>
      </c>
      <c r="L39" s="36" t="str">
        <f ca="1">IFERROR(__xludf.DUMMYFUNCTION("""COMPUTED_VALUE"""),"FINCABLES")</f>
        <v>FINCABLES</v>
      </c>
      <c r="M39" s="36" t="str">
        <f ca="1">IFERROR(__xludf.DUMMYFUNCTION("""COMPUTED_VALUE"""),"No")</f>
        <v>No</v>
      </c>
      <c r="N39" s="36" t="str">
        <f ca="1">IFERROR(__xludf.DUMMYFUNCTION("""COMPUTED_VALUE"""),"No")</f>
        <v>No</v>
      </c>
      <c r="O39" s="38" t="str">
        <f ca="1">IFERROR(__xludf.DUMMYFUNCTION("""COMPUTED_VALUE"""),"Good Stock")</f>
        <v>Good Stock</v>
      </c>
      <c r="P39" s="36" t="str">
        <f ca="1">IFERROR(__xludf.DUMMYFUNCTION("""COMPUTED_VALUE"""),"Low Cap")</f>
        <v>Low Cap</v>
      </c>
      <c r="Q39" s="26"/>
      <c r="R39" s="26"/>
      <c r="S39" s="26"/>
      <c r="T39" s="26"/>
      <c r="U39" s="26"/>
      <c r="V39" s="26"/>
      <c r="W39" s="26"/>
      <c r="X39" s="26"/>
      <c r="Y39" s="26"/>
      <c r="Z39" s="27"/>
      <c r="AA39" s="26"/>
      <c r="AB39" s="26"/>
    </row>
    <row r="40" spans="1:28" ht="24">
      <c r="A40" s="34" t="str">
        <f ca="1">IFERROR(__xludf.DUMMYFUNCTION("""COMPUTED_VALUE"""),"Granules India")</f>
        <v>Granules India</v>
      </c>
      <c r="B40" s="35">
        <f ca="1">IFERROR(__xludf.DUMMYFUNCTION("""COMPUTED_VALUE"""),7705.431)</f>
        <v>7705.4309999999996</v>
      </c>
      <c r="C40" s="35">
        <f ca="1">IFERROR(__xludf.DUMMYFUNCTION("""COMPUTED_VALUE"""),318.6)</f>
        <v>318.60000000000002</v>
      </c>
      <c r="D40" s="35">
        <f ca="1">IFERROR(__xludf.DUMMYFUNCTION("""COMPUTED_VALUE"""),16.36)</f>
        <v>16.36</v>
      </c>
      <c r="E40" s="35">
        <f ca="1">IFERROR(__xludf.DUMMYFUNCTION("""COMPUTED_VALUE"""),381.25)</f>
        <v>381.25</v>
      </c>
      <c r="F40" s="35">
        <f ca="1">IFERROR(__xludf.DUMMYFUNCTION("""COMPUTED_VALUE"""),0.164327868852458)</f>
        <v>0.16432786885245801</v>
      </c>
      <c r="G40" s="35">
        <f ca="1">IFERROR(__xludf.DUMMYFUNCTION("""COMPUTED_VALUE"""),227)</f>
        <v>227</v>
      </c>
      <c r="H40" s="35">
        <f ca="1">IFERROR(__xludf.DUMMYFUNCTION("""COMPUTED_VALUE"""),0.40352422907489)</f>
        <v>0.40352422907489</v>
      </c>
      <c r="I40" s="35">
        <f ca="1">IFERROR(__xludf.DUMMYFUNCTION("""COMPUTED_VALUE"""),318.15)</f>
        <v>318.14999999999998</v>
      </c>
      <c r="J40" s="36">
        <f ca="1">IFERROR(__xludf.DUMMYFUNCTION("""COMPUTED_VALUE"""),0.00141442715700155)</f>
        <v>1.41442715700155E-3</v>
      </c>
      <c r="K40" s="36" t="str">
        <f ca="1">IFERROR(__xludf.DUMMYFUNCTION("""COMPUTED_VALUE"""),"Pharma")</f>
        <v>Pharma</v>
      </c>
      <c r="L40" s="36" t="str">
        <f ca="1">IFERROR(__xludf.DUMMYFUNCTION("""COMPUTED_VALUE"""),"BOM:532482")</f>
        <v>BOM:532482</v>
      </c>
      <c r="M40" s="36" t="str">
        <f ca="1">IFERROR(__xludf.DUMMYFUNCTION("""COMPUTED_VALUE"""),"No")</f>
        <v>No</v>
      </c>
      <c r="N40" s="36" t="str">
        <f ca="1">IFERROR(__xludf.DUMMYFUNCTION("""COMPUTED_VALUE"""),"No")</f>
        <v>No</v>
      </c>
      <c r="O40" s="38" t="str">
        <f ca="1">IFERROR(__xludf.DUMMYFUNCTION("""COMPUTED_VALUE"""),"Good Stock")</f>
        <v>Good Stock</v>
      </c>
      <c r="P40" s="36" t="str">
        <f ca="1">IFERROR(__xludf.DUMMYFUNCTION("""COMPUTED_VALUE"""),"Low Cap")</f>
        <v>Low Cap</v>
      </c>
      <c r="Q40" s="26"/>
      <c r="R40" s="26"/>
      <c r="S40" s="26"/>
      <c r="T40" s="26"/>
      <c r="U40" s="26"/>
      <c r="V40" s="26"/>
      <c r="W40" s="26"/>
      <c r="X40" s="26"/>
      <c r="Y40" s="26"/>
      <c r="Z40" s="27"/>
      <c r="AA40" s="26"/>
      <c r="AB40" s="26"/>
    </row>
    <row r="41" spans="1:28" ht="24">
      <c r="A41" s="34" t="str">
        <f ca="1">IFERROR(__xludf.DUMMYFUNCTION("""COMPUTED_VALUE"""),"ICICI Bank")</f>
        <v>ICICI Bank</v>
      </c>
      <c r="B41" s="35">
        <f ca="1">IFERROR(__xludf.DUMMYFUNCTION("""COMPUTED_VALUE"""),7451.4657292)</f>
        <v>7451.4657292000002</v>
      </c>
      <c r="C41" s="35">
        <f ca="1">IFERROR(__xludf.DUMMYFUNCTION("""COMPUTED_VALUE"""),873.25)</f>
        <v>873.25</v>
      </c>
      <c r="D41" s="35">
        <f ca="1">IFERROR(__xludf.DUMMYFUNCTION("""COMPUTED_VALUE"""),20.88)</f>
        <v>20.88</v>
      </c>
      <c r="E41" s="35">
        <f ca="1">IFERROR(__xludf.DUMMYFUNCTION("""COMPUTED_VALUE"""),958)</f>
        <v>958</v>
      </c>
      <c r="F41" s="35">
        <f ca="1">IFERROR(__xludf.DUMMYFUNCTION("""COMPUTED_VALUE"""),0.0884655532359081)</f>
        <v>8.8465553235908101E-2</v>
      </c>
      <c r="G41" s="35">
        <f ca="1">IFERROR(__xludf.DUMMYFUNCTION("""COMPUTED_VALUE"""),642)</f>
        <v>642</v>
      </c>
      <c r="H41" s="35">
        <f ca="1">IFERROR(__xludf.DUMMYFUNCTION("""COMPUTED_VALUE"""),0.360202492211838)</f>
        <v>0.36020249221183798</v>
      </c>
      <c r="I41" s="35">
        <f ca="1">IFERROR(__xludf.DUMMYFUNCTION("""COMPUTED_VALUE"""),861.2)</f>
        <v>861.2</v>
      </c>
      <c r="J41" s="36">
        <f ca="1">IFERROR(__xludf.DUMMYFUNCTION("""COMPUTED_VALUE"""),0.0139921040408731)</f>
        <v>1.39921040408731E-2</v>
      </c>
      <c r="K41" s="36" t="str">
        <f ca="1">IFERROR(__xludf.DUMMYFUNCTION("""COMPUTED_VALUE"""),"Bank")</f>
        <v>Bank</v>
      </c>
      <c r="L41" s="36" t="str">
        <f ca="1">IFERROR(__xludf.DUMMYFUNCTION("""COMPUTED_VALUE"""),"BOM:532174")</f>
        <v>BOM:532174</v>
      </c>
      <c r="M41" s="36" t="str">
        <f ca="1">IFERROR(__xludf.DUMMYFUNCTION("""COMPUTED_VALUE"""),"No")</f>
        <v>No</v>
      </c>
      <c r="N41" s="36" t="str">
        <f ca="1">IFERROR(__xludf.DUMMYFUNCTION("""COMPUTED_VALUE"""),"No")</f>
        <v>No</v>
      </c>
      <c r="O41" s="38" t="str">
        <f ca="1">IFERROR(__xludf.DUMMYFUNCTION("""COMPUTED_VALUE"""),"Good Stock")</f>
        <v>Good Stock</v>
      </c>
      <c r="P41" s="36" t="str">
        <f ca="1">IFERROR(__xludf.DUMMYFUNCTION("""COMPUTED_VALUE"""),"Low Cap")</f>
        <v>Low Cap</v>
      </c>
      <c r="Q41" s="26"/>
      <c r="R41" s="26"/>
      <c r="S41" s="26"/>
      <c r="T41" s="26"/>
      <c r="U41" s="26"/>
      <c r="V41" s="26"/>
      <c r="W41" s="26"/>
      <c r="X41" s="26"/>
      <c r="Y41" s="26"/>
      <c r="Z41" s="27"/>
      <c r="AA41" s="26"/>
      <c r="AB41" s="26"/>
    </row>
    <row r="42" spans="1:28" ht="48">
      <c r="A42" s="34" t="str">
        <f ca="1">IFERROR(__xludf.DUMMYFUNCTION("""COMPUTED_VALUE"""),"craftsman automation")</f>
        <v>craftsman automation</v>
      </c>
      <c r="B42" s="35">
        <f ca="1">IFERROR(__xludf.DUMMYFUNCTION("""COMPUTED_VALUE"""),7324.341471)</f>
        <v>7324.3414709999997</v>
      </c>
      <c r="C42" s="35">
        <f ca="1">IFERROR(__xludf.DUMMYFUNCTION("""COMPUTED_VALUE"""),3465.1)</f>
        <v>3465.1</v>
      </c>
      <c r="D42" s="35">
        <f ca="1">IFERROR(__xludf.DUMMYFUNCTION("""COMPUTED_VALUE"""),35.75)</f>
        <v>35.75</v>
      </c>
      <c r="E42" s="35">
        <f ca="1">IFERROR(__xludf.DUMMYFUNCTION("""COMPUTED_VALUE"""),3709.95)</f>
        <v>3709.95</v>
      </c>
      <c r="F42" s="35">
        <f ca="1">IFERROR(__xludf.DUMMYFUNCTION("""COMPUTED_VALUE"""),0.0659981940457418)</f>
        <v>6.5998194045741795E-2</v>
      </c>
      <c r="G42" s="35">
        <f ca="1">IFERROR(__xludf.DUMMYFUNCTION("""COMPUTED_VALUE"""),1845)</f>
        <v>1845</v>
      </c>
      <c r="H42" s="35">
        <f ca="1">IFERROR(__xludf.DUMMYFUNCTION("""COMPUTED_VALUE"""),0.87810298102981)</f>
        <v>0.87810298102980999</v>
      </c>
      <c r="I42" s="35">
        <f ca="1">IFERROR(__xludf.DUMMYFUNCTION("""COMPUTED_VALUE"""),3461.8)</f>
        <v>3461.8</v>
      </c>
      <c r="J42" s="36">
        <f ca="1">IFERROR(__xludf.DUMMYFUNCTION("""COMPUTED_VALUE"""),0.000953261309145452)</f>
        <v>9.5326130914545203E-4</v>
      </c>
      <c r="K42" s="36" t="str">
        <f ca="1">IFERROR(__xludf.DUMMYFUNCTION("""COMPUTED_VALUE"""),"automobile")</f>
        <v>automobile</v>
      </c>
      <c r="L42" s="36" t="str">
        <f ca="1">IFERROR(__xludf.DUMMYFUNCTION("""COMPUTED_VALUE"""),"BOM:543276")</f>
        <v>BOM:543276</v>
      </c>
      <c r="M42" s="36" t="str">
        <f ca="1">IFERROR(__xludf.DUMMYFUNCTION("""COMPUTED_VALUE"""),"No")</f>
        <v>No</v>
      </c>
      <c r="N42" s="36" t="str">
        <f ca="1">IFERROR(__xludf.DUMMYFUNCTION("""COMPUTED_VALUE"""),"No")</f>
        <v>No</v>
      </c>
      <c r="O42" s="38" t="str">
        <f ca="1">IFERROR(__xludf.DUMMYFUNCTION("""COMPUTED_VALUE"""),"Good Stock")</f>
        <v>Good Stock</v>
      </c>
      <c r="P42" s="36" t="str">
        <f ca="1">IFERROR(__xludf.DUMMYFUNCTION("""COMPUTED_VALUE"""),"Low Cap")</f>
        <v>Low Cap</v>
      </c>
      <c r="Q42" s="26"/>
      <c r="R42" s="26"/>
      <c r="S42" s="26"/>
      <c r="T42" s="26"/>
      <c r="U42" s="26"/>
      <c r="V42" s="26"/>
      <c r="W42" s="26"/>
      <c r="X42" s="26"/>
      <c r="Y42" s="26"/>
      <c r="Z42" s="27"/>
      <c r="AA42" s="26"/>
      <c r="AB42" s="26"/>
    </row>
    <row r="43" spans="1:28" ht="24">
      <c r="A43" s="34" t="str">
        <f ca="1">IFERROR(__xludf.DUMMYFUNCTION("""COMPUTED_VALUE"""),"Cera Sanitaryware")</f>
        <v>Cera Sanitaryware</v>
      </c>
      <c r="B43" s="35">
        <f ca="1">IFERROR(__xludf.DUMMYFUNCTION("""COMPUTED_VALUE"""),6919.97)</f>
        <v>6919.97</v>
      </c>
      <c r="C43" s="35">
        <f ca="1">IFERROR(__xludf.DUMMYFUNCTION("""COMPUTED_VALUE"""),5294)</f>
        <v>5294</v>
      </c>
      <c r="D43" s="35">
        <f ca="1">IFERROR(__xludf.DUMMYFUNCTION("""COMPUTED_VALUE"""),37)</f>
        <v>37</v>
      </c>
      <c r="E43" s="35">
        <f ca="1">IFERROR(__xludf.DUMMYFUNCTION("""COMPUTED_VALUE"""),6067.95)</f>
        <v>6067.95</v>
      </c>
      <c r="F43" s="35">
        <f ca="1">IFERROR(__xludf.DUMMYFUNCTION("""COMPUTED_VALUE"""),0.127547194686838)</f>
        <v>0.12754719468683801</v>
      </c>
      <c r="G43" s="35">
        <f ca="1">IFERROR(__xludf.DUMMYFUNCTION("""COMPUTED_VALUE"""),3518.6)</f>
        <v>3518.6</v>
      </c>
      <c r="H43" s="35">
        <f ca="1">IFERROR(__xludf.DUMMYFUNCTION("""COMPUTED_VALUE"""),0.504575683510487)</f>
        <v>0.50457568351048698</v>
      </c>
      <c r="I43" s="35">
        <f ca="1">IFERROR(__xludf.DUMMYFUNCTION("""COMPUTED_VALUE"""),5320)</f>
        <v>5320</v>
      </c>
      <c r="J43" s="36">
        <f ca="1">IFERROR(__xludf.DUMMYFUNCTION("""COMPUTED_VALUE"""),-0.00488721804511278)</f>
        <v>-4.8872180451127803E-3</v>
      </c>
      <c r="K43" s="36" t="str">
        <f ca="1">IFERROR(__xludf.DUMMYFUNCTION("""COMPUTED_VALUE"""),"Ceramics")</f>
        <v>Ceramics</v>
      </c>
      <c r="L43" s="36" t="str">
        <f ca="1">IFERROR(__xludf.DUMMYFUNCTION("""COMPUTED_VALUE"""),"BOM:532443")</f>
        <v>BOM:532443</v>
      </c>
      <c r="M43" s="36" t="str">
        <f ca="1">IFERROR(__xludf.DUMMYFUNCTION("""COMPUTED_VALUE"""),"No")</f>
        <v>No</v>
      </c>
      <c r="N43" s="36" t="str">
        <f ca="1">IFERROR(__xludf.DUMMYFUNCTION("""COMPUTED_VALUE"""),"No")</f>
        <v>No</v>
      </c>
      <c r="O43" s="38" t="str">
        <f ca="1">IFERROR(__xludf.DUMMYFUNCTION("""COMPUTED_VALUE"""),"Good Stock")</f>
        <v>Good Stock</v>
      </c>
      <c r="P43" s="36" t="str">
        <f ca="1">IFERROR(__xludf.DUMMYFUNCTION("""COMPUTED_VALUE"""),"Low Cap")</f>
        <v>Low Cap</v>
      </c>
      <c r="Q43" s="26"/>
      <c r="R43" s="26"/>
      <c r="S43" s="26"/>
      <c r="T43" s="26"/>
      <c r="U43" s="26"/>
      <c r="V43" s="26"/>
      <c r="W43" s="26"/>
      <c r="X43" s="26"/>
      <c r="Y43" s="26"/>
      <c r="Z43" s="27"/>
      <c r="AA43" s="26"/>
      <c r="AB43" s="26"/>
    </row>
    <row r="44" spans="1:28" ht="24">
      <c r="A44" s="34" t="str">
        <f ca="1">IFERROR(__xludf.DUMMYFUNCTION("""COMPUTED_VALUE"""),"Data Pattern")</f>
        <v>Data Pattern</v>
      </c>
      <c r="B44" s="35">
        <f ca="1">IFERROR(__xludf.DUMMYFUNCTION("""COMPUTED_VALUE"""),6367.8328518)</f>
        <v>6367.8328517999998</v>
      </c>
      <c r="C44" s="35">
        <f ca="1">IFERROR(__xludf.DUMMYFUNCTION("""COMPUTED_VALUE"""),1227.1)</f>
        <v>1227.0999999999999</v>
      </c>
      <c r="D44" s="35">
        <f ca="1">IFERROR(__xludf.DUMMYFUNCTION("""COMPUTED_VALUE"""),59.65)</f>
        <v>59.65</v>
      </c>
      <c r="E44" s="35">
        <f ca="1">IFERROR(__xludf.DUMMYFUNCTION("""COMPUTED_VALUE"""),1480)</f>
        <v>1480</v>
      </c>
      <c r="F44" s="35">
        <f ca="1">IFERROR(__xludf.DUMMYFUNCTION("""COMPUTED_VALUE"""),0.170878378378378)</f>
        <v>0.17087837837837799</v>
      </c>
      <c r="G44" s="35">
        <f ca="1">IFERROR(__xludf.DUMMYFUNCTION("""COMPUTED_VALUE"""),575)</f>
        <v>575</v>
      </c>
      <c r="H44" s="35">
        <f ca="1">IFERROR(__xludf.DUMMYFUNCTION("""COMPUTED_VALUE"""),1.13408695652173)</f>
        <v>1.13408695652173</v>
      </c>
      <c r="I44" s="35">
        <f ca="1">IFERROR(__xludf.DUMMYFUNCTION("""COMPUTED_VALUE"""),1161.25)</f>
        <v>1161.25</v>
      </c>
      <c r="J44" s="36">
        <f ca="1">IFERROR(__xludf.DUMMYFUNCTION("""COMPUTED_VALUE"""),0.0567061356297092)</f>
        <v>5.6706135629709199E-2</v>
      </c>
      <c r="K44" s="36" t="str">
        <f ca="1">IFERROR(__xludf.DUMMYFUNCTION("""COMPUTED_VALUE"""),"Technology")</f>
        <v>Technology</v>
      </c>
      <c r="L44" s="36" t="str">
        <f ca="1">IFERROR(__xludf.DUMMYFUNCTION("""COMPUTED_VALUE"""),"BOM:543428")</f>
        <v>BOM:543428</v>
      </c>
      <c r="M44" s="36" t="str">
        <f ca="1">IFERROR(__xludf.DUMMYFUNCTION("""COMPUTED_VALUE"""),"No")</f>
        <v>No</v>
      </c>
      <c r="N44" s="36" t="str">
        <f ca="1">IFERROR(__xludf.DUMMYFUNCTION("""COMPUTED_VALUE"""),"No")</f>
        <v>No</v>
      </c>
      <c r="O44" s="38" t="str">
        <f ca="1">IFERROR(__xludf.DUMMYFUNCTION("""COMPUTED_VALUE"""),"Good Stock")</f>
        <v>Good Stock</v>
      </c>
      <c r="P44" s="36" t="str">
        <f ca="1">IFERROR(__xludf.DUMMYFUNCTION("""COMPUTED_VALUE"""),"Low Cap")</f>
        <v>Low Cap</v>
      </c>
      <c r="Q44" s="26"/>
      <c r="R44" s="26"/>
      <c r="S44" s="26"/>
      <c r="T44" s="26"/>
      <c r="U44" s="26"/>
      <c r="V44" s="26"/>
      <c r="W44" s="26"/>
      <c r="X44" s="26"/>
      <c r="Y44" s="26"/>
      <c r="Z44" s="27"/>
      <c r="AA44" s="26"/>
      <c r="AB44" s="26"/>
    </row>
    <row r="45" spans="1:28" ht="48">
      <c r="A45" s="34" t="str">
        <f ca="1">IFERROR(__xludf.DUMMYFUNCTION("""COMPUTED_VALUE"""),"Somany home innovation ltd")</f>
        <v>Somany home innovation ltd</v>
      </c>
      <c r="B45" s="35">
        <f ca="1">IFERROR(__xludf.DUMMYFUNCTION("""COMPUTED_VALUE"""),3335.191069)</f>
        <v>3335.191069</v>
      </c>
      <c r="C45" s="38">
        <f ca="1">IFERROR(__xludf.DUMMYFUNCTION("""COMPUTED_VALUE"""),462.25)</f>
        <v>462.25</v>
      </c>
      <c r="D45" s="37">
        <f ca="1">IFERROR(__xludf.DUMMYFUNCTION("""COMPUTED_VALUE"""),33.36)</f>
        <v>33.36</v>
      </c>
      <c r="E45" s="38">
        <f ca="1">IFERROR(__xludf.DUMMYFUNCTION("""COMPUTED_VALUE"""),480.4)</f>
        <v>480.4</v>
      </c>
      <c r="F45" s="36">
        <f ca="1">IFERROR(__xludf.DUMMYFUNCTION("""COMPUTED_VALUE"""),0.0377810158201498)</f>
        <v>3.7781015820149803E-2</v>
      </c>
      <c r="G45" s="37">
        <f ca="1">IFERROR(__xludf.DUMMYFUNCTION("""COMPUTED_VALUE"""),258.95)</f>
        <v>258.95</v>
      </c>
      <c r="H45" s="36">
        <f ca="1">IFERROR(__xludf.DUMMYFUNCTION("""COMPUTED_VALUE"""),0.785093647422282)</f>
        <v>0.78509364742228205</v>
      </c>
      <c r="I45" s="37">
        <f ca="1">IFERROR(__xludf.DUMMYFUNCTION("""COMPUTED_VALUE"""),473.2)</f>
        <v>473.2</v>
      </c>
      <c r="J45" s="36">
        <f ca="1">IFERROR(__xludf.DUMMYFUNCTION("""COMPUTED_VALUE"""),-0.0231403212172442)</f>
        <v>-2.31403212172442E-2</v>
      </c>
      <c r="K45" s="36" t="str">
        <f ca="1">IFERROR(__xludf.DUMMYFUNCTION("""COMPUTED_VALUE"""),"Kitchen Appliances")</f>
        <v>Kitchen Appliances</v>
      </c>
      <c r="L45" s="36" t="str">
        <f ca="1">IFERROR(__xludf.DUMMYFUNCTION("""COMPUTED_VALUE"""),"BOM:542905")</f>
        <v>BOM:542905</v>
      </c>
      <c r="M45" s="36" t="str">
        <f ca="1">IFERROR(__xludf.DUMMYFUNCTION("""COMPUTED_VALUE"""),"No")</f>
        <v>No</v>
      </c>
      <c r="N45" s="36" t="str">
        <f ca="1">IFERROR(__xludf.DUMMYFUNCTION("""COMPUTED_VALUE"""),"No")</f>
        <v>No</v>
      </c>
      <c r="O45" s="38" t="str">
        <f ca="1">IFERROR(__xludf.DUMMYFUNCTION("""COMPUTED_VALUE"""),"Good Stock")</f>
        <v>Good Stock</v>
      </c>
      <c r="P45" s="36" t="str">
        <f ca="1">IFERROR(__xludf.DUMMYFUNCTION("""COMPUTED_VALUE"""),"Low Cap")</f>
        <v>Low Cap</v>
      </c>
      <c r="Q45" s="26"/>
      <c r="R45" s="26"/>
      <c r="S45" s="26"/>
      <c r="T45" s="26"/>
      <c r="U45" s="26"/>
      <c r="V45" s="26"/>
      <c r="W45" s="26"/>
      <c r="X45" s="26"/>
      <c r="Y45" s="26"/>
      <c r="Z45" s="27"/>
      <c r="AA45" s="26"/>
      <c r="AB45" s="26"/>
    </row>
    <row r="46" spans="1:28" ht="24">
      <c r="A46" s="34" t="str">
        <f ca="1">IFERROR(__xludf.DUMMYFUNCTION("""COMPUTED_VALUE"""),"Astec Lifesciences")</f>
        <v>Astec Lifesciences</v>
      </c>
      <c r="B46" s="35">
        <f ca="1">IFERROR(__xludf.DUMMYFUNCTION("""COMPUTED_VALUE"""),3279.733)</f>
        <v>3279.7330000000002</v>
      </c>
      <c r="C46" s="38">
        <f ca="1">IFERROR(__xludf.DUMMYFUNCTION("""COMPUTED_VALUE"""),1669.3)</f>
        <v>1669.3</v>
      </c>
      <c r="D46" s="37">
        <f ca="1">IFERROR(__xludf.DUMMYFUNCTION("""COMPUTED_VALUE"""),33.56)</f>
        <v>33.56</v>
      </c>
      <c r="E46" s="38">
        <f ca="1">IFERROR(__xludf.DUMMYFUNCTION("""COMPUTED_VALUE"""),2285.65)</f>
        <v>2285.65</v>
      </c>
      <c r="F46" s="36">
        <f ca="1">IFERROR(__xludf.DUMMYFUNCTION("""COMPUTED_VALUE"""),0.269660709207446)</f>
        <v>0.269660709207446</v>
      </c>
      <c r="G46" s="37">
        <f ca="1">IFERROR(__xludf.DUMMYFUNCTION("""COMPUTED_VALUE"""),1276.15)</f>
        <v>1276.1500000000001</v>
      </c>
      <c r="H46" s="36">
        <f ca="1">IFERROR(__xludf.DUMMYFUNCTION("""COMPUTED_VALUE"""),0.308075069545116)</f>
        <v>0.30807506954511599</v>
      </c>
      <c r="I46" s="37">
        <f ca="1">IFERROR(__xludf.DUMMYFUNCTION("""COMPUTED_VALUE"""),1635.25)</f>
        <v>1635.25</v>
      </c>
      <c r="J46" s="36">
        <f ca="1">IFERROR(__xludf.DUMMYFUNCTION("""COMPUTED_VALUE"""),0.02082250420425)</f>
        <v>2.0822504204250001E-2</v>
      </c>
      <c r="K46" s="36" t="str">
        <f ca="1">IFERROR(__xludf.DUMMYFUNCTION("""COMPUTED_VALUE"""),"Pharma")</f>
        <v>Pharma</v>
      </c>
      <c r="L46" s="36" t="str">
        <f ca="1">IFERROR(__xludf.DUMMYFUNCTION("""COMPUTED_VALUE"""),"BOM:533138")</f>
        <v>BOM:533138</v>
      </c>
      <c r="M46" s="36" t="str">
        <f ca="1">IFERROR(__xludf.DUMMYFUNCTION("""COMPUTED_VALUE"""),"No")</f>
        <v>No</v>
      </c>
      <c r="N46" s="36" t="str">
        <f ca="1">IFERROR(__xludf.DUMMYFUNCTION("""COMPUTED_VALUE"""),"No")</f>
        <v>No</v>
      </c>
      <c r="O46" s="38" t="str">
        <f ca="1">IFERROR(__xludf.DUMMYFUNCTION("""COMPUTED_VALUE"""),"Good Stock")</f>
        <v>Good Stock</v>
      </c>
      <c r="P46" s="36" t="str">
        <f ca="1">IFERROR(__xludf.DUMMYFUNCTION("""COMPUTED_VALUE"""),"Low Cap")</f>
        <v>Low Cap</v>
      </c>
      <c r="Q46" s="26"/>
      <c r="R46" s="26"/>
      <c r="S46" s="26"/>
      <c r="T46" s="26"/>
      <c r="U46" s="26"/>
      <c r="V46" s="26"/>
      <c r="W46" s="26"/>
      <c r="X46" s="26"/>
      <c r="Y46" s="26"/>
      <c r="Z46" s="27"/>
      <c r="AA46" s="26"/>
      <c r="AB46" s="26"/>
    </row>
    <row r="47" spans="1:28" ht="24">
      <c r="A47" s="34" t="str">
        <f ca="1">IFERROR(__xludf.DUMMYFUNCTION("""COMPUTED_VALUE"""),"Mold tech")</f>
        <v>Mold tech</v>
      </c>
      <c r="B47" s="35">
        <f ca="1">IFERROR(__xludf.DUMMYFUNCTION("""COMPUTED_VALUE"""),3279.606)</f>
        <v>3279.6060000000002</v>
      </c>
      <c r="C47" s="38">
        <f ca="1">IFERROR(__xludf.DUMMYFUNCTION("""COMPUTED_VALUE"""),988.1)</f>
        <v>988.1</v>
      </c>
      <c r="D47" s="37">
        <f ca="1">IFERROR(__xludf.DUMMYFUNCTION("""COMPUTED_VALUE"""),41.73)</f>
        <v>41.73</v>
      </c>
      <c r="E47" s="38">
        <f ca="1">IFERROR(__xludf.DUMMYFUNCTION("""COMPUTED_VALUE"""),1057.85)</f>
        <v>1057.8499999999999</v>
      </c>
      <c r="F47" s="36">
        <f ca="1">IFERROR(__xludf.DUMMYFUNCTION("""COMPUTED_VALUE"""),0.0659356241433094)</f>
        <v>6.5935624143309404E-2</v>
      </c>
      <c r="G47" s="37">
        <f ca="1">IFERROR(__xludf.DUMMYFUNCTION("""COMPUTED_VALUE"""),648.05)</f>
        <v>648.04999999999995</v>
      </c>
      <c r="H47" s="36">
        <f ca="1">IFERROR(__xludf.DUMMYFUNCTION("""COMPUTED_VALUE"""),0.52472803024458)</f>
        <v>0.52472803024458003</v>
      </c>
      <c r="I47" s="37">
        <f ca="1">IFERROR(__xludf.DUMMYFUNCTION("""COMPUTED_VALUE"""),991.35)</f>
        <v>991.35</v>
      </c>
      <c r="J47" s="36">
        <f ca="1">IFERROR(__xludf.DUMMYFUNCTION("""COMPUTED_VALUE"""),-0.00327835779492611)</f>
        <v>-3.2783577949261102E-3</v>
      </c>
      <c r="K47" s="36"/>
      <c r="L47" s="36" t="str">
        <f ca="1">IFERROR(__xludf.DUMMYFUNCTION("""COMPUTED_VALUE"""),"BOM:533080")</f>
        <v>BOM:533080</v>
      </c>
      <c r="M47" s="36" t="str">
        <f ca="1">IFERROR(__xludf.DUMMYFUNCTION("""COMPUTED_VALUE"""),"No")</f>
        <v>No</v>
      </c>
      <c r="N47" s="36" t="str">
        <f ca="1">IFERROR(__xludf.DUMMYFUNCTION("""COMPUTED_VALUE"""),"No")</f>
        <v>No</v>
      </c>
      <c r="O47" s="38" t="str">
        <f ca="1">IFERROR(__xludf.DUMMYFUNCTION("""COMPUTED_VALUE"""),"Good Stock")</f>
        <v>Good Stock</v>
      </c>
      <c r="P47" s="36" t="str">
        <f ca="1">IFERROR(__xludf.DUMMYFUNCTION("""COMPUTED_VALUE"""),"Low Cap")</f>
        <v>Low Cap</v>
      </c>
      <c r="Q47" s="26"/>
      <c r="R47" s="26"/>
      <c r="S47" s="26"/>
      <c r="T47" s="26"/>
      <c r="U47" s="26"/>
      <c r="V47" s="26"/>
      <c r="W47" s="26"/>
      <c r="X47" s="26"/>
      <c r="Y47" s="26"/>
      <c r="Z47" s="27"/>
      <c r="AA47" s="26"/>
      <c r="AB47" s="26"/>
    </row>
    <row r="48" spans="1:28" ht="48">
      <c r="A48" s="34" t="str">
        <f ca="1">IFERROR(__xludf.DUMMYFUNCTION("""COMPUTED_VALUE"""),"Goldiam International")</f>
        <v>Goldiam International</v>
      </c>
      <c r="B48" s="35">
        <f ca="1">IFERROR(__xludf.DUMMYFUNCTION("""COMPUTED_VALUE"""),1794.8020805)</f>
        <v>1794.8020805000001</v>
      </c>
      <c r="C48" s="38">
        <f ca="1">IFERROR(__xludf.DUMMYFUNCTION("""COMPUTED_VALUE"""),165.55)</f>
        <v>165.55</v>
      </c>
      <c r="D48" s="37">
        <f ca="1">IFERROR(__xludf.DUMMYFUNCTION("""COMPUTED_VALUE"""),17.83)</f>
        <v>17.829999999999998</v>
      </c>
      <c r="E48" s="38">
        <f ca="1">IFERROR(__xludf.DUMMYFUNCTION("""COMPUTED_VALUE"""),209.41)</f>
        <v>209.41</v>
      </c>
      <c r="F48" s="36">
        <f ca="1">IFERROR(__xludf.DUMMYFUNCTION("""COMPUTED_VALUE"""),0.209445585215605)</f>
        <v>0.209445585215605</v>
      </c>
      <c r="G48" s="37">
        <f ca="1">IFERROR(__xludf.DUMMYFUNCTION("""COMPUTED_VALUE"""),116.75)</f>
        <v>116.75</v>
      </c>
      <c r="H48" s="36">
        <f ca="1">IFERROR(__xludf.DUMMYFUNCTION("""COMPUTED_VALUE"""),0.417987152034261)</f>
        <v>0.41798715203426101</v>
      </c>
      <c r="I48" s="37">
        <f ca="1">IFERROR(__xludf.DUMMYFUNCTION("""COMPUTED_VALUE"""),165.4)</f>
        <v>165.4</v>
      </c>
      <c r="J48" s="36">
        <f ca="1">IFERROR(__xludf.DUMMYFUNCTION("""COMPUTED_VALUE"""),0.000906892382104024)</f>
        <v>9.0689238210402395E-4</v>
      </c>
      <c r="K48" s="36" t="str">
        <f ca="1">IFERROR(__xludf.DUMMYFUNCTION("""COMPUTED_VALUE"""),"Retail")</f>
        <v>Retail</v>
      </c>
      <c r="L48" s="36" t="str">
        <f ca="1">IFERROR(__xludf.DUMMYFUNCTION("""COMPUTED_VALUE"""),"BOM:526729")</f>
        <v>BOM:526729</v>
      </c>
      <c r="M48" s="36" t="str">
        <f ca="1">IFERROR(__xludf.DUMMYFUNCTION("""COMPUTED_VALUE"""),"No")</f>
        <v>No</v>
      </c>
      <c r="N48" s="36" t="str">
        <f ca="1">IFERROR(__xludf.DUMMYFUNCTION("""COMPUTED_VALUE"""),"No")</f>
        <v>No</v>
      </c>
      <c r="O48" s="38" t="str">
        <f ca="1">IFERROR(__xludf.DUMMYFUNCTION("""COMPUTED_VALUE"""),"Good Stock")</f>
        <v>Good Stock</v>
      </c>
      <c r="P48" s="36" t="str">
        <f ca="1">IFERROR(__xludf.DUMMYFUNCTION("""COMPUTED_VALUE"""),"Low Cap")</f>
        <v>Low Cap</v>
      </c>
      <c r="Q48" s="26"/>
      <c r="R48" s="26"/>
      <c r="S48" s="26"/>
      <c r="T48" s="26"/>
      <c r="U48" s="26"/>
      <c r="V48" s="26"/>
      <c r="W48" s="26"/>
      <c r="X48" s="26"/>
      <c r="Y48" s="26"/>
      <c r="Z48" s="27"/>
      <c r="AA48" s="26"/>
      <c r="AB48" s="26"/>
    </row>
    <row r="49" spans="1:28" ht="24">
      <c r="A49" s="39"/>
      <c r="B49" s="40"/>
      <c r="C49" s="39"/>
      <c r="D49" s="39"/>
      <c r="E49" s="39"/>
      <c r="F49" s="41"/>
      <c r="G49" s="39"/>
      <c r="H49" s="41"/>
      <c r="I49" s="39"/>
      <c r="J49" s="41"/>
      <c r="K49" s="41"/>
      <c r="L49" s="41"/>
      <c r="M49" s="41"/>
      <c r="N49" s="41"/>
      <c r="O49" s="42"/>
      <c r="P49" s="41"/>
      <c r="Q49" s="26"/>
      <c r="R49" s="26"/>
      <c r="S49" s="26"/>
      <c r="T49" s="26"/>
      <c r="U49" s="26"/>
      <c r="V49" s="26"/>
      <c r="W49" s="26"/>
      <c r="X49" s="26"/>
      <c r="Y49" s="26"/>
      <c r="Z49" s="27"/>
      <c r="AA49" s="26"/>
      <c r="AB49" s="26"/>
    </row>
    <row r="50" spans="1:28" ht="24">
      <c r="A50" s="39"/>
      <c r="B50" s="40"/>
      <c r="C50" s="39"/>
      <c r="D50" s="39"/>
      <c r="E50" s="39"/>
      <c r="F50" s="41"/>
      <c r="G50" s="39"/>
      <c r="H50" s="41"/>
      <c r="I50" s="39"/>
      <c r="J50" s="41"/>
      <c r="K50" s="41"/>
      <c r="L50" s="41"/>
      <c r="M50" s="41"/>
      <c r="N50" s="41"/>
      <c r="O50" s="42"/>
      <c r="P50" s="41"/>
      <c r="Q50" s="26"/>
      <c r="R50" s="26"/>
      <c r="S50" s="26"/>
      <c r="T50" s="26"/>
      <c r="U50" s="26"/>
      <c r="V50" s="26"/>
      <c r="W50" s="26"/>
      <c r="X50" s="26"/>
      <c r="Y50" s="26"/>
      <c r="Z50" s="27"/>
      <c r="AA50" s="26"/>
      <c r="AB50" s="26"/>
    </row>
    <row r="51" spans="1:28" ht="24">
      <c r="A51" s="39"/>
      <c r="B51" s="40"/>
      <c r="C51" s="39"/>
      <c r="D51" s="39"/>
      <c r="E51" s="39"/>
      <c r="F51" s="41"/>
      <c r="G51" s="39"/>
      <c r="H51" s="41"/>
      <c r="I51" s="39"/>
      <c r="J51" s="41"/>
      <c r="K51" s="41"/>
      <c r="L51" s="41"/>
      <c r="M51" s="41"/>
      <c r="N51" s="41"/>
      <c r="O51" s="42"/>
      <c r="P51" s="41"/>
      <c r="Q51" s="26"/>
      <c r="R51" s="26"/>
      <c r="S51" s="26"/>
      <c r="T51" s="26"/>
      <c r="U51" s="26"/>
      <c r="V51" s="26"/>
      <c r="W51" s="26"/>
      <c r="X51" s="26"/>
      <c r="Y51" s="26"/>
      <c r="Z51" s="27"/>
      <c r="AA51" s="26"/>
      <c r="AB51" s="26"/>
    </row>
    <row r="52" spans="1:28" ht="24">
      <c r="A52" s="39"/>
      <c r="B52" s="40"/>
      <c r="C52" s="39"/>
      <c r="D52" s="39"/>
      <c r="E52" s="39"/>
      <c r="F52" s="41"/>
      <c r="G52" s="39"/>
      <c r="H52" s="41"/>
      <c r="I52" s="39"/>
      <c r="J52" s="41"/>
      <c r="K52" s="41"/>
      <c r="L52" s="41"/>
      <c r="M52" s="41"/>
      <c r="N52" s="41"/>
      <c r="O52" s="42"/>
      <c r="P52" s="41"/>
      <c r="Q52" s="26"/>
      <c r="R52" s="26"/>
      <c r="S52" s="26"/>
      <c r="T52" s="26"/>
      <c r="U52" s="26"/>
      <c r="V52" s="26"/>
      <c r="W52" s="26"/>
      <c r="X52" s="26"/>
      <c r="Y52" s="26"/>
      <c r="Z52" s="27"/>
      <c r="AA52" s="26"/>
      <c r="AB52" s="26"/>
    </row>
    <row r="53" spans="1:28" ht="24">
      <c r="A53" s="39"/>
      <c r="B53" s="40"/>
      <c r="C53" s="39"/>
      <c r="D53" s="39"/>
      <c r="E53" s="39"/>
      <c r="F53" s="41"/>
      <c r="G53" s="39"/>
      <c r="H53" s="41"/>
      <c r="I53" s="39"/>
      <c r="J53" s="41"/>
      <c r="K53" s="41"/>
      <c r="L53" s="41"/>
      <c r="M53" s="41"/>
      <c r="N53" s="41"/>
      <c r="O53" s="42"/>
      <c r="P53" s="41"/>
      <c r="Q53" s="26"/>
      <c r="R53" s="26"/>
      <c r="S53" s="26"/>
      <c r="T53" s="26"/>
      <c r="U53" s="26"/>
      <c r="V53" s="26"/>
      <c r="W53" s="26"/>
      <c r="X53" s="26"/>
      <c r="Y53" s="26"/>
      <c r="Z53" s="27"/>
      <c r="AA53" s="26"/>
      <c r="AB53" s="26"/>
    </row>
    <row r="54" spans="1:28" ht="24">
      <c r="A54" s="39"/>
      <c r="B54" s="40"/>
      <c r="C54" s="39"/>
      <c r="D54" s="39"/>
      <c r="E54" s="39"/>
      <c r="F54" s="41"/>
      <c r="G54" s="39"/>
      <c r="H54" s="41"/>
      <c r="I54" s="39"/>
      <c r="J54" s="41"/>
      <c r="K54" s="41"/>
      <c r="L54" s="41"/>
      <c r="M54" s="41"/>
      <c r="N54" s="41"/>
      <c r="O54" s="42"/>
      <c r="P54" s="41"/>
      <c r="Q54" s="26"/>
      <c r="R54" s="26"/>
      <c r="S54" s="26"/>
      <c r="T54" s="26"/>
      <c r="U54" s="26"/>
      <c r="V54" s="26"/>
      <c r="W54" s="26"/>
      <c r="X54" s="26"/>
      <c r="Y54" s="26"/>
      <c r="Z54" s="27"/>
      <c r="AA54" s="26"/>
      <c r="AB54" s="26"/>
    </row>
    <row r="55" spans="1:28" ht="24">
      <c r="A55" s="39"/>
      <c r="B55" s="40"/>
      <c r="C55" s="39"/>
      <c r="D55" s="39"/>
      <c r="E55" s="39"/>
      <c r="F55" s="41"/>
      <c r="G55" s="39"/>
      <c r="H55" s="41"/>
      <c r="I55" s="39"/>
      <c r="J55" s="41"/>
      <c r="K55" s="41"/>
      <c r="L55" s="41"/>
      <c r="M55" s="41"/>
      <c r="N55" s="41"/>
      <c r="O55" s="42"/>
      <c r="P55" s="41"/>
      <c r="Q55" s="26"/>
      <c r="R55" s="26"/>
      <c r="S55" s="26"/>
      <c r="T55" s="26"/>
      <c r="U55" s="26"/>
      <c r="V55" s="26"/>
      <c r="W55" s="26"/>
      <c r="X55" s="26"/>
      <c r="Y55" s="26"/>
      <c r="Z55" s="27"/>
      <c r="AA55" s="26"/>
      <c r="AB55" s="26"/>
    </row>
    <row r="56" spans="1:28" ht="24">
      <c r="A56" s="39"/>
      <c r="B56" s="40"/>
      <c r="C56" s="39"/>
      <c r="D56" s="39"/>
      <c r="E56" s="39"/>
      <c r="F56" s="41"/>
      <c r="G56" s="39"/>
      <c r="H56" s="41"/>
      <c r="I56" s="39"/>
      <c r="J56" s="41"/>
      <c r="K56" s="41"/>
      <c r="L56" s="41"/>
      <c r="M56" s="41"/>
      <c r="N56" s="41"/>
      <c r="O56" s="42"/>
      <c r="P56" s="41"/>
      <c r="Q56" s="26"/>
      <c r="R56" s="26"/>
      <c r="S56" s="26"/>
      <c r="T56" s="26"/>
      <c r="U56" s="26"/>
      <c r="V56" s="26"/>
      <c r="W56" s="26"/>
      <c r="X56" s="26"/>
      <c r="Y56" s="26"/>
      <c r="Z56" s="27"/>
      <c r="AA56" s="26"/>
      <c r="AB56" s="26"/>
    </row>
    <row r="57" spans="1:28" ht="24">
      <c r="A57" s="39"/>
      <c r="B57" s="40"/>
      <c r="C57" s="39"/>
      <c r="D57" s="39"/>
      <c r="E57" s="39"/>
      <c r="F57" s="41"/>
      <c r="G57" s="39"/>
      <c r="H57" s="41"/>
      <c r="I57" s="39"/>
      <c r="J57" s="41"/>
      <c r="K57" s="41"/>
      <c r="L57" s="41"/>
      <c r="M57" s="41"/>
      <c r="N57" s="41"/>
      <c r="O57" s="42"/>
      <c r="P57" s="41"/>
      <c r="Q57" s="26"/>
      <c r="R57" s="26"/>
      <c r="S57" s="26"/>
      <c r="T57" s="26"/>
      <c r="U57" s="26"/>
      <c r="V57" s="26"/>
      <c r="W57" s="26"/>
      <c r="X57" s="26"/>
      <c r="Y57" s="26"/>
      <c r="Z57" s="27"/>
      <c r="AA57" s="26"/>
      <c r="AB57" s="26"/>
    </row>
    <row r="58" spans="1:28" ht="24">
      <c r="A58" s="39"/>
      <c r="B58" s="40"/>
      <c r="C58" s="39"/>
      <c r="D58" s="39"/>
      <c r="E58" s="39"/>
      <c r="F58" s="41"/>
      <c r="G58" s="39"/>
      <c r="H58" s="41"/>
      <c r="I58" s="39"/>
      <c r="J58" s="41"/>
      <c r="K58" s="41"/>
      <c r="L58" s="41"/>
      <c r="M58" s="41"/>
      <c r="N58" s="41"/>
      <c r="O58" s="42"/>
      <c r="P58" s="41"/>
      <c r="Q58" s="26"/>
      <c r="R58" s="26"/>
      <c r="S58" s="26"/>
      <c r="T58" s="26"/>
      <c r="U58" s="26"/>
      <c r="V58" s="26"/>
      <c r="W58" s="26"/>
      <c r="X58" s="26"/>
      <c r="Y58" s="26"/>
      <c r="Z58" s="27"/>
      <c r="AA58" s="26"/>
      <c r="AB58" s="26"/>
    </row>
    <row r="59" spans="1:28" ht="24">
      <c r="A59" s="39"/>
      <c r="B59" s="40"/>
      <c r="C59" s="39"/>
      <c r="D59" s="39"/>
      <c r="E59" s="39"/>
      <c r="F59" s="41"/>
      <c r="G59" s="39"/>
      <c r="H59" s="41"/>
      <c r="I59" s="39"/>
      <c r="J59" s="41"/>
      <c r="K59" s="41"/>
      <c r="L59" s="41"/>
      <c r="M59" s="41"/>
      <c r="N59" s="41"/>
      <c r="O59" s="42"/>
      <c r="P59" s="41"/>
      <c r="Q59" s="26"/>
      <c r="R59" s="26"/>
      <c r="S59" s="26"/>
      <c r="T59" s="26"/>
      <c r="U59" s="26"/>
      <c r="V59" s="26"/>
      <c r="W59" s="26"/>
      <c r="X59" s="26"/>
      <c r="Y59" s="26"/>
      <c r="Z59" s="27"/>
      <c r="AA59" s="26"/>
      <c r="AB59" s="26"/>
    </row>
    <row r="60" spans="1:28" ht="24">
      <c r="A60" s="39"/>
      <c r="B60" s="40"/>
      <c r="C60" s="39"/>
      <c r="D60" s="39"/>
      <c r="E60" s="39"/>
      <c r="F60" s="41"/>
      <c r="G60" s="39"/>
      <c r="H60" s="41"/>
      <c r="I60" s="39"/>
      <c r="J60" s="41"/>
      <c r="K60" s="41"/>
      <c r="L60" s="41"/>
      <c r="M60" s="41"/>
      <c r="N60" s="41"/>
      <c r="O60" s="42"/>
      <c r="P60" s="41"/>
      <c r="Q60" s="26"/>
      <c r="R60" s="26"/>
      <c r="S60" s="26"/>
      <c r="T60" s="26"/>
      <c r="U60" s="26"/>
      <c r="V60" s="26"/>
      <c r="W60" s="26"/>
      <c r="X60" s="26"/>
      <c r="Y60" s="26"/>
      <c r="Z60" s="27"/>
      <c r="AA60" s="26"/>
      <c r="AB60" s="26"/>
    </row>
    <row r="61" spans="1:28" ht="24">
      <c r="A61" s="39"/>
      <c r="B61" s="40"/>
      <c r="C61" s="39"/>
      <c r="D61" s="39"/>
      <c r="E61" s="39"/>
      <c r="F61" s="41"/>
      <c r="G61" s="39"/>
      <c r="H61" s="41"/>
      <c r="I61" s="39"/>
      <c r="J61" s="41"/>
      <c r="K61" s="41"/>
      <c r="L61" s="41"/>
      <c r="M61" s="41"/>
      <c r="N61" s="41"/>
      <c r="O61" s="42"/>
      <c r="P61" s="41"/>
      <c r="Q61" s="26"/>
      <c r="R61" s="26"/>
      <c r="S61" s="26"/>
      <c r="T61" s="26"/>
      <c r="U61" s="26"/>
      <c r="V61" s="26"/>
      <c r="W61" s="26"/>
      <c r="X61" s="26"/>
      <c r="Y61" s="26"/>
      <c r="Z61" s="27"/>
      <c r="AA61" s="26"/>
      <c r="AB61" s="26"/>
    </row>
    <row r="62" spans="1:28" ht="24">
      <c r="A62" s="39"/>
      <c r="B62" s="40"/>
      <c r="C62" s="39"/>
      <c r="D62" s="39"/>
      <c r="E62" s="39"/>
      <c r="F62" s="41"/>
      <c r="G62" s="39"/>
      <c r="H62" s="41"/>
      <c r="I62" s="39"/>
      <c r="J62" s="41"/>
      <c r="K62" s="41"/>
      <c r="L62" s="41"/>
      <c r="M62" s="41"/>
      <c r="N62" s="41"/>
      <c r="O62" s="42"/>
      <c r="P62" s="41"/>
      <c r="Q62" s="26"/>
      <c r="R62" s="26"/>
      <c r="S62" s="26"/>
      <c r="T62" s="26"/>
      <c r="U62" s="26"/>
      <c r="V62" s="26"/>
      <c r="W62" s="26"/>
      <c r="X62" s="26"/>
      <c r="Y62" s="26"/>
      <c r="Z62" s="27"/>
      <c r="AA62" s="26"/>
      <c r="AB62" s="26"/>
    </row>
    <row r="63" spans="1:28" ht="24">
      <c r="A63" s="39"/>
      <c r="B63" s="40"/>
      <c r="C63" s="39"/>
      <c r="D63" s="39"/>
      <c r="E63" s="39"/>
      <c r="F63" s="41"/>
      <c r="G63" s="39"/>
      <c r="H63" s="41"/>
      <c r="I63" s="39"/>
      <c r="J63" s="41"/>
      <c r="K63" s="41"/>
      <c r="L63" s="41"/>
      <c r="M63" s="41"/>
      <c r="N63" s="41"/>
      <c r="O63" s="42"/>
      <c r="P63" s="41"/>
      <c r="Q63" s="26"/>
      <c r="R63" s="26"/>
      <c r="S63" s="26"/>
      <c r="T63" s="26"/>
      <c r="U63" s="26"/>
      <c r="V63" s="26"/>
      <c r="W63" s="26"/>
      <c r="X63" s="26"/>
      <c r="Y63" s="26"/>
      <c r="Z63" s="27"/>
      <c r="AA63" s="26"/>
      <c r="AB63" s="26"/>
    </row>
    <row r="64" spans="1:28" ht="24">
      <c r="A64" s="39"/>
      <c r="B64" s="40"/>
      <c r="C64" s="39"/>
      <c r="D64" s="39"/>
      <c r="E64" s="39"/>
      <c r="F64" s="41"/>
      <c r="G64" s="39"/>
      <c r="H64" s="41"/>
      <c r="I64" s="39"/>
      <c r="J64" s="41"/>
      <c r="K64" s="41"/>
      <c r="L64" s="41"/>
      <c r="M64" s="41"/>
      <c r="N64" s="41"/>
      <c r="O64" s="42"/>
      <c r="P64" s="41"/>
      <c r="Q64" s="26"/>
      <c r="R64" s="26"/>
      <c r="S64" s="26"/>
      <c r="T64" s="26"/>
      <c r="U64" s="26"/>
      <c r="V64" s="26"/>
      <c r="W64" s="26"/>
      <c r="X64" s="26"/>
      <c r="Y64" s="26"/>
      <c r="Z64" s="27"/>
      <c r="AA64" s="26"/>
      <c r="AB64" s="26"/>
    </row>
    <row r="65" spans="1:28" ht="24">
      <c r="A65" s="39"/>
      <c r="B65" s="40"/>
      <c r="C65" s="39"/>
      <c r="D65" s="39"/>
      <c r="E65" s="39"/>
      <c r="F65" s="41"/>
      <c r="G65" s="39"/>
      <c r="H65" s="41"/>
      <c r="I65" s="39"/>
      <c r="J65" s="41"/>
      <c r="K65" s="41"/>
      <c r="L65" s="41"/>
      <c r="M65" s="41"/>
      <c r="N65" s="41"/>
      <c r="O65" s="42"/>
      <c r="P65" s="41"/>
      <c r="Q65" s="26"/>
      <c r="R65" s="26"/>
      <c r="S65" s="26"/>
      <c r="T65" s="26"/>
      <c r="U65" s="26"/>
      <c r="V65" s="26"/>
      <c r="W65" s="26"/>
      <c r="X65" s="26"/>
      <c r="Y65" s="26"/>
      <c r="Z65" s="27"/>
      <c r="AA65" s="26"/>
      <c r="AB65" s="26"/>
    </row>
    <row r="66" spans="1:28" ht="24">
      <c r="A66" s="39"/>
      <c r="B66" s="40"/>
      <c r="C66" s="39"/>
      <c r="D66" s="39"/>
      <c r="E66" s="39"/>
      <c r="F66" s="41"/>
      <c r="G66" s="39"/>
      <c r="H66" s="41"/>
      <c r="I66" s="39"/>
      <c r="J66" s="41"/>
      <c r="K66" s="41"/>
      <c r="L66" s="41"/>
      <c r="M66" s="41"/>
      <c r="N66" s="41"/>
      <c r="O66" s="42"/>
      <c r="P66" s="41"/>
      <c r="Q66" s="26"/>
      <c r="R66" s="26"/>
      <c r="S66" s="26"/>
      <c r="T66" s="26"/>
      <c r="U66" s="26"/>
      <c r="V66" s="26"/>
      <c r="W66" s="26"/>
      <c r="X66" s="26"/>
      <c r="Y66" s="26"/>
      <c r="Z66" s="27"/>
      <c r="AA66" s="26"/>
      <c r="AB66" s="26"/>
    </row>
    <row r="67" spans="1:28" ht="24">
      <c r="A67" s="39"/>
      <c r="B67" s="40"/>
      <c r="C67" s="39"/>
      <c r="D67" s="39"/>
      <c r="E67" s="39"/>
      <c r="F67" s="41"/>
      <c r="G67" s="39"/>
      <c r="H67" s="41"/>
      <c r="I67" s="39"/>
      <c r="J67" s="41"/>
      <c r="K67" s="41"/>
      <c r="L67" s="41"/>
      <c r="M67" s="41"/>
      <c r="N67" s="41"/>
      <c r="O67" s="42"/>
      <c r="P67" s="41"/>
      <c r="Q67" s="26"/>
      <c r="R67" s="26"/>
      <c r="S67" s="26"/>
      <c r="T67" s="26"/>
      <c r="U67" s="26"/>
      <c r="V67" s="26"/>
      <c r="W67" s="26"/>
      <c r="X67" s="26"/>
      <c r="Y67" s="26"/>
      <c r="Z67" s="27"/>
      <c r="AA67" s="26"/>
      <c r="AB67" s="26"/>
    </row>
    <row r="68" spans="1:28" ht="24">
      <c r="A68" s="39"/>
      <c r="B68" s="40"/>
      <c r="C68" s="39"/>
      <c r="D68" s="39"/>
      <c r="E68" s="39"/>
      <c r="F68" s="41"/>
      <c r="G68" s="39"/>
      <c r="H68" s="41"/>
      <c r="I68" s="39"/>
      <c r="J68" s="41"/>
      <c r="K68" s="41"/>
      <c r="L68" s="41"/>
      <c r="M68" s="41"/>
      <c r="N68" s="41"/>
      <c r="O68" s="42"/>
      <c r="P68" s="41"/>
      <c r="Q68" s="26"/>
      <c r="R68" s="26"/>
      <c r="S68" s="26"/>
      <c r="T68" s="26"/>
      <c r="U68" s="26"/>
      <c r="V68" s="26"/>
      <c r="W68" s="26"/>
      <c r="X68" s="26"/>
      <c r="Y68" s="26"/>
      <c r="Z68" s="27"/>
      <c r="AA68" s="26"/>
      <c r="AB68" s="26"/>
    </row>
    <row r="69" spans="1:28" ht="24">
      <c r="A69" s="39"/>
      <c r="B69" s="40"/>
      <c r="C69" s="39"/>
      <c r="D69" s="39"/>
      <c r="E69" s="39"/>
      <c r="F69" s="41"/>
      <c r="G69" s="39"/>
      <c r="H69" s="41"/>
      <c r="I69" s="39"/>
      <c r="J69" s="41"/>
      <c r="K69" s="41"/>
      <c r="L69" s="41"/>
      <c r="M69" s="41"/>
      <c r="N69" s="41"/>
      <c r="O69" s="42"/>
      <c r="P69" s="41"/>
      <c r="Q69" s="26"/>
      <c r="R69" s="26"/>
      <c r="S69" s="26"/>
      <c r="T69" s="26"/>
      <c r="U69" s="26"/>
      <c r="V69" s="26"/>
      <c r="W69" s="26"/>
      <c r="X69" s="26"/>
      <c r="Y69" s="26"/>
      <c r="Z69" s="27"/>
      <c r="AA69" s="26"/>
      <c r="AB69" s="26"/>
    </row>
    <row r="70" spans="1:28" ht="24">
      <c r="A70" s="39"/>
      <c r="B70" s="40"/>
      <c r="C70" s="39"/>
      <c r="D70" s="39"/>
      <c r="E70" s="39"/>
      <c r="F70" s="41"/>
      <c r="G70" s="39"/>
      <c r="H70" s="41"/>
      <c r="I70" s="39"/>
      <c r="J70" s="41"/>
      <c r="K70" s="41"/>
      <c r="L70" s="41"/>
      <c r="M70" s="41"/>
      <c r="N70" s="41"/>
      <c r="O70" s="42"/>
      <c r="P70" s="41"/>
      <c r="Q70" s="26"/>
      <c r="R70" s="26"/>
      <c r="S70" s="26"/>
      <c r="T70" s="26"/>
      <c r="U70" s="26"/>
      <c r="V70" s="26"/>
      <c r="W70" s="26"/>
      <c r="X70" s="26"/>
      <c r="Y70" s="26"/>
      <c r="Z70" s="27"/>
      <c r="AA70" s="26"/>
      <c r="AB70" s="26"/>
    </row>
    <row r="71" spans="1:28" ht="24">
      <c r="A71" s="39"/>
      <c r="B71" s="40"/>
      <c r="C71" s="39"/>
      <c r="D71" s="39"/>
      <c r="E71" s="39"/>
      <c r="F71" s="41"/>
      <c r="G71" s="39"/>
      <c r="H71" s="41"/>
      <c r="I71" s="39"/>
      <c r="J71" s="41"/>
      <c r="K71" s="41"/>
      <c r="L71" s="41"/>
      <c r="M71" s="41"/>
      <c r="N71" s="41"/>
      <c r="O71" s="42"/>
      <c r="P71" s="41"/>
      <c r="Q71" s="26"/>
      <c r="R71" s="26"/>
      <c r="S71" s="26"/>
      <c r="T71" s="26"/>
      <c r="U71" s="26"/>
      <c r="V71" s="26"/>
      <c r="W71" s="26"/>
      <c r="X71" s="26"/>
      <c r="Y71" s="26"/>
      <c r="Z71" s="27"/>
      <c r="AA71" s="26"/>
      <c r="AB71" s="26"/>
    </row>
    <row r="72" spans="1:28" ht="24">
      <c r="A72" s="39"/>
      <c r="B72" s="40"/>
      <c r="C72" s="39"/>
      <c r="D72" s="39"/>
      <c r="E72" s="39"/>
      <c r="F72" s="41"/>
      <c r="G72" s="39"/>
      <c r="H72" s="41"/>
      <c r="I72" s="39"/>
      <c r="J72" s="41"/>
      <c r="K72" s="41"/>
      <c r="L72" s="41"/>
      <c r="M72" s="41"/>
      <c r="N72" s="41"/>
      <c r="O72" s="42"/>
      <c r="P72" s="41"/>
      <c r="Q72" s="26"/>
      <c r="R72" s="26"/>
      <c r="S72" s="26"/>
      <c r="T72" s="26"/>
      <c r="U72" s="26"/>
      <c r="V72" s="26"/>
      <c r="W72" s="26"/>
      <c r="X72" s="26"/>
      <c r="Y72" s="26"/>
      <c r="Z72" s="27"/>
      <c r="AA72" s="26"/>
      <c r="AB72" s="26"/>
    </row>
    <row r="73" spans="1:28" ht="24">
      <c r="A73" s="39"/>
      <c r="B73" s="40"/>
      <c r="C73" s="39"/>
      <c r="D73" s="39"/>
      <c r="E73" s="39"/>
      <c r="F73" s="41"/>
      <c r="G73" s="39"/>
      <c r="H73" s="41"/>
      <c r="I73" s="39"/>
      <c r="J73" s="41"/>
      <c r="K73" s="41"/>
      <c r="L73" s="41"/>
      <c r="M73" s="41"/>
      <c r="N73" s="41"/>
      <c r="O73" s="42"/>
      <c r="P73" s="41"/>
      <c r="Q73" s="26"/>
      <c r="R73" s="26"/>
      <c r="S73" s="26"/>
      <c r="T73" s="26"/>
      <c r="U73" s="26"/>
      <c r="V73" s="26"/>
      <c r="W73" s="26"/>
      <c r="X73" s="26"/>
      <c r="Y73" s="26"/>
      <c r="Z73" s="27"/>
      <c r="AA73" s="26"/>
      <c r="AB73" s="26"/>
    </row>
    <row r="74" spans="1:28" ht="24">
      <c r="A74" s="39"/>
      <c r="B74" s="40"/>
      <c r="C74" s="39"/>
      <c r="D74" s="39"/>
      <c r="E74" s="39"/>
      <c r="F74" s="41"/>
      <c r="G74" s="39"/>
      <c r="H74" s="41"/>
      <c r="I74" s="39"/>
      <c r="J74" s="41"/>
      <c r="K74" s="41"/>
      <c r="L74" s="41"/>
      <c r="M74" s="41"/>
      <c r="N74" s="41"/>
      <c r="O74" s="42"/>
      <c r="P74" s="41"/>
      <c r="Q74" s="26"/>
      <c r="R74" s="26"/>
      <c r="S74" s="26"/>
      <c r="T74" s="26"/>
      <c r="U74" s="26"/>
      <c r="V74" s="26"/>
      <c r="W74" s="26"/>
      <c r="X74" s="26"/>
      <c r="Y74" s="26"/>
      <c r="Z74" s="27"/>
      <c r="AA74" s="26"/>
      <c r="AB74" s="26"/>
    </row>
    <row r="75" spans="1:28" ht="24">
      <c r="A75" s="39"/>
      <c r="B75" s="40"/>
      <c r="C75" s="39"/>
      <c r="D75" s="39"/>
      <c r="E75" s="39"/>
      <c r="F75" s="41"/>
      <c r="G75" s="39"/>
      <c r="H75" s="41"/>
      <c r="I75" s="39"/>
      <c r="J75" s="41"/>
      <c r="K75" s="41"/>
      <c r="L75" s="41"/>
      <c r="M75" s="41"/>
      <c r="N75" s="41"/>
      <c r="O75" s="42"/>
      <c r="P75" s="41"/>
      <c r="Q75" s="26"/>
      <c r="R75" s="26"/>
      <c r="S75" s="26"/>
      <c r="T75" s="26"/>
      <c r="U75" s="26"/>
      <c r="V75" s="26"/>
      <c r="W75" s="26"/>
      <c r="X75" s="26"/>
      <c r="Y75" s="26"/>
      <c r="Z75" s="27"/>
      <c r="AA75" s="26"/>
      <c r="AB75" s="26"/>
    </row>
    <row r="76" spans="1:28" ht="24">
      <c r="A76" s="39"/>
      <c r="B76" s="40"/>
      <c r="C76" s="39"/>
      <c r="D76" s="39"/>
      <c r="E76" s="39"/>
      <c r="F76" s="41"/>
      <c r="G76" s="39"/>
      <c r="H76" s="41"/>
      <c r="I76" s="39"/>
      <c r="J76" s="41"/>
      <c r="K76" s="41"/>
      <c r="L76" s="41"/>
      <c r="M76" s="41"/>
      <c r="N76" s="41"/>
      <c r="O76" s="42"/>
      <c r="P76" s="41"/>
      <c r="Q76" s="26"/>
      <c r="R76" s="26"/>
      <c r="S76" s="26"/>
      <c r="T76" s="26"/>
      <c r="U76" s="26"/>
      <c r="V76" s="26"/>
      <c r="W76" s="26"/>
      <c r="X76" s="26"/>
      <c r="Y76" s="26"/>
      <c r="Z76" s="27"/>
      <c r="AA76" s="26"/>
      <c r="AB76" s="26"/>
    </row>
    <row r="77" spans="1:28" ht="24">
      <c r="A77" s="39"/>
      <c r="B77" s="40"/>
      <c r="C77" s="39"/>
      <c r="D77" s="39"/>
      <c r="E77" s="39"/>
      <c r="F77" s="41"/>
      <c r="G77" s="39"/>
      <c r="H77" s="41"/>
      <c r="I77" s="39"/>
      <c r="J77" s="41"/>
      <c r="K77" s="41"/>
      <c r="L77" s="41"/>
      <c r="M77" s="41"/>
      <c r="N77" s="41"/>
      <c r="O77" s="42"/>
      <c r="P77" s="41"/>
      <c r="Q77" s="26"/>
      <c r="R77" s="26"/>
      <c r="S77" s="26"/>
      <c r="T77" s="26"/>
      <c r="U77" s="26"/>
      <c r="V77" s="26"/>
      <c r="W77" s="26"/>
      <c r="X77" s="26"/>
      <c r="Y77" s="26"/>
      <c r="Z77" s="27"/>
      <c r="AA77" s="26"/>
      <c r="AB77" s="26"/>
    </row>
    <row r="78" spans="1:28" ht="24">
      <c r="A78" s="39"/>
      <c r="B78" s="40"/>
      <c r="C78" s="39"/>
      <c r="D78" s="39"/>
      <c r="E78" s="39"/>
      <c r="F78" s="41"/>
      <c r="G78" s="39"/>
      <c r="H78" s="41"/>
      <c r="I78" s="39"/>
      <c r="J78" s="41"/>
      <c r="K78" s="41"/>
      <c r="L78" s="41"/>
      <c r="M78" s="41"/>
      <c r="N78" s="41"/>
      <c r="O78" s="42"/>
      <c r="P78" s="41"/>
      <c r="Q78" s="26"/>
      <c r="R78" s="26"/>
      <c r="S78" s="26"/>
      <c r="T78" s="26"/>
      <c r="U78" s="26"/>
      <c r="V78" s="26"/>
      <c r="W78" s="26"/>
      <c r="X78" s="26"/>
      <c r="Y78" s="26"/>
      <c r="Z78" s="27"/>
      <c r="AA78" s="26"/>
      <c r="AB78" s="26"/>
    </row>
    <row r="79" spans="1:28" ht="24">
      <c r="A79" s="39"/>
      <c r="B79" s="40"/>
      <c r="C79" s="39"/>
      <c r="D79" s="39"/>
      <c r="E79" s="39"/>
      <c r="F79" s="41"/>
      <c r="G79" s="39"/>
      <c r="H79" s="41"/>
      <c r="I79" s="39"/>
      <c r="J79" s="41"/>
      <c r="K79" s="41"/>
      <c r="L79" s="41"/>
      <c r="M79" s="41"/>
      <c r="N79" s="41"/>
      <c r="O79" s="42"/>
      <c r="P79" s="41"/>
      <c r="Q79" s="26"/>
      <c r="R79" s="26"/>
      <c r="S79" s="26"/>
      <c r="T79" s="26"/>
      <c r="U79" s="26"/>
      <c r="V79" s="26"/>
      <c r="W79" s="26"/>
      <c r="X79" s="26"/>
      <c r="Y79" s="26"/>
      <c r="Z79" s="27"/>
      <c r="AA79" s="26"/>
      <c r="AB79" s="26"/>
    </row>
    <row r="80" spans="1:28" ht="24">
      <c r="A80" s="39"/>
      <c r="B80" s="40"/>
      <c r="C80" s="39"/>
      <c r="D80" s="39"/>
      <c r="E80" s="39"/>
      <c r="F80" s="41"/>
      <c r="G80" s="39"/>
      <c r="H80" s="41"/>
      <c r="I80" s="39"/>
      <c r="J80" s="41"/>
      <c r="K80" s="41"/>
      <c r="L80" s="41"/>
      <c r="M80" s="41"/>
      <c r="N80" s="41"/>
      <c r="O80" s="42"/>
      <c r="P80" s="41"/>
      <c r="Q80" s="26"/>
      <c r="R80" s="26"/>
      <c r="S80" s="26"/>
      <c r="T80" s="26"/>
      <c r="U80" s="26"/>
      <c r="V80" s="26"/>
      <c r="W80" s="26"/>
      <c r="X80" s="26"/>
      <c r="Y80" s="26"/>
      <c r="Z80" s="27"/>
      <c r="AA80" s="26"/>
      <c r="AB80" s="26"/>
    </row>
    <row r="81" spans="1:28" ht="24">
      <c r="A81" s="39"/>
      <c r="B81" s="40"/>
      <c r="C81" s="39"/>
      <c r="D81" s="39"/>
      <c r="E81" s="39"/>
      <c r="F81" s="41"/>
      <c r="G81" s="39"/>
      <c r="H81" s="41"/>
      <c r="I81" s="39"/>
      <c r="J81" s="41"/>
      <c r="K81" s="41"/>
      <c r="L81" s="41"/>
      <c r="M81" s="41"/>
      <c r="N81" s="41"/>
      <c r="O81" s="42"/>
      <c r="P81" s="41"/>
      <c r="Q81" s="26"/>
      <c r="R81" s="26"/>
      <c r="S81" s="26"/>
      <c r="T81" s="26"/>
      <c r="U81" s="26"/>
      <c r="V81" s="26"/>
      <c r="W81" s="26"/>
      <c r="X81" s="26"/>
      <c r="Y81" s="26"/>
      <c r="Z81" s="27"/>
      <c r="AA81" s="26"/>
      <c r="AB81" s="26"/>
    </row>
    <row r="82" spans="1:28" ht="24">
      <c r="A82" s="39"/>
      <c r="B82" s="40"/>
      <c r="C82" s="39"/>
      <c r="D82" s="39"/>
      <c r="E82" s="39"/>
      <c r="F82" s="41"/>
      <c r="G82" s="39"/>
      <c r="H82" s="41"/>
      <c r="I82" s="39"/>
      <c r="J82" s="41"/>
      <c r="K82" s="41"/>
      <c r="L82" s="41"/>
      <c r="M82" s="41"/>
      <c r="N82" s="41"/>
      <c r="O82" s="42"/>
      <c r="P82" s="41"/>
      <c r="Q82" s="26"/>
      <c r="R82" s="26"/>
      <c r="S82" s="26"/>
      <c r="T82" s="26"/>
      <c r="U82" s="26"/>
      <c r="V82" s="26"/>
      <c r="W82" s="26"/>
      <c r="X82" s="26"/>
      <c r="Y82" s="26"/>
      <c r="Z82" s="27"/>
      <c r="AA82" s="26"/>
      <c r="AB82" s="26"/>
    </row>
    <row r="83" spans="1:28" ht="24">
      <c r="A83" s="39"/>
      <c r="B83" s="40"/>
      <c r="C83" s="39"/>
      <c r="D83" s="39"/>
      <c r="E83" s="39"/>
      <c r="F83" s="41"/>
      <c r="G83" s="39"/>
      <c r="H83" s="41"/>
      <c r="I83" s="39"/>
      <c r="J83" s="41"/>
      <c r="K83" s="41"/>
      <c r="L83" s="41"/>
      <c r="M83" s="41"/>
      <c r="N83" s="41"/>
      <c r="O83" s="42"/>
      <c r="P83" s="41"/>
      <c r="Q83" s="26"/>
      <c r="R83" s="26"/>
      <c r="S83" s="26"/>
      <c r="T83" s="26"/>
      <c r="U83" s="26"/>
      <c r="V83" s="26"/>
      <c r="W83" s="26"/>
      <c r="X83" s="26"/>
      <c r="Y83" s="26"/>
      <c r="Z83" s="27"/>
      <c r="AA83" s="26"/>
      <c r="AB83" s="26"/>
    </row>
    <row r="84" spans="1:28" ht="24">
      <c r="A84" s="39"/>
      <c r="B84" s="40"/>
      <c r="C84" s="39"/>
      <c r="D84" s="39"/>
      <c r="E84" s="39"/>
      <c r="F84" s="41"/>
      <c r="G84" s="39"/>
      <c r="H84" s="41"/>
      <c r="I84" s="39"/>
      <c r="J84" s="41"/>
      <c r="K84" s="41"/>
      <c r="L84" s="41"/>
      <c r="M84" s="41"/>
      <c r="N84" s="41"/>
      <c r="O84" s="42"/>
      <c r="P84" s="41"/>
      <c r="Q84" s="26"/>
      <c r="R84" s="26"/>
      <c r="S84" s="26"/>
      <c r="T84" s="26"/>
      <c r="U84" s="26"/>
      <c r="V84" s="26"/>
      <c r="W84" s="26"/>
      <c r="X84" s="26"/>
      <c r="Y84" s="26"/>
      <c r="Z84" s="27"/>
      <c r="AA84" s="26"/>
      <c r="AB84" s="26"/>
    </row>
    <row r="85" spans="1:28" ht="24">
      <c r="A85" s="39"/>
      <c r="B85" s="40"/>
      <c r="C85" s="39"/>
      <c r="D85" s="39"/>
      <c r="E85" s="39"/>
      <c r="F85" s="41"/>
      <c r="G85" s="39"/>
      <c r="H85" s="41"/>
      <c r="I85" s="39"/>
      <c r="J85" s="41"/>
      <c r="K85" s="41"/>
      <c r="L85" s="41"/>
      <c r="M85" s="41"/>
      <c r="N85" s="41"/>
      <c r="O85" s="42"/>
      <c r="P85" s="41"/>
      <c r="Q85" s="26"/>
      <c r="R85" s="26"/>
      <c r="S85" s="26"/>
      <c r="T85" s="26"/>
      <c r="U85" s="26"/>
      <c r="V85" s="26"/>
      <c r="W85" s="26"/>
      <c r="X85" s="26"/>
      <c r="Y85" s="26"/>
      <c r="Z85" s="27"/>
      <c r="AA85" s="26"/>
      <c r="AB85" s="26"/>
    </row>
    <row r="86" spans="1:28" ht="24">
      <c r="A86" s="39"/>
      <c r="B86" s="40"/>
      <c r="C86" s="39"/>
      <c r="D86" s="39"/>
      <c r="E86" s="39"/>
      <c r="F86" s="41"/>
      <c r="G86" s="39"/>
      <c r="H86" s="41"/>
      <c r="I86" s="39"/>
      <c r="J86" s="41"/>
      <c r="K86" s="41"/>
      <c r="L86" s="41"/>
      <c r="M86" s="41"/>
      <c r="N86" s="41"/>
      <c r="O86" s="42"/>
      <c r="P86" s="41"/>
      <c r="Q86" s="26"/>
      <c r="R86" s="26"/>
      <c r="S86" s="26"/>
      <c r="T86" s="26"/>
      <c r="U86" s="26"/>
      <c r="V86" s="26"/>
      <c r="W86" s="26"/>
      <c r="X86" s="26"/>
      <c r="Y86" s="26"/>
      <c r="Z86" s="27"/>
      <c r="AA86" s="26"/>
      <c r="AB86" s="26"/>
    </row>
    <row r="87" spans="1:28" ht="24">
      <c r="A87" s="39"/>
      <c r="B87" s="40"/>
      <c r="C87" s="39"/>
      <c r="D87" s="39"/>
      <c r="E87" s="39"/>
      <c r="F87" s="41"/>
      <c r="G87" s="39"/>
      <c r="H87" s="41"/>
      <c r="I87" s="39"/>
      <c r="J87" s="41"/>
      <c r="K87" s="41"/>
      <c r="L87" s="41"/>
      <c r="M87" s="41"/>
      <c r="N87" s="41"/>
      <c r="O87" s="42"/>
      <c r="P87" s="41"/>
      <c r="Q87" s="26"/>
      <c r="R87" s="26"/>
      <c r="S87" s="26"/>
      <c r="T87" s="26"/>
      <c r="U87" s="26"/>
      <c r="V87" s="26"/>
      <c r="W87" s="26"/>
      <c r="X87" s="26"/>
      <c r="Y87" s="26"/>
      <c r="Z87" s="27"/>
      <c r="AA87" s="26"/>
      <c r="AB87" s="26"/>
    </row>
    <row r="88" spans="1:28" ht="24">
      <c r="A88" s="39"/>
      <c r="B88" s="40"/>
      <c r="C88" s="39"/>
      <c r="D88" s="39"/>
      <c r="E88" s="39"/>
      <c r="F88" s="41"/>
      <c r="G88" s="39"/>
      <c r="H88" s="41"/>
      <c r="I88" s="39"/>
      <c r="J88" s="41"/>
      <c r="K88" s="41"/>
      <c r="L88" s="41"/>
      <c r="M88" s="41"/>
      <c r="N88" s="41"/>
      <c r="O88" s="42"/>
      <c r="P88" s="41"/>
      <c r="Q88" s="26"/>
      <c r="R88" s="26"/>
      <c r="S88" s="26"/>
      <c r="T88" s="26"/>
      <c r="U88" s="26"/>
      <c r="V88" s="26"/>
      <c r="W88" s="26"/>
      <c r="X88" s="26"/>
      <c r="Y88" s="26"/>
      <c r="Z88" s="27"/>
      <c r="AA88" s="26"/>
      <c r="AB88" s="26"/>
    </row>
    <row r="89" spans="1:28" ht="24">
      <c r="A89" s="39"/>
      <c r="B89" s="40"/>
      <c r="C89" s="39"/>
      <c r="D89" s="39"/>
      <c r="E89" s="39"/>
      <c r="F89" s="41"/>
      <c r="G89" s="39"/>
      <c r="H89" s="41"/>
      <c r="I89" s="39"/>
      <c r="J89" s="41"/>
      <c r="K89" s="41"/>
      <c r="L89" s="41"/>
      <c r="M89" s="41"/>
      <c r="N89" s="41"/>
      <c r="O89" s="42"/>
      <c r="P89" s="41"/>
      <c r="Q89" s="26"/>
      <c r="R89" s="26"/>
      <c r="S89" s="26"/>
      <c r="T89" s="26"/>
      <c r="U89" s="26"/>
      <c r="V89" s="26"/>
      <c r="W89" s="26"/>
      <c r="X89" s="26"/>
      <c r="Y89" s="26"/>
      <c r="Z89" s="27"/>
      <c r="AA89" s="26"/>
      <c r="AB89" s="26"/>
    </row>
    <row r="90" spans="1:28" ht="24">
      <c r="A90" s="39"/>
      <c r="B90" s="40"/>
      <c r="C90" s="39"/>
      <c r="D90" s="39"/>
      <c r="E90" s="39"/>
      <c r="F90" s="41"/>
      <c r="G90" s="39"/>
      <c r="H90" s="41"/>
      <c r="I90" s="39"/>
      <c r="J90" s="41"/>
      <c r="K90" s="41"/>
      <c r="L90" s="41"/>
      <c r="M90" s="41"/>
      <c r="N90" s="41"/>
      <c r="O90" s="42"/>
      <c r="P90" s="41"/>
      <c r="Q90" s="26"/>
      <c r="R90" s="26"/>
      <c r="S90" s="26"/>
      <c r="T90" s="26"/>
      <c r="U90" s="26"/>
      <c r="V90" s="26"/>
      <c r="W90" s="26"/>
      <c r="X90" s="26"/>
      <c r="Y90" s="26"/>
      <c r="Z90" s="27"/>
      <c r="AA90" s="26"/>
      <c r="AB90" s="26"/>
    </row>
    <row r="91" spans="1:28" ht="24">
      <c r="A91" s="39"/>
      <c r="B91" s="40"/>
      <c r="C91" s="39"/>
      <c r="D91" s="39"/>
      <c r="E91" s="39"/>
      <c r="F91" s="41"/>
      <c r="G91" s="39"/>
      <c r="H91" s="41"/>
      <c r="I91" s="39"/>
      <c r="J91" s="41"/>
      <c r="K91" s="41"/>
      <c r="L91" s="41"/>
      <c r="M91" s="41"/>
      <c r="N91" s="41"/>
      <c r="O91" s="42"/>
      <c r="P91" s="41"/>
      <c r="Q91" s="26"/>
      <c r="R91" s="26"/>
      <c r="S91" s="26"/>
      <c r="T91" s="26"/>
      <c r="U91" s="26"/>
      <c r="V91" s="26"/>
      <c r="W91" s="26"/>
      <c r="X91" s="26"/>
      <c r="Y91" s="26"/>
      <c r="Z91" s="27"/>
      <c r="AA91" s="26"/>
      <c r="AB91" s="26"/>
    </row>
    <row r="92" spans="1:28" ht="24">
      <c r="A92" s="39"/>
      <c r="B92" s="40"/>
      <c r="C92" s="39"/>
      <c r="D92" s="39"/>
      <c r="E92" s="39"/>
      <c r="F92" s="41"/>
      <c r="G92" s="39"/>
      <c r="H92" s="41"/>
      <c r="I92" s="39"/>
      <c r="J92" s="41"/>
      <c r="K92" s="41"/>
      <c r="L92" s="41"/>
      <c r="M92" s="41"/>
      <c r="N92" s="41"/>
      <c r="O92" s="42"/>
      <c r="P92" s="41"/>
      <c r="Q92" s="26"/>
      <c r="R92" s="26"/>
      <c r="S92" s="26"/>
      <c r="T92" s="26"/>
      <c r="U92" s="26"/>
      <c r="V92" s="26"/>
      <c r="W92" s="26"/>
      <c r="X92" s="26"/>
      <c r="Y92" s="26"/>
      <c r="Z92" s="27"/>
      <c r="AA92" s="26"/>
      <c r="AB92" s="26"/>
    </row>
    <row r="93" spans="1:28" ht="24">
      <c r="A93" s="39"/>
      <c r="B93" s="40"/>
      <c r="C93" s="39"/>
      <c r="D93" s="39"/>
      <c r="E93" s="39"/>
      <c r="F93" s="41"/>
      <c r="G93" s="39"/>
      <c r="H93" s="41"/>
      <c r="I93" s="39"/>
      <c r="J93" s="41"/>
      <c r="K93" s="41"/>
      <c r="L93" s="41"/>
      <c r="M93" s="41"/>
      <c r="N93" s="41"/>
      <c r="O93" s="42"/>
      <c r="P93" s="41"/>
      <c r="Q93" s="26"/>
      <c r="R93" s="26"/>
      <c r="S93" s="26"/>
      <c r="T93" s="26"/>
      <c r="U93" s="26"/>
      <c r="V93" s="26"/>
      <c r="W93" s="26"/>
      <c r="X93" s="26"/>
      <c r="Y93" s="26"/>
      <c r="Z93" s="27"/>
      <c r="AA93" s="26"/>
      <c r="AB93" s="26"/>
    </row>
    <row r="94" spans="1:28" ht="24">
      <c r="A94" s="39"/>
      <c r="B94" s="40"/>
      <c r="C94" s="39"/>
      <c r="D94" s="39"/>
      <c r="E94" s="39"/>
      <c r="F94" s="41"/>
      <c r="G94" s="39"/>
      <c r="H94" s="41"/>
      <c r="I94" s="39"/>
      <c r="J94" s="41"/>
      <c r="K94" s="41"/>
      <c r="L94" s="41"/>
      <c r="M94" s="41"/>
      <c r="N94" s="41"/>
      <c r="O94" s="42"/>
      <c r="P94" s="41"/>
      <c r="Q94" s="26"/>
      <c r="R94" s="26"/>
      <c r="S94" s="26"/>
      <c r="T94" s="26"/>
      <c r="U94" s="26"/>
      <c r="V94" s="26"/>
      <c r="W94" s="26"/>
      <c r="X94" s="26"/>
      <c r="Y94" s="26"/>
      <c r="Z94" s="27"/>
      <c r="AA94" s="26"/>
      <c r="AB94" s="26"/>
    </row>
    <row r="95" spans="1:28" ht="24">
      <c r="A95" s="39"/>
      <c r="B95" s="40"/>
      <c r="C95" s="39"/>
      <c r="D95" s="39"/>
      <c r="E95" s="39"/>
      <c r="F95" s="41"/>
      <c r="G95" s="39"/>
      <c r="H95" s="41"/>
      <c r="I95" s="39"/>
      <c r="J95" s="41"/>
      <c r="K95" s="41"/>
      <c r="L95" s="41"/>
      <c r="M95" s="41"/>
      <c r="N95" s="41"/>
      <c r="O95" s="42"/>
      <c r="P95" s="41"/>
      <c r="Q95" s="26"/>
      <c r="R95" s="26"/>
      <c r="S95" s="26"/>
      <c r="T95" s="26"/>
      <c r="U95" s="26"/>
      <c r="V95" s="26"/>
      <c r="W95" s="26"/>
      <c r="X95" s="26"/>
      <c r="Y95" s="26"/>
      <c r="Z95" s="27"/>
      <c r="AA95" s="26"/>
      <c r="AB95" s="26"/>
    </row>
    <row r="96" spans="1:28" ht="24">
      <c r="A96" s="39"/>
      <c r="B96" s="40"/>
      <c r="C96" s="39"/>
      <c r="D96" s="39"/>
      <c r="E96" s="39"/>
      <c r="F96" s="41"/>
      <c r="G96" s="39"/>
      <c r="H96" s="41"/>
      <c r="I96" s="39"/>
      <c r="J96" s="41"/>
      <c r="K96" s="41"/>
      <c r="L96" s="41"/>
      <c r="M96" s="41"/>
      <c r="N96" s="41"/>
      <c r="O96" s="42"/>
      <c r="P96" s="41"/>
      <c r="Q96" s="26"/>
      <c r="R96" s="26"/>
      <c r="S96" s="26"/>
      <c r="T96" s="26"/>
      <c r="U96" s="26"/>
      <c r="V96" s="26"/>
      <c r="W96" s="26"/>
      <c r="X96" s="26"/>
      <c r="Y96" s="26"/>
      <c r="Z96" s="27"/>
      <c r="AA96" s="26"/>
      <c r="AB96" s="26"/>
    </row>
    <row r="97" spans="1:28" ht="24">
      <c r="A97" s="39"/>
      <c r="B97" s="40"/>
      <c r="C97" s="39"/>
      <c r="D97" s="39"/>
      <c r="E97" s="39"/>
      <c r="F97" s="41"/>
      <c r="G97" s="39"/>
      <c r="H97" s="41"/>
      <c r="I97" s="39"/>
      <c r="J97" s="41"/>
      <c r="K97" s="41"/>
      <c r="L97" s="41"/>
      <c r="M97" s="41"/>
      <c r="N97" s="41"/>
      <c r="O97" s="42"/>
      <c r="P97" s="41"/>
      <c r="Q97" s="26"/>
      <c r="R97" s="26"/>
      <c r="S97" s="26"/>
      <c r="T97" s="26"/>
      <c r="U97" s="26"/>
      <c r="V97" s="26"/>
      <c r="W97" s="26"/>
      <c r="X97" s="26"/>
      <c r="Y97" s="26"/>
      <c r="Z97" s="27"/>
      <c r="AA97" s="26"/>
      <c r="AB97" s="26"/>
    </row>
    <row r="98" spans="1:28" ht="24">
      <c r="A98" s="39"/>
      <c r="B98" s="40"/>
      <c r="C98" s="39"/>
      <c r="D98" s="39"/>
      <c r="E98" s="39"/>
      <c r="F98" s="41"/>
      <c r="G98" s="39"/>
      <c r="H98" s="41"/>
      <c r="I98" s="39"/>
      <c r="J98" s="41"/>
      <c r="K98" s="41"/>
      <c r="L98" s="41"/>
      <c r="M98" s="41"/>
      <c r="N98" s="41"/>
      <c r="O98" s="42"/>
      <c r="P98" s="41"/>
      <c r="Q98" s="26"/>
      <c r="R98" s="26"/>
      <c r="S98" s="26"/>
      <c r="T98" s="26"/>
      <c r="U98" s="26"/>
      <c r="V98" s="26"/>
      <c r="W98" s="26"/>
      <c r="X98" s="26"/>
      <c r="Y98" s="26"/>
      <c r="Z98" s="27"/>
      <c r="AA98" s="26"/>
      <c r="AB98" s="26"/>
    </row>
    <row r="99" spans="1:28" ht="24">
      <c r="A99" s="39"/>
      <c r="B99" s="40"/>
      <c r="C99" s="39"/>
      <c r="D99" s="39"/>
      <c r="E99" s="39"/>
      <c r="F99" s="41"/>
      <c r="G99" s="39"/>
      <c r="H99" s="41"/>
      <c r="I99" s="39"/>
      <c r="J99" s="41"/>
      <c r="K99" s="41"/>
      <c r="L99" s="41"/>
      <c r="M99" s="41"/>
      <c r="N99" s="41"/>
      <c r="O99" s="42"/>
      <c r="P99" s="41"/>
      <c r="Q99" s="26"/>
      <c r="R99" s="26"/>
      <c r="S99" s="26"/>
      <c r="T99" s="26"/>
      <c r="U99" s="26"/>
      <c r="V99" s="26"/>
      <c r="W99" s="26"/>
      <c r="X99" s="26"/>
      <c r="Y99" s="26"/>
      <c r="Z99" s="27"/>
      <c r="AA99" s="26"/>
      <c r="AB99" s="26"/>
    </row>
    <row r="100" spans="1:28" ht="24">
      <c r="A100" s="39"/>
      <c r="B100" s="40"/>
      <c r="C100" s="39"/>
      <c r="D100" s="39"/>
      <c r="E100" s="39"/>
      <c r="F100" s="41"/>
      <c r="G100" s="39"/>
      <c r="H100" s="41"/>
      <c r="I100" s="39"/>
      <c r="J100" s="41"/>
      <c r="K100" s="41"/>
      <c r="L100" s="41"/>
      <c r="M100" s="41"/>
      <c r="N100" s="41"/>
      <c r="O100" s="42"/>
      <c r="P100" s="41"/>
      <c r="Q100" s="26"/>
      <c r="R100" s="26"/>
      <c r="S100" s="26"/>
      <c r="T100" s="26"/>
      <c r="U100" s="26"/>
      <c r="V100" s="26"/>
      <c r="W100" s="26"/>
      <c r="X100" s="26"/>
      <c r="Y100" s="26"/>
      <c r="Z100" s="27"/>
      <c r="AA100" s="26"/>
      <c r="AB100" s="26"/>
    </row>
    <row r="101" spans="1:28" ht="24">
      <c r="A101" s="39"/>
      <c r="B101" s="40"/>
      <c r="C101" s="39"/>
      <c r="D101" s="39"/>
      <c r="E101" s="39"/>
      <c r="F101" s="41"/>
      <c r="G101" s="39"/>
      <c r="H101" s="41"/>
      <c r="I101" s="39"/>
      <c r="J101" s="41"/>
      <c r="K101" s="41"/>
      <c r="L101" s="41"/>
      <c r="M101" s="41"/>
      <c r="N101" s="41"/>
      <c r="O101" s="42"/>
      <c r="P101" s="41"/>
      <c r="Q101" s="26"/>
      <c r="R101" s="26"/>
      <c r="S101" s="26"/>
      <c r="T101" s="26"/>
      <c r="U101" s="26"/>
      <c r="V101" s="26"/>
      <c r="W101" s="26"/>
      <c r="X101" s="26"/>
      <c r="Y101" s="26"/>
      <c r="Z101" s="27"/>
      <c r="AA101" s="26"/>
      <c r="AB101" s="26"/>
    </row>
    <row r="102" spans="1:28" ht="24">
      <c r="A102" s="39"/>
      <c r="B102" s="40"/>
      <c r="C102" s="39"/>
      <c r="D102" s="39"/>
      <c r="E102" s="39"/>
      <c r="F102" s="41"/>
      <c r="G102" s="39"/>
      <c r="H102" s="41"/>
      <c r="I102" s="39"/>
      <c r="J102" s="41"/>
      <c r="K102" s="41"/>
      <c r="L102" s="41"/>
      <c r="M102" s="41"/>
      <c r="N102" s="41"/>
      <c r="O102" s="42"/>
      <c r="P102" s="41"/>
      <c r="Q102" s="26"/>
      <c r="R102" s="26"/>
      <c r="S102" s="26"/>
      <c r="T102" s="26"/>
      <c r="U102" s="26"/>
      <c r="V102" s="26"/>
      <c r="W102" s="26"/>
      <c r="X102" s="26"/>
      <c r="Y102" s="26"/>
      <c r="Z102" s="27"/>
      <c r="AA102" s="26"/>
      <c r="AB102" s="26"/>
    </row>
    <row r="103" spans="1:28" ht="24">
      <c r="A103" s="39"/>
      <c r="B103" s="40"/>
      <c r="C103" s="39"/>
      <c r="D103" s="39"/>
      <c r="E103" s="39"/>
      <c r="F103" s="41"/>
      <c r="G103" s="39"/>
      <c r="H103" s="41"/>
      <c r="I103" s="39"/>
      <c r="J103" s="41"/>
      <c r="K103" s="41"/>
      <c r="L103" s="41"/>
      <c r="M103" s="41"/>
      <c r="N103" s="41"/>
      <c r="O103" s="42"/>
      <c r="P103" s="41"/>
      <c r="Q103" s="26"/>
      <c r="R103" s="26"/>
      <c r="S103" s="26"/>
      <c r="T103" s="26"/>
      <c r="U103" s="26"/>
      <c r="V103" s="26"/>
      <c r="W103" s="26"/>
      <c r="X103" s="26"/>
      <c r="Y103" s="26"/>
      <c r="Z103" s="27"/>
      <c r="AA103" s="26"/>
      <c r="AB103" s="26"/>
    </row>
    <row r="104" spans="1:28" ht="24">
      <c r="A104" s="39"/>
      <c r="B104" s="40"/>
      <c r="C104" s="39"/>
      <c r="D104" s="39"/>
      <c r="E104" s="39"/>
      <c r="F104" s="41"/>
      <c r="G104" s="39"/>
      <c r="H104" s="41"/>
      <c r="I104" s="39"/>
      <c r="J104" s="41"/>
      <c r="K104" s="41"/>
      <c r="L104" s="41"/>
      <c r="M104" s="41"/>
      <c r="N104" s="41"/>
      <c r="O104" s="42"/>
      <c r="P104" s="41"/>
      <c r="Q104" s="26"/>
      <c r="R104" s="26"/>
      <c r="S104" s="26"/>
      <c r="T104" s="26"/>
      <c r="U104" s="26"/>
      <c r="V104" s="26"/>
      <c r="W104" s="26"/>
      <c r="X104" s="26"/>
      <c r="Y104" s="26"/>
      <c r="Z104" s="27"/>
      <c r="AA104" s="26"/>
      <c r="AB104" s="26"/>
    </row>
    <row r="105" spans="1:28" ht="24">
      <c r="A105" s="39"/>
      <c r="B105" s="40"/>
      <c r="C105" s="39"/>
      <c r="D105" s="39"/>
      <c r="E105" s="39"/>
      <c r="F105" s="41"/>
      <c r="G105" s="39"/>
      <c r="H105" s="41"/>
      <c r="I105" s="39"/>
      <c r="J105" s="41"/>
      <c r="K105" s="41"/>
      <c r="L105" s="41"/>
      <c r="M105" s="41"/>
      <c r="N105" s="41"/>
      <c r="O105" s="42"/>
      <c r="P105" s="41"/>
      <c r="Q105" s="26"/>
      <c r="R105" s="26"/>
      <c r="S105" s="26"/>
      <c r="T105" s="26"/>
      <c r="U105" s="26"/>
      <c r="V105" s="26"/>
      <c r="W105" s="26"/>
      <c r="X105" s="26"/>
      <c r="Y105" s="26"/>
      <c r="Z105" s="27"/>
      <c r="AA105" s="26"/>
      <c r="AB105" s="26"/>
    </row>
    <row r="106" spans="1:28" ht="24">
      <c r="A106" s="39"/>
      <c r="B106" s="40"/>
      <c r="C106" s="39"/>
      <c r="D106" s="39"/>
      <c r="E106" s="39"/>
      <c r="F106" s="41"/>
      <c r="G106" s="39"/>
      <c r="H106" s="41"/>
      <c r="I106" s="39"/>
      <c r="J106" s="41"/>
      <c r="K106" s="41"/>
      <c r="L106" s="41"/>
      <c r="M106" s="41"/>
      <c r="N106" s="41"/>
      <c r="O106" s="42"/>
      <c r="P106" s="41"/>
      <c r="Q106" s="26"/>
      <c r="R106" s="26"/>
      <c r="S106" s="26"/>
      <c r="T106" s="26"/>
      <c r="U106" s="26"/>
      <c r="V106" s="26"/>
      <c r="W106" s="26"/>
      <c r="X106" s="26"/>
      <c r="Y106" s="26"/>
      <c r="Z106" s="27"/>
      <c r="AA106" s="26"/>
      <c r="AB106" s="26"/>
    </row>
    <row r="107" spans="1:28" ht="24">
      <c r="A107" s="39"/>
      <c r="B107" s="40"/>
      <c r="C107" s="39"/>
      <c r="D107" s="39"/>
      <c r="E107" s="39"/>
      <c r="F107" s="41"/>
      <c r="G107" s="39"/>
      <c r="H107" s="41"/>
      <c r="I107" s="39"/>
      <c r="J107" s="41"/>
      <c r="K107" s="41"/>
      <c r="L107" s="41"/>
      <c r="M107" s="41"/>
      <c r="N107" s="41"/>
      <c r="O107" s="42"/>
      <c r="P107" s="41"/>
      <c r="Q107" s="26"/>
      <c r="R107" s="26"/>
      <c r="S107" s="26"/>
      <c r="T107" s="26"/>
      <c r="U107" s="26"/>
      <c r="V107" s="26"/>
      <c r="W107" s="26"/>
      <c r="X107" s="26"/>
      <c r="Y107" s="26"/>
      <c r="Z107" s="27"/>
      <c r="AA107" s="26"/>
      <c r="AB107" s="26"/>
    </row>
    <row r="108" spans="1:28" ht="24">
      <c r="A108" s="39"/>
      <c r="B108" s="40"/>
      <c r="C108" s="39"/>
      <c r="D108" s="39"/>
      <c r="E108" s="39"/>
      <c r="F108" s="41"/>
      <c r="G108" s="39"/>
      <c r="H108" s="41"/>
      <c r="I108" s="39"/>
      <c r="J108" s="41"/>
      <c r="K108" s="41"/>
      <c r="L108" s="41"/>
      <c r="M108" s="41"/>
      <c r="N108" s="41"/>
      <c r="O108" s="42"/>
      <c r="P108" s="41"/>
      <c r="Q108" s="26"/>
      <c r="R108" s="26"/>
      <c r="S108" s="26"/>
      <c r="T108" s="26"/>
      <c r="U108" s="26"/>
      <c r="V108" s="26"/>
      <c r="W108" s="26"/>
      <c r="X108" s="26"/>
      <c r="Y108" s="26"/>
      <c r="Z108" s="27"/>
      <c r="AA108" s="26"/>
      <c r="AB108" s="26"/>
    </row>
    <row r="109" spans="1:28" ht="24">
      <c r="A109" s="39"/>
      <c r="B109" s="40"/>
      <c r="C109" s="39"/>
      <c r="D109" s="39"/>
      <c r="E109" s="39"/>
      <c r="F109" s="41"/>
      <c r="G109" s="39"/>
      <c r="H109" s="41"/>
      <c r="I109" s="39"/>
      <c r="J109" s="41"/>
      <c r="K109" s="41"/>
      <c r="L109" s="41"/>
      <c r="M109" s="41"/>
      <c r="N109" s="41"/>
      <c r="O109" s="42"/>
      <c r="P109" s="41"/>
      <c r="Q109" s="26"/>
      <c r="R109" s="26"/>
      <c r="S109" s="26"/>
      <c r="T109" s="26"/>
      <c r="U109" s="26"/>
      <c r="V109" s="26"/>
      <c r="W109" s="26"/>
      <c r="X109" s="26"/>
      <c r="Y109" s="26"/>
      <c r="Z109" s="27"/>
      <c r="AA109" s="26"/>
      <c r="AB109" s="26"/>
    </row>
    <row r="110" spans="1:28" ht="24">
      <c r="A110" s="39"/>
      <c r="B110" s="40"/>
      <c r="C110" s="39"/>
      <c r="D110" s="39"/>
      <c r="E110" s="39"/>
      <c r="F110" s="41"/>
      <c r="G110" s="39"/>
      <c r="H110" s="41"/>
      <c r="I110" s="39"/>
      <c r="J110" s="41"/>
      <c r="K110" s="41"/>
      <c r="L110" s="41"/>
      <c r="M110" s="41"/>
      <c r="N110" s="41"/>
      <c r="O110" s="42"/>
      <c r="P110" s="41"/>
      <c r="Q110" s="26"/>
      <c r="R110" s="26"/>
      <c r="S110" s="26"/>
      <c r="T110" s="26"/>
      <c r="U110" s="26"/>
      <c r="V110" s="26"/>
      <c r="W110" s="26"/>
      <c r="X110" s="26"/>
      <c r="Y110" s="26"/>
      <c r="Z110" s="27"/>
      <c r="AA110" s="26"/>
      <c r="AB110" s="26"/>
    </row>
    <row r="111" spans="1:28" ht="24">
      <c r="A111" s="39"/>
      <c r="B111" s="40"/>
      <c r="C111" s="39"/>
      <c r="D111" s="39"/>
      <c r="E111" s="39"/>
      <c r="F111" s="41"/>
      <c r="G111" s="39"/>
      <c r="H111" s="41"/>
      <c r="I111" s="39"/>
      <c r="J111" s="41"/>
      <c r="K111" s="41"/>
      <c r="L111" s="41"/>
      <c r="M111" s="41"/>
      <c r="N111" s="41"/>
      <c r="O111" s="42"/>
      <c r="P111" s="41"/>
      <c r="Q111" s="26"/>
      <c r="R111" s="26"/>
      <c r="S111" s="26"/>
      <c r="T111" s="26"/>
      <c r="U111" s="26"/>
      <c r="V111" s="26"/>
      <c r="W111" s="26"/>
      <c r="X111" s="26"/>
      <c r="Y111" s="26"/>
      <c r="Z111" s="27"/>
      <c r="AA111" s="26"/>
      <c r="AB111" s="26"/>
    </row>
    <row r="112" spans="1:28" ht="24">
      <c r="A112" s="39"/>
      <c r="B112" s="40"/>
      <c r="C112" s="39"/>
      <c r="D112" s="39"/>
      <c r="E112" s="39"/>
      <c r="F112" s="41"/>
      <c r="G112" s="39"/>
      <c r="H112" s="41"/>
      <c r="I112" s="39"/>
      <c r="J112" s="41"/>
      <c r="K112" s="41"/>
      <c r="L112" s="41"/>
      <c r="M112" s="41"/>
      <c r="N112" s="41"/>
      <c r="O112" s="42"/>
      <c r="P112" s="41"/>
      <c r="Q112" s="26"/>
      <c r="R112" s="26"/>
      <c r="S112" s="26"/>
      <c r="T112" s="26"/>
      <c r="U112" s="26"/>
      <c r="V112" s="26"/>
      <c r="W112" s="26"/>
      <c r="X112" s="26"/>
      <c r="Y112" s="26"/>
      <c r="Z112" s="27"/>
      <c r="AA112" s="26"/>
      <c r="AB112" s="26"/>
    </row>
    <row r="113" spans="1:28" ht="24">
      <c r="A113" s="39"/>
      <c r="B113" s="40"/>
      <c r="C113" s="39"/>
      <c r="D113" s="39"/>
      <c r="E113" s="39"/>
      <c r="F113" s="41"/>
      <c r="G113" s="39"/>
      <c r="H113" s="41"/>
      <c r="I113" s="39"/>
      <c r="J113" s="41"/>
      <c r="K113" s="41"/>
      <c r="L113" s="41"/>
      <c r="M113" s="41"/>
      <c r="N113" s="41"/>
      <c r="O113" s="42"/>
      <c r="P113" s="41"/>
      <c r="Q113" s="26"/>
      <c r="R113" s="26"/>
      <c r="S113" s="26"/>
      <c r="T113" s="26"/>
      <c r="U113" s="26"/>
      <c r="V113" s="26"/>
      <c r="W113" s="26"/>
      <c r="X113" s="26"/>
      <c r="Y113" s="26"/>
      <c r="Z113" s="27"/>
      <c r="AA113" s="26"/>
      <c r="AB113" s="26"/>
    </row>
    <row r="114" spans="1:28" ht="24">
      <c r="A114" s="39"/>
      <c r="B114" s="40"/>
      <c r="C114" s="39"/>
      <c r="D114" s="39"/>
      <c r="E114" s="39"/>
      <c r="F114" s="41"/>
      <c r="G114" s="39"/>
      <c r="H114" s="41"/>
      <c r="I114" s="39"/>
      <c r="J114" s="41"/>
      <c r="K114" s="41"/>
      <c r="L114" s="41"/>
      <c r="M114" s="41"/>
      <c r="N114" s="41"/>
      <c r="O114" s="42"/>
      <c r="P114" s="41"/>
      <c r="Q114" s="26"/>
      <c r="R114" s="26"/>
      <c r="S114" s="26"/>
      <c r="T114" s="26"/>
      <c r="U114" s="26"/>
      <c r="V114" s="26"/>
      <c r="W114" s="26"/>
      <c r="X114" s="26"/>
      <c r="Y114" s="26"/>
      <c r="Z114" s="27"/>
      <c r="AA114" s="26"/>
      <c r="AB114" s="26"/>
    </row>
    <row r="115" spans="1:28" ht="24">
      <c r="A115" s="39"/>
      <c r="B115" s="40"/>
      <c r="C115" s="39"/>
      <c r="D115" s="39"/>
      <c r="E115" s="39"/>
      <c r="F115" s="41"/>
      <c r="G115" s="39"/>
      <c r="H115" s="41"/>
      <c r="I115" s="39"/>
      <c r="J115" s="41"/>
      <c r="K115" s="41"/>
      <c r="L115" s="41"/>
      <c r="M115" s="41"/>
      <c r="N115" s="41"/>
      <c r="O115" s="42"/>
      <c r="P115" s="41"/>
      <c r="Q115" s="26"/>
      <c r="R115" s="26"/>
      <c r="S115" s="26"/>
      <c r="T115" s="26"/>
      <c r="U115" s="26"/>
      <c r="V115" s="26"/>
      <c r="W115" s="26"/>
      <c r="X115" s="26"/>
      <c r="Y115" s="26"/>
      <c r="Z115" s="27"/>
      <c r="AA115" s="26"/>
      <c r="AB115" s="26"/>
    </row>
    <row r="116" spans="1:28" ht="24">
      <c r="A116" s="39"/>
      <c r="B116" s="40"/>
      <c r="C116" s="39"/>
      <c r="D116" s="39"/>
      <c r="E116" s="39"/>
      <c r="F116" s="41"/>
      <c r="G116" s="39"/>
      <c r="H116" s="41"/>
      <c r="I116" s="39"/>
      <c r="J116" s="41"/>
      <c r="K116" s="41"/>
      <c r="L116" s="41"/>
      <c r="M116" s="41"/>
      <c r="N116" s="41"/>
      <c r="O116" s="42"/>
      <c r="P116" s="41"/>
      <c r="Q116" s="26"/>
      <c r="R116" s="26"/>
      <c r="S116" s="26"/>
      <c r="T116" s="26"/>
      <c r="U116" s="26"/>
      <c r="V116" s="26"/>
      <c r="W116" s="26"/>
      <c r="X116" s="26"/>
      <c r="Y116" s="26"/>
      <c r="Z116" s="27"/>
      <c r="AA116" s="26"/>
      <c r="AB116" s="26"/>
    </row>
    <row r="117" spans="1:28" ht="24">
      <c r="A117" s="39"/>
      <c r="B117" s="40"/>
      <c r="C117" s="39"/>
      <c r="D117" s="39"/>
      <c r="E117" s="39"/>
      <c r="F117" s="41"/>
      <c r="G117" s="39"/>
      <c r="H117" s="41"/>
      <c r="I117" s="39"/>
      <c r="J117" s="41"/>
      <c r="K117" s="41"/>
      <c r="L117" s="41"/>
      <c r="M117" s="41"/>
      <c r="N117" s="41"/>
      <c r="O117" s="42"/>
      <c r="P117" s="41"/>
      <c r="Q117" s="26"/>
      <c r="R117" s="26"/>
      <c r="S117" s="26"/>
      <c r="T117" s="26"/>
      <c r="U117" s="26"/>
      <c r="V117" s="26"/>
      <c r="W117" s="26"/>
      <c r="X117" s="26"/>
      <c r="Y117" s="26"/>
      <c r="Z117" s="27"/>
      <c r="AA117" s="26"/>
      <c r="AB117" s="26"/>
    </row>
    <row r="118" spans="1:28" ht="24">
      <c r="A118" s="39"/>
      <c r="B118" s="40"/>
      <c r="C118" s="39"/>
      <c r="D118" s="39"/>
      <c r="E118" s="39"/>
      <c r="F118" s="41"/>
      <c r="G118" s="39"/>
      <c r="H118" s="41"/>
      <c r="I118" s="39"/>
      <c r="J118" s="41"/>
      <c r="K118" s="41"/>
      <c r="L118" s="41"/>
      <c r="M118" s="41"/>
      <c r="N118" s="41"/>
      <c r="O118" s="42"/>
      <c r="P118" s="41"/>
      <c r="Q118" s="26"/>
      <c r="R118" s="26"/>
      <c r="S118" s="26"/>
      <c r="T118" s="26"/>
      <c r="U118" s="26"/>
      <c r="V118" s="26"/>
      <c r="W118" s="26"/>
      <c r="X118" s="26"/>
      <c r="Y118" s="26"/>
      <c r="Z118" s="27"/>
      <c r="AA118" s="26"/>
      <c r="AB118" s="26"/>
    </row>
    <row r="119" spans="1:28" ht="24">
      <c r="A119" s="39"/>
      <c r="B119" s="40"/>
      <c r="C119" s="39"/>
      <c r="D119" s="39"/>
      <c r="E119" s="39"/>
      <c r="F119" s="41"/>
      <c r="G119" s="39"/>
      <c r="H119" s="41"/>
      <c r="I119" s="39"/>
      <c r="J119" s="41"/>
      <c r="K119" s="41"/>
      <c r="L119" s="41"/>
      <c r="M119" s="41"/>
      <c r="N119" s="41"/>
      <c r="O119" s="42"/>
      <c r="P119" s="41"/>
      <c r="Q119" s="26"/>
      <c r="R119" s="26"/>
      <c r="S119" s="26"/>
      <c r="T119" s="26"/>
      <c r="U119" s="26"/>
      <c r="V119" s="26"/>
      <c r="W119" s="26"/>
      <c r="X119" s="26"/>
      <c r="Y119" s="26"/>
      <c r="Z119" s="27"/>
      <c r="AA119" s="26"/>
      <c r="AB119" s="26"/>
    </row>
    <row r="120" spans="1:28" ht="24">
      <c r="A120" s="39"/>
      <c r="B120" s="40"/>
      <c r="C120" s="39"/>
      <c r="D120" s="39"/>
      <c r="E120" s="39"/>
      <c r="F120" s="41"/>
      <c r="G120" s="39"/>
      <c r="H120" s="41"/>
      <c r="I120" s="39"/>
      <c r="J120" s="41"/>
      <c r="K120" s="41"/>
      <c r="L120" s="41"/>
      <c r="M120" s="41"/>
      <c r="N120" s="41"/>
      <c r="O120" s="42"/>
      <c r="P120" s="41"/>
      <c r="Q120" s="26"/>
      <c r="R120" s="26"/>
      <c r="S120" s="26"/>
      <c r="T120" s="26"/>
      <c r="U120" s="26"/>
      <c r="V120" s="26"/>
      <c r="W120" s="26"/>
      <c r="X120" s="26"/>
      <c r="Y120" s="26"/>
      <c r="Z120" s="27"/>
      <c r="AA120" s="26"/>
      <c r="AB120" s="26"/>
    </row>
    <row r="121" spans="1:28" ht="24">
      <c r="A121" s="39"/>
      <c r="B121" s="40"/>
      <c r="C121" s="39"/>
      <c r="D121" s="39"/>
      <c r="E121" s="39"/>
      <c r="F121" s="41"/>
      <c r="G121" s="39"/>
      <c r="H121" s="41"/>
      <c r="I121" s="39"/>
      <c r="J121" s="41"/>
      <c r="K121" s="41"/>
      <c r="L121" s="41"/>
      <c r="M121" s="41"/>
      <c r="N121" s="41"/>
      <c r="O121" s="42"/>
      <c r="P121" s="41"/>
      <c r="Q121" s="26"/>
      <c r="R121" s="26"/>
      <c r="S121" s="26"/>
      <c r="T121" s="26"/>
      <c r="U121" s="26"/>
      <c r="V121" s="26"/>
      <c r="W121" s="26"/>
      <c r="X121" s="26"/>
      <c r="Y121" s="26"/>
      <c r="Z121" s="27"/>
      <c r="AA121" s="26"/>
      <c r="AB121" s="26"/>
    </row>
    <row r="122" spans="1:28" ht="24">
      <c r="A122" s="39"/>
      <c r="B122" s="40"/>
      <c r="C122" s="39"/>
      <c r="D122" s="39"/>
      <c r="E122" s="39"/>
      <c r="F122" s="41"/>
      <c r="G122" s="39"/>
      <c r="H122" s="41"/>
      <c r="I122" s="39"/>
      <c r="J122" s="41"/>
      <c r="K122" s="41"/>
      <c r="L122" s="41"/>
      <c r="M122" s="41"/>
      <c r="N122" s="41"/>
      <c r="O122" s="42"/>
      <c r="P122" s="41"/>
      <c r="Q122" s="26"/>
      <c r="R122" s="26"/>
      <c r="S122" s="26"/>
      <c r="T122" s="26"/>
      <c r="U122" s="26"/>
      <c r="V122" s="26"/>
      <c r="W122" s="26"/>
      <c r="X122" s="26"/>
      <c r="Y122" s="26"/>
      <c r="Z122" s="27"/>
      <c r="AA122" s="26"/>
      <c r="AB122" s="26"/>
    </row>
    <row r="123" spans="1:28" ht="24">
      <c r="A123" s="39"/>
      <c r="B123" s="40"/>
      <c r="C123" s="39"/>
      <c r="D123" s="39"/>
      <c r="E123" s="39"/>
      <c r="F123" s="41"/>
      <c r="G123" s="39"/>
      <c r="H123" s="41"/>
      <c r="I123" s="39"/>
      <c r="J123" s="41"/>
      <c r="K123" s="41"/>
      <c r="L123" s="41"/>
      <c r="M123" s="41"/>
      <c r="N123" s="41"/>
      <c r="O123" s="42"/>
      <c r="P123" s="41"/>
      <c r="Q123" s="26"/>
      <c r="R123" s="26"/>
      <c r="S123" s="26"/>
      <c r="T123" s="26"/>
      <c r="U123" s="26"/>
      <c r="V123" s="26"/>
      <c r="W123" s="26"/>
      <c r="X123" s="26"/>
      <c r="Y123" s="26"/>
      <c r="Z123" s="27"/>
      <c r="AA123" s="26"/>
      <c r="AB123" s="26"/>
    </row>
    <row r="124" spans="1:28" ht="24">
      <c r="A124" s="39"/>
      <c r="B124" s="40"/>
      <c r="C124" s="39"/>
      <c r="D124" s="39"/>
      <c r="E124" s="39"/>
      <c r="F124" s="41"/>
      <c r="G124" s="39"/>
      <c r="H124" s="41"/>
      <c r="I124" s="39"/>
      <c r="J124" s="41"/>
      <c r="K124" s="41"/>
      <c r="L124" s="41"/>
      <c r="M124" s="41"/>
      <c r="N124" s="41"/>
      <c r="O124" s="42"/>
      <c r="P124" s="41"/>
      <c r="Q124" s="26"/>
      <c r="R124" s="26"/>
      <c r="S124" s="26"/>
      <c r="T124" s="26"/>
      <c r="U124" s="26"/>
      <c r="V124" s="26"/>
      <c r="W124" s="26"/>
      <c r="X124" s="26"/>
      <c r="Y124" s="26"/>
      <c r="Z124" s="27"/>
      <c r="AA124" s="26"/>
      <c r="AB124" s="26"/>
    </row>
    <row r="125" spans="1:28" ht="24">
      <c r="A125" s="39"/>
      <c r="B125" s="40"/>
      <c r="C125" s="39"/>
      <c r="D125" s="39"/>
      <c r="E125" s="39"/>
      <c r="F125" s="41"/>
      <c r="G125" s="39"/>
      <c r="H125" s="41"/>
      <c r="I125" s="39"/>
      <c r="J125" s="41"/>
      <c r="K125" s="41"/>
      <c r="L125" s="41"/>
      <c r="M125" s="41"/>
      <c r="N125" s="41"/>
      <c r="O125" s="42"/>
      <c r="P125" s="41"/>
      <c r="Q125" s="26"/>
      <c r="R125" s="26"/>
      <c r="S125" s="26"/>
      <c r="T125" s="26"/>
      <c r="U125" s="26"/>
      <c r="V125" s="26"/>
      <c r="W125" s="26"/>
      <c r="X125" s="26"/>
      <c r="Y125" s="26"/>
      <c r="Z125" s="27"/>
      <c r="AA125" s="26"/>
      <c r="AB125" s="26"/>
    </row>
    <row r="126" spans="1:28" ht="24">
      <c r="A126" s="39"/>
      <c r="B126" s="40"/>
      <c r="C126" s="39"/>
      <c r="D126" s="39"/>
      <c r="E126" s="39"/>
      <c r="F126" s="41"/>
      <c r="G126" s="39"/>
      <c r="H126" s="41"/>
      <c r="I126" s="39"/>
      <c r="J126" s="41"/>
      <c r="K126" s="41"/>
      <c r="L126" s="41"/>
      <c r="M126" s="41"/>
      <c r="N126" s="41"/>
      <c r="O126" s="42"/>
      <c r="P126" s="41"/>
      <c r="Q126" s="26"/>
      <c r="R126" s="26"/>
      <c r="S126" s="26"/>
      <c r="T126" s="26"/>
      <c r="U126" s="26"/>
      <c r="V126" s="26"/>
      <c r="W126" s="26"/>
      <c r="X126" s="26"/>
      <c r="Y126" s="26"/>
      <c r="Z126" s="27"/>
      <c r="AA126" s="26"/>
      <c r="AB126" s="26"/>
    </row>
    <row r="127" spans="1:28" ht="24">
      <c r="A127" s="39"/>
      <c r="B127" s="40"/>
      <c r="C127" s="39"/>
      <c r="D127" s="39"/>
      <c r="E127" s="39"/>
      <c r="F127" s="41"/>
      <c r="G127" s="39"/>
      <c r="H127" s="41"/>
      <c r="I127" s="39"/>
      <c r="J127" s="41"/>
      <c r="K127" s="41"/>
      <c r="L127" s="41"/>
      <c r="M127" s="41"/>
      <c r="N127" s="41"/>
      <c r="O127" s="42"/>
      <c r="P127" s="41"/>
      <c r="Q127" s="26"/>
      <c r="R127" s="26"/>
      <c r="S127" s="26"/>
      <c r="T127" s="26"/>
      <c r="U127" s="26"/>
      <c r="V127" s="26"/>
      <c r="W127" s="26"/>
      <c r="X127" s="26"/>
      <c r="Y127" s="26"/>
      <c r="Z127" s="27"/>
      <c r="AA127" s="26"/>
      <c r="AB127" s="26"/>
    </row>
    <row r="128" spans="1:28" ht="24">
      <c r="A128" s="39"/>
      <c r="B128" s="40"/>
      <c r="C128" s="39"/>
      <c r="D128" s="39"/>
      <c r="E128" s="39"/>
      <c r="F128" s="41"/>
      <c r="G128" s="39"/>
      <c r="H128" s="41"/>
      <c r="I128" s="39"/>
      <c r="J128" s="41"/>
      <c r="K128" s="41"/>
      <c r="L128" s="41"/>
      <c r="M128" s="41"/>
      <c r="N128" s="41"/>
      <c r="O128" s="42"/>
      <c r="P128" s="41"/>
      <c r="Q128" s="26"/>
      <c r="R128" s="26"/>
      <c r="S128" s="26"/>
      <c r="T128" s="26"/>
      <c r="U128" s="26"/>
      <c r="V128" s="26"/>
      <c r="W128" s="26"/>
      <c r="X128" s="26"/>
      <c r="Y128" s="26"/>
      <c r="Z128" s="27"/>
      <c r="AA128" s="26"/>
      <c r="AB128" s="26"/>
    </row>
    <row r="129" spans="1:28" ht="24">
      <c r="A129" s="39"/>
      <c r="B129" s="40"/>
      <c r="C129" s="39"/>
      <c r="D129" s="39"/>
      <c r="E129" s="39"/>
      <c r="F129" s="41"/>
      <c r="G129" s="39"/>
      <c r="H129" s="41"/>
      <c r="I129" s="39"/>
      <c r="J129" s="41"/>
      <c r="K129" s="41"/>
      <c r="L129" s="41"/>
      <c r="M129" s="41"/>
      <c r="N129" s="41"/>
      <c r="O129" s="42"/>
      <c r="P129" s="41"/>
      <c r="Q129" s="26"/>
      <c r="R129" s="26"/>
      <c r="S129" s="26"/>
      <c r="T129" s="26"/>
      <c r="U129" s="26"/>
      <c r="V129" s="26"/>
      <c r="W129" s="26"/>
      <c r="X129" s="26"/>
      <c r="Y129" s="26"/>
      <c r="Z129" s="27"/>
      <c r="AA129" s="26"/>
      <c r="AB129" s="26"/>
    </row>
    <row r="130" spans="1:28" ht="24">
      <c r="A130" s="39"/>
      <c r="B130" s="40"/>
      <c r="C130" s="39"/>
      <c r="D130" s="39"/>
      <c r="E130" s="39"/>
      <c r="F130" s="41"/>
      <c r="G130" s="39"/>
      <c r="H130" s="41"/>
      <c r="I130" s="39"/>
      <c r="J130" s="41"/>
      <c r="K130" s="41"/>
      <c r="L130" s="41"/>
      <c r="M130" s="41"/>
      <c r="N130" s="41"/>
      <c r="O130" s="42"/>
      <c r="P130" s="41"/>
      <c r="Q130" s="26"/>
      <c r="R130" s="26"/>
      <c r="S130" s="26"/>
      <c r="T130" s="26"/>
      <c r="U130" s="26"/>
      <c r="V130" s="26"/>
      <c r="W130" s="26"/>
      <c r="X130" s="26"/>
      <c r="Y130" s="26"/>
      <c r="Z130" s="27"/>
      <c r="AA130" s="26"/>
      <c r="AB130" s="26"/>
    </row>
    <row r="131" spans="1:28" ht="24">
      <c r="A131" s="39"/>
      <c r="B131" s="40"/>
      <c r="C131" s="39"/>
      <c r="D131" s="39"/>
      <c r="E131" s="39"/>
      <c r="F131" s="41"/>
      <c r="G131" s="39"/>
      <c r="H131" s="41"/>
      <c r="I131" s="39"/>
      <c r="J131" s="41"/>
      <c r="K131" s="41"/>
      <c r="L131" s="41"/>
      <c r="M131" s="41"/>
      <c r="N131" s="41"/>
      <c r="O131" s="42"/>
      <c r="P131" s="41"/>
      <c r="Q131" s="26"/>
      <c r="R131" s="26"/>
      <c r="S131" s="26"/>
      <c r="T131" s="26"/>
      <c r="U131" s="26"/>
      <c r="V131" s="26"/>
      <c r="W131" s="26"/>
      <c r="X131" s="26"/>
      <c r="Y131" s="26"/>
      <c r="Z131" s="27"/>
      <c r="AA131" s="26"/>
      <c r="AB131" s="26"/>
    </row>
    <row r="132" spans="1:28" ht="24">
      <c r="A132" s="39"/>
      <c r="B132" s="40"/>
      <c r="C132" s="39"/>
      <c r="D132" s="39"/>
      <c r="E132" s="39"/>
      <c r="F132" s="41"/>
      <c r="G132" s="39"/>
      <c r="H132" s="41"/>
      <c r="I132" s="39"/>
      <c r="J132" s="41"/>
      <c r="K132" s="41"/>
      <c r="L132" s="41"/>
      <c r="M132" s="41"/>
      <c r="N132" s="41"/>
      <c r="O132" s="42"/>
      <c r="P132" s="41"/>
      <c r="Q132" s="26"/>
      <c r="R132" s="26"/>
      <c r="S132" s="26"/>
      <c r="T132" s="26"/>
      <c r="U132" s="26"/>
      <c r="V132" s="26"/>
      <c r="W132" s="26"/>
      <c r="X132" s="26"/>
      <c r="Y132" s="26"/>
      <c r="Z132" s="27"/>
      <c r="AA132" s="26"/>
      <c r="AB132" s="26"/>
    </row>
    <row r="133" spans="1:28" ht="24">
      <c r="A133" s="39"/>
      <c r="B133" s="40"/>
      <c r="C133" s="39"/>
      <c r="D133" s="39"/>
      <c r="E133" s="39"/>
      <c r="F133" s="41"/>
      <c r="G133" s="39"/>
      <c r="H133" s="41"/>
      <c r="I133" s="39"/>
      <c r="J133" s="41"/>
      <c r="K133" s="41"/>
      <c r="L133" s="41"/>
      <c r="M133" s="41"/>
      <c r="N133" s="41"/>
      <c r="O133" s="42"/>
      <c r="P133" s="41"/>
      <c r="Q133" s="26"/>
      <c r="R133" s="26"/>
      <c r="S133" s="26"/>
      <c r="T133" s="26"/>
      <c r="U133" s="26"/>
      <c r="V133" s="26"/>
      <c r="W133" s="26"/>
      <c r="X133" s="26"/>
      <c r="Y133" s="26"/>
      <c r="Z133" s="27"/>
      <c r="AA133" s="26"/>
      <c r="AB133" s="26"/>
    </row>
    <row r="134" spans="1:28" ht="24">
      <c r="A134" s="39"/>
      <c r="B134" s="40"/>
      <c r="C134" s="39"/>
      <c r="D134" s="39"/>
      <c r="E134" s="39"/>
      <c r="F134" s="41"/>
      <c r="G134" s="39"/>
      <c r="H134" s="41"/>
      <c r="I134" s="39"/>
      <c r="J134" s="41"/>
      <c r="K134" s="41"/>
      <c r="L134" s="41"/>
      <c r="M134" s="41"/>
      <c r="N134" s="41"/>
      <c r="O134" s="42"/>
      <c r="P134" s="41"/>
      <c r="Q134" s="26"/>
      <c r="R134" s="26"/>
      <c r="S134" s="26"/>
      <c r="T134" s="26"/>
      <c r="U134" s="26"/>
      <c r="V134" s="26"/>
      <c r="W134" s="26"/>
      <c r="X134" s="26"/>
      <c r="Y134" s="26"/>
      <c r="Z134" s="27"/>
      <c r="AA134" s="26"/>
      <c r="AB134" s="26"/>
    </row>
    <row r="135" spans="1:28" ht="24">
      <c r="A135" s="39"/>
      <c r="B135" s="40"/>
      <c r="C135" s="39"/>
      <c r="D135" s="39"/>
      <c r="E135" s="39"/>
      <c r="F135" s="41"/>
      <c r="G135" s="39"/>
      <c r="H135" s="41"/>
      <c r="I135" s="39"/>
      <c r="J135" s="41"/>
      <c r="K135" s="41"/>
      <c r="L135" s="41"/>
      <c r="M135" s="41"/>
      <c r="N135" s="41"/>
      <c r="O135" s="42"/>
      <c r="P135" s="41"/>
      <c r="Q135" s="26"/>
      <c r="R135" s="26"/>
      <c r="S135" s="26"/>
      <c r="T135" s="26"/>
      <c r="U135" s="26"/>
      <c r="V135" s="26"/>
      <c r="W135" s="26"/>
      <c r="X135" s="26"/>
      <c r="Y135" s="26"/>
      <c r="Z135" s="27"/>
      <c r="AA135" s="26"/>
      <c r="AB135" s="26"/>
    </row>
    <row r="136" spans="1:28" ht="24">
      <c r="A136" s="39"/>
      <c r="B136" s="40"/>
      <c r="C136" s="39"/>
      <c r="D136" s="39"/>
      <c r="E136" s="39"/>
      <c r="F136" s="41"/>
      <c r="G136" s="39"/>
      <c r="H136" s="41"/>
      <c r="I136" s="39"/>
      <c r="J136" s="41"/>
      <c r="K136" s="41"/>
      <c r="L136" s="41"/>
      <c r="M136" s="41"/>
      <c r="N136" s="41"/>
      <c r="O136" s="42"/>
      <c r="P136" s="41"/>
      <c r="Q136" s="26"/>
      <c r="R136" s="26"/>
      <c r="S136" s="26"/>
      <c r="T136" s="26"/>
      <c r="U136" s="26"/>
      <c r="V136" s="26"/>
      <c r="W136" s="26"/>
      <c r="X136" s="26"/>
      <c r="Y136" s="26"/>
      <c r="Z136" s="27"/>
      <c r="AA136" s="26"/>
      <c r="AB136" s="26"/>
    </row>
    <row r="137" spans="1:28" ht="24">
      <c r="A137" s="39"/>
      <c r="B137" s="40"/>
      <c r="C137" s="39"/>
      <c r="D137" s="39"/>
      <c r="E137" s="39"/>
      <c r="F137" s="41"/>
      <c r="G137" s="39"/>
      <c r="H137" s="41"/>
      <c r="I137" s="39"/>
      <c r="J137" s="41"/>
      <c r="K137" s="41"/>
      <c r="L137" s="41"/>
      <c r="M137" s="41"/>
      <c r="N137" s="41"/>
      <c r="O137" s="42"/>
      <c r="P137" s="41"/>
      <c r="Q137" s="26"/>
      <c r="R137" s="26"/>
      <c r="S137" s="26"/>
      <c r="T137" s="26"/>
      <c r="U137" s="26"/>
      <c r="V137" s="26"/>
      <c r="W137" s="26"/>
      <c r="X137" s="26"/>
      <c r="Y137" s="26"/>
      <c r="Z137" s="27"/>
      <c r="AA137" s="26"/>
      <c r="AB137" s="26"/>
    </row>
    <row r="138" spans="1:28" ht="24">
      <c r="A138" s="39"/>
      <c r="B138" s="40"/>
      <c r="C138" s="39"/>
      <c r="D138" s="39"/>
      <c r="E138" s="39"/>
      <c r="F138" s="41"/>
      <c r="G138" s="39"/>
      <c r="H138" s="41"/>
      <c r="I138" s="39"/>
      <c r="J138" s="41"/>
      <c r="K138" s="41"/>
      <c r="L138" s="41"/>
      <c r="M138" s="41"/>
      <c r="N138" s="41"/>
      <c r="O138" s="42"/>
      <c r="P138" s="41"/>
      <c r="Q138" s="26"/>
      <c r="R138" s="26"/>
      <c r="S138" s="26"/>
      <c r="T138" s="26"/>
      <c r="U138" s="26"/>
      <c r="V138" s="26"/>
      <c r="W138" s="26"/>
      <c r="X138" s="26"/>
      <c r="Y138" s="26"/>
      <c r="Z138" s="27"/>
      <c r="AA138" s="26"/>
      <c r="AB138" s="26"/>
    </row>
    <row r="139" spans="1:28" ht="24">
      <c r="A139" s="39"/>
      <c r="B139" s="40"/>
      <c r="C139" s="39"/>
      <c r="D139" s="39"/>
      <c r="E139" s="39"/>
      <c r="F139" s="41"/>
      <c r="G139" s="39"/>
      <c r="H139" s="41"/>
      <c r="I139" s="39"/>
      <c r="J139" s="41"/>
      <c r="K139" s="41"/>
      <c r="L139" s="41"/>
      <c r="M139" s="41"/>
      <c r="N139" s="41"/>
      <c r="O139" s="42"/>
      <c r="P139" s="41"/>
      <c r="Q139" s="26"/>
      <c r="R139" s="26"/>
      <c r="S139" s="26"/>
      <c r="T139" s="26"/>
      <c r="U139" s="26"/>
      <c r="V139" s="26"/>
      <c r="W139" s="26"/>
      <c r="X139" s="26"/>
      <c r="Y139" s="26"/>
      <c r="Z139" s="27"/>
      <c r="AA139" s="26"/>
      <c r="AB139" s="26"/>
    </row>
    <row r="140" spans="1:28" ht="24">
      <c r="A140" s="39"/>
      <c r="B140" s="40"/>
      <c r="C140" s="39"/>
      <c r="D140" s="39"/>
      <c r="E140" s="39"/>
      <c r="F140" s="41"/>
      <c r="G140" s="39"/>
      <c r="H140" s="41"/>
      <c r="I140" s="39"/>
      <c r="J140" s="41"/>
      <c r="K140" s="41"/>
      <c r="L140" s="41"/>
      <c r="M140" s="41"/>
      <c r="N140" s="41"/>
      <c r="O140" s="42"/>
      <c r="P140" s="41"/>
      <c r="Q140" s="26"/>
      <c r="R140" s="26"/>
      <c r="S140" s="26"/>
      <c r="T140" s="26"/>
      <c r="U140" s="26"/>
      <c r="V140" s="26"/>
      <c r="W140" s="26"/>
      <c r="X140" s="26"/>
      <c r="Y140" s="26"/>
      <c r="Z140" s="27"/>
      <c r="AA140" s="26"/>
      <c r="AB140" s="26"/>
    </row>
    <row r="141" spans="1:28" ht="24">
      <c r="A141" s="39"/>
      <c r="B141" s="40"/>
      <c r="C141" s="39"/>
      <c r="D141" s="39"/>
      <c r="E141" s="39"/>
      <c r="F141" s="41"/>
      <c r="G141" s="39"/>
      <c r="H141" s="41"/>
      <c r="I141" s="39"/>
      <c r="J141" s="41"/>
      <c r="K141" s="41"/>
      <c r="L141" s="41"/>
      <c r="M141" s="41"/>
      <c r="N141" s="41"/>
      <c r="O141" s="42"/>
      <c r="P141" s="41"/>
      <c r="Q141" s="26"/>
      <c r="R141" s="26"/>
      <c r="S141" s="26"/>
      <c r="T141" s="26"/>
      <c r="U141" s="26"/>
      <c r="V141" s="26"/>
      <c r="W141" s="26"/>
      <c r="X141" s="26"/>
      <c r="Y141" s="26"/>
      <c r="Z141" s="27"/>
      <c r="AA141" s="26"/>
      <c r="AB141" s="26"/>
    </row>
    <row r="142" spans="1:28" ht="24">
      <c r="A142" s="39"/>
      <c r="B142" s="40"/>
      <c r="C142" s="39"/>
      <c r="D142" s="39"/>
      <c r="E142" s="39"/>
      <c r="F142" s="41"/>
      <c r="G142" s="39"/>
      <c r="H142" s="41"/>
      <c r="I142" s="39"/>
      <c r="J142" s="41"/>
      <c r="K142" s="41"/>
      <c r="L142" s="41"/>
      <c r="M142" s="41"/>
      <c r="N142" s="41"/>
      <c r="O142" s="42"/>
      <c r="P142" s="41"/>
      <c r="Q142" s="26"/>
      <c r="R142" s="26"/>
      <c r="S142" s="26"/>
      <c r="T142" s="26"/>
      <c r="U142" s="26"/>
      <c r="V142" s="26"/>
      <c r="W142" s="26"/>
      <c r="X142" s="26"/>
      <c r="Y142" s="26"/>
      <c r="Z142" s="27"/>
      <c r="AA142" s="26"/>
      <c r="AB142" s="26"/>
    </row>
    <row r="143" spans="1:28" ht="24">
      <c r="A143" s="39"/>
      <c r="B143" s="40"/>
      <c r="C143" s="39"/>
      <c r="D143" s="39"/>
      <c r="E143" s="39"/>
      <c r="F143" s="41"/>
      <c r="G143" s="39"/>
      <c r="H143" s="41"/>
      <c r="I143" s="39"/>
      <c r="J143" s="41"/>
      <c r="K143" s="41"/>
      <c r="L143" s="41"/>
      <c r="M143" s="41"/>
      <c r="N143" s="41"/>
      <c r="O143" s="42"/>
      <c r="P143" s="41"/>
      <c r="Q143" s="26"/>
      <c r="R143" s="26"/>
      <c r="S143" s="26"/>
      <c r="T143" s="26"/>
      <c r="U143" s="26"/>
      <c r="V143" s="26"/>
      <c r="W143" s="26"/>
      <c r="X143" s="26"/>
      <c r="Y143" s="26"/>
      <c r="Z143" s="27"/>
      <c r="AA143" s="26"/>
      <c r="AB143" s="26"/>
    </row>
    <row r="144" spans="1:28" ht="24">
      <c r="A144" s="39"/>
      <c r="B144" s="40"/>
      <c r="C144" s="39"/>
      <c r="D144" s="39"/>
      <c r="E144" s="39"/>
      <c r="F144" s="41"/>
      <c r="G144" s="39"/>
      <c r="H144" s="41"/>
      <c r="I144" s="39"/>
      <c r="J144" s="41"/>
      <c r="K144" s="41"/>
      <c r="L144" s="41"/>
      <c r="M144" s="41"/>
      <c r="N144" s="41"/>
      <c r="O144" s="42"/>
      <c r="P144" s="41"/>
      <c r="Q144" s="26"/>
      <c r="R144" s="26"/>
      <c r="S144" s="26"/>
      <c r="T144" s="26"/>
      <c r="U144" s="26"/>
      <c r="V144" s="26"/>
      <c r="W144" s="26"/>
      <c r="X144" s="26"/>
      <c r="Y144" s="26"/>
      <c r="Z144" s="27"/>
      <c r="AA144" s="26"/>
      <c r="AB144" s="26"/>
    </row>
    <row r="145" spans="1:28" ht="24">
      <c r="A145" s="39"/>
      <c r="B145" s="40"/>
      <c r="C145" s="39"/>
      <c r="D145" s="39"/>
      <c r="E145" s="39"/>
      <c r="F145" s="41"/>
      <c r="G145" s="39"/>
      <c r="H145" s="41"/>
      <c r="I145" s="39"/>
      <c r="J145" s="41"/>
      <c r="K145" s="41"/>
      <c r="L145" s="41"/>
      <c r="M145" s="41"/>
      <c r="N145" s="41"/>
      <c r="O145" s="42"/>
      <c r="P145" s="41"/>
      <c r="Q145" s="26"/>
      <c r="R145" s="26"/>
      <c r="S145" s="26"/>
      <c r="T145" s="26"/>
      <c r="U145" s="26"/>
      <c r="V145" s="26"/>
      <c r="W145" s="26"/>
      <c r="X145" s="26"/>
      <c r="Y145" s="26"/>
      <c r="Z145" s="27"/>
      <c r="AA145" s="26"/>
      <c r="AB145" s="26"/>
    </row>
    <row r="146" spans="1:28" ht="24">
      <c r="A146" s="39"/>
      <c r="B146" s="40"/>
      <c r="C146" s="39"/>
      <c r="D146" s="39"/>
      <c r="E146" s="39"/>
      <c r="F146" s="41"/>
      <c r="G146" s="39"/>
      <c r="H146" s="41"/>
      <c r="I146" s="39"/>
      <c r="J146" s="41"/>
      <c r="K146" s="41"/>
      <c r="L146" s="41"/>
      <c r="M146" s="41"/>
      <c r="N146" s="41"/>
      <c r="O146" s="42"/>
      <c r="P146" s="41"/>
      <c r="Q146" s="26"/>
      <c r="R146" s="26"/>
      <c r="S146" s="26"/>
      <c r="T146" s="26"/>
      <c r="U146" s="26"/>
      <c r="V146" s="26"/>
      <c r="W146" s="26"/>
      <c r="X146" s="26"/>
      <c r="Y146" s="26"/>
      <c r="Z146" s="27"/>
      <c r="AA146" s="26"/>
      <c r="AB146" s="26"/>
    </row>
    <row r="147" spans="1:28" ht="24">
      <c r="A147" s="39"/>
      <c r="B147" s="40"/>
      <c r="C147" s="39"/>
      <c r="D147" s="39"/>
      <c r="E147" s="39"/>
      <c r="F147" s="41"/>
      <c r="G147" s="39"/>
      <c r="H147" s="41"/>
      <c r="I147" s="39"/>
      <c r="J147" s="41"/>
      <c r="K147" s="41"/>
      <c r="L147" s="41"/>
      <c r="M147" s="41"/>
      <c r="N147" s="41"/>
      <c r="O147" s="42"/>
      <c r="P147" s="41"/>
      <c r="Q147" s="26"/>
      <c r="R147" s="26"/>
      <c r="S147" s="26"/>
      <c r="T147" s="26"/>
      <c r="U147" s="26"/>
      <c r="V147" s="26"/>
      <c r="W147" s="26"/>
      <c r="X147" s="26"/>
      <c r="Y147" s="26"/>
      <c r="Z147" s="27"/>
      <c r="AA147" s="26"/>
      <c r="AB147" s="26"/>
    </row>
    <row r="148" spans="1:28" ht="24">
      <c r="A148" s="39"/>
      <c r="B148" s="40"/>
      <c r="C148" s="39"/>
      <c r="D148" s="39"/>
      <c r="E148" s="39"/>
      <c r="F148" s="41"/>
      <c r="G148" s="39"/>
      <c r="H148" s="41"/>
      <c r="I148" s="39"/>
      <c r="J148" s="41"/>
      <c r="K148" s="41"/>
      <c r="L148" s="41"/>
      <c r="M148" s="41"/>
      <c r="N148" s="41"/>
      <c r="O148" s="42"/>
      <c r="P148" s="41"/>
      <c r="Q148" s="26"/>
      <c r="R148" s="26"/>
      <c r="S148" s="26"/>
      <c r="T148" s="26"/>
      <c r="U148" s="26"/>
      <c r="V148" s="26"/>
      <c r="W148" s="26"/>
      <c r="X148" s="26"/>
      <c r="Y148" s="26"/>
      <c r="Z148" s="27"/>
      <c r="AA148" s="26"/>
      <c r="AB148" s="26"/>
    </row>
    <row r="149" spans="1:28" ht="24">
      <c r="A149" s="39"/>
      <c r="B149" s="40"/>
      <c r="C149" s="39"/>
      <c r="D149" s="39"/>
      <c r="E149" s="39"/>
      <c r="F149" s="41"/>
      <c r="G149" s="39"/>
      <c r="H149" s="41"/>
      <c r="I149" s="39"/>
      <c r="J149" s="41"/>
      <c r="K149" s="41"/>
      <c r="L149" s="41"/>
      <c r="M149" s="41"/>
      <c r="N149" s="41"/>
      <c r="O149" s="42"/>
      <c r="P149" s="41"/>
      <c r="Q149" s="26"/>
      <c r="R149" s="26"/>
      <c r="S149" s="26"/>
      <c r="T149" s="26"/>
      <c r="U149" s="26"/>
      <c r="V149" s="26"/>
      <c r="W149" s="26"/>
      <c r="X149" s="26"/>
      <c r="Y149" s="26"/>
      <c r="Z149" s="27"/>
      <c r="AA149" s="26"/>
      <c r="AB149" s="26"/>
    </row>
    <row r="150" spans="1:28" ht="24">
      <c r="A150" s="39"/>
      <c r="B150" s="40"/>
      <c r="C150" s="39"/>
      <c r="D150" s="39"/>
      <c r="E150" s="39"/>
      <c r="F150" s="41"/>
      <c r="G150" s="39"/>
      <c r="H150" s="41"/>
      <c r="I150" s="39"/>
      <c r="J150" s="41"/>
      <c r="K150" s="41"/>
      <c r="L150" s="41"/>
      <c r="M150" s="41"/>
      <c r="N150" s="41"/>
      <c r="O150" s="42"/>
      <c r="P150" s="41"/>
      <c r="Q150" s="26"/>
      <c r="R150" s="26"/>
      <c r="S150" s="26"/>
      <c r="T150" s="26"/>
      <c r="U150" s="26"/>
      <c r="V150" s="26"/>
      <c r="W150" s="26"/>
      <c r="X150" s="26"/>
      <c r="Y150" s="26"/>
      <c r="Z150" s="27"/>
      <c r="AA150" s="26"/>
      <c r="AB150" s="26"/>
    </row>
    <row r="151" spans="1:28" ht="24">
      <c r="A151" s="39"/>
      <c r="B151" s="40"/>
      <c r="C151" s="39"/>
      <c r="D151" s="39"/>
      <c r="E151" s="39"/>
      <c r="F151" s="41"/>
      <c r="G151" s="39"/>
      <c r="H151" s="41"/>
      <c r="I151" s="39"/>
      <c r="J151" s="41"/>
      <c r="K151" s="41"/>
      <c r="L151" s="41"/>
      <c r="M151" s="41"/>
      <c r="N151" s="41"/>
      <c r="O151" s="42"/>
      <c r="P151" s="41"/>
      <c r="Q151" s="26"/>
      <c r="R151" s="26"/>
      <c r="S151" s="26"/>
      <c r="T151" s="26"/>
      <c r="U151" s="26"/>
      <c r="V151" s="26"/>
      <c r="W151" s="26"/>
      <c r="X151" s="26"/>
      <c r="Y151" s="26"/>
      <c r="Z151" s="27"/>
      <c r="AA151" s="26"/>
      <c r="AB151" s="26"/>
    </row>
    <row r="152" spans="1:28" ht="24">
      <c r="A152" s="39"/>
      <c r="B152" s="40"/>
      <c r="C152" s="39"/>
      <c r="D152" s="39"/>
      <c r="E152" s="39"/>
      <c r="F152" s="41"/>
      <c r="G152" s="39"/>
      <c r="H152" s="41"/>
      <c r="I152" s="39"/>
      <c r="J152" s="41"/>
      <c r="K152" s="41"/>
      <c r="L152" s="41"/>
      <c r="M152" s="41"/>
      <c r="N152" s="41"/>
      <c r="O152" s="42"/>
      <c r="P152" s="41"/>
      <c r="Q152" s="26"/>
      <c r="R152" s="26"/>
      <c r="S152" s="26"/>
      <c r="T152" s="26"/>
      <c r="U152" s="26"/>
      <c r="V152" s="26"/>
      <c r="W152" s="26"/>
      <c r="X152" s="26"/>
      <c r="Y152" s="26"/>
      <c r="Z152" s="27"/>
      <c r="AA152" s="26"/>
      <c r="AB152" s="26"/>
    </row>
    <row r="153" spans="1:28" ht="24">
      <c r="A153" s="39"/>
      <c r="B153" s="40"/>
      <c r="C153" s="39"/>
      <c r="D153" s="39"/>
      <c r="E153" s="39"/>
      <c r="F153" s="41"/>
      <c r="G153" s="39"/>
      <c r="H153" s="41"/>
      <c r="I153" s="39"/>
      <c r="J153" s="41"/>
      <c r="K153" s="41"/>
      <c r="L153" s="41"/>
      <c r="M153" s="41"/>
      <c r="N153" s="41"/>
      <c r="O153" s="42"/>
      <c r="P153" s="41"/>
      <c r="Q153" s="26"/>
      <c r="R153" s="26"/>
      <c r="S153" s="26"/>
      <c r="T153" s="26"/>
      <c r="U153" s="26"/>
      <c r="V153" s="26"/>
      <c r="W153" s="26"/>
      <c r="X153" s="26"/>
      <c r="Y153" s="26"/>
      <c r="Z153" s="27"/>
      <c r="AA153" s="26"/>
      <c r="AB153" s="26"/>
    </row>
    <row r="154" spans="1:28" ht="24">
      <c r="A154" s="39"/>
      <c r="B154" s="40"/>
      <c r="C154" s="39"/>
      <c r="D154" s="39"/>
      <c r="E154" s="39"/>
      <c r="F154" s="41"/>
      <c r="G154" s="39"/>
      <c r="H154" s="41"/>
      <c r="I154" s="39"/>
      <c r="J154" s="41"/>
      <c r="K154" s="41"/>
      <c r="L154" s="41"/>
      <c r="M154" s="41"/>
      <c r="N154" s="41"/>
      <c r="O154" s="42"/>
      <c r="P154" s="41"/>
      <c r="Q154" s="26"/>
      <c r="R154" s="26"/>
      <c r="S154" s="26"/>
      <c r="T154" s="26"/>
      <c r="U154" s="26"/>
      <c r="V154" s="26"/>
      <c r="W154" s="26"/>
      <c r="X154" s="26"/>
      <c r="Y154" s="26"/>
      <c r="Z154" s="27"/>
      <c r="AA154" s="26"/>
      <c r="AB154" s="26"/>
    </row>
    <row r="155" spans="1:28" ht="24">
      <c r="A155" s="39"/>
      <c r="B155" s="40"/>
      <c r="C155" s="39"/>
      <c r="D155" s="39"/>
      <c r="E155" s="39"/>
      <c r="F155" s="41"/>
      <c r="G155" s="39"/>
      <c r="H155" s="41"/>
      <c r="I155" s="39"/>
      <c r="J155" s="41"/>
      <c r="K155" s="41"/>
      <c r="L155" s="41"/>
      <c r="M155" s="41"/>
      <c r="N155" s="41"/>
      <c r="O155" s="42"/>
      <c r="P155" s="41"/>
      <c r="Q155" s="26"/>
      <c r="R155" s="26"/>
      <c r="S155" s="26"/>
      <c r="T155" s="26"/>
      <c r="U155" s="26"/>
      <c r="V155" s="26"/>
      <c r="W155" s="26"/>
      <c r="X155" s="26"/>
      <c r="Y155" s="26"/>
      <c r="Z155" s="27"/>
      <c r="AA155" s="26"/>
      <c r="AB155" s="26"/>
    </row>
    <row r="156" spans="1:28" ht="24">
      <c r="A156" s="39"/>
      <c r="B156" s="40"/>
      <c r="C156" s="39"/>
      <c r="D156" s="39"/>
      <c r="E156" s="39"/>
      <c r="F156" s="41"/>
      <c r="G156" s="39"/>
      <c r="H156" s="41"/>
      <c r="I156" s="39"/>
      <c r="J156" s="41"/>
      <c r="K156" s="41"/>
      <c r="L156" s="41"/>
      <c r="M156" s="41"/>
      <c r="N156" s="41"/>
      <c r="O156" s="42"/>
      <c r="P156" s="41"/>
      <c r="Q156" s="26"/>
      <c r="R156" s="26"/>
      <c r="S156" s="26"/>
      <c r="T156" s="26"/>
      <c r="U156" s="26"/>
      <c r="V156" s="26"/>
      <c r="W156" s="26"/>
      <c r="X156" s="26"/>
      <c r="Y156" s="26"/>
      <c r="Z156" s="27"/>
      <c r="AA156" s="26"/>
      <c r="AB156" s="26"/>
    </row>
    <row r="157" spans="1:28" ht="24">
      <c r="A157" s="39"/>
      <c r="B157" s="40"/>
      <c r="C157" s="39"/>
      <c r="D157" s="39"/>
      <c r="E157" s="39"/>
      <c r="F157" s="41"/>
      <c r="G157" s="39"/>
      <c r="H157" s="41"/>
      <c r="I157" s="39"/>
      <c r="J157" s="41"/>
      <c r="K157" s="41"/>
      <c r="L157" s="41"/>
      <c r="M157" s="41"/>
      <c r="N157" s="41"/>
      <c r="O157" s="42"/>
      <c r="P157" s="41"/>
      <c r="Q157" s="26"/>
      <c r="R157" s="26"/>
      <c r="S157" s="26"/>
      <c r="T157" s="26"/>
      <c r="U157" s="26"/>
      <c r="V157" s="26"/>
      <c r="W157" s="26"/>
      <c r="X157" s="26"/>
      <c r="Y157" s="26"/>
      <c r="Z157" s="27"/>
      <c r="AA157" s="26"/>
      <c r="AB157" s="26"/>
    </row>
    <row r="158" spans="1:28" ht="24">
      <c r="A158" s="39"/>
      <c r="B158" s="40"/>
      <c r="C158" s="39"/>
      <c r="D158" s="39"/>
      <c r="E158" s="39"/>
      <c r="F158" s="41"/>
      <c r="G158" s="39"/>
      <c r="H158" s="41"/>
      <c r="I158" s="39"/>
      <c r="J158" s="41"/>
      <c r="K158" s="41"/>
      <c r="L158" s="41"/>
      <c r="M158" s="41"/>
      <c r="N158" s="41"/>
      <c r="O158" s="42"/>
      <c r="P158" s="41"/>
      <c r="Q158" s="26"/>
      <c r="R158" s="26"/>
      <c r="S158" s="26"/>
      <c r="T158" s="26"/>
      <c r="U158" s="26"/>
      <c r="V158" s="26"/>
      <c r="W158" s="26"/>
      <c r="X158" s="26"/>
      <c r="Y158" s="26"/>
      <c r="Z158" s="27"/>
      <c r="AA158" s="26"/>
      <c r="AB158" s="26"/>
    </row>
    <row r="159" spans="1:28" ht="24">
      <c r="A159" s="39"/>
      <c r="B159" s="40"/>
      <c r="C159" s="39"/>
      <c r="D159" s="39"/>
      <c r="E159" s="39"/>
      <c r="F159" s="41"/>
      <c r="G159" s="39"/>
      <c r="H159" s="41"/>
      <c r="I159" s="39"/>
      <c r="J159" s="41"/>
      <c r="K159" s="41"/>
      <c r="L159" s="41"/>
      <c r="M159" s="41"/>
      <c r="N159" s="41"/>
      <c r="O159" s="42"/>
      <c r="P159" s="41"/>
      <c r="Q159" s="26"/>
      <c r="R159" s="26"/>
      <c r="S159" s="26"/>
      <c r="T159" s="26"/>
      <c r="U159" s="26"/>
      <c r="V159" s="26"/>
      <c r="W159" s="26"/>
      <c r="X159" s="26"/>
      <c r="Y159" s="26"/>
      <c r="Z159" s="27"/>
      <c r="AA159" s="26"/>
      <c r="AB159" s="26"/>
    </row>
    <row r="160" spans="1:28" ht="24">
      <c r="A160" s="39"/>
      <c r="B160" s="40"/>
      <c r="C160" s="39"/>
      <c r="D160" s="39"/>
      <c r="E160" s="39"/>
      <c r="F160" s="41"/>
      <c r="G160" s="39"/>
      <c r="H160" s="41"/>
      <c r="I160" s="39"/>
      <c r="J160" s="41"/>
      <c r="K160" s="41"/>
      <c r="L160" s="41"/>
      <c r="M160" s="41"/>
      <c r="N160" s="41"/>
      <c r="O160" s="42"/>
      <c r="P160" s="41"/>
      <c r="Q160" s="26"/>
      <c r="R160" s="26"/>
      <c r="S160" s="26"/>
      <c r="T160" s="26"/>
      <c r="U160" s="26"/>
      <c r="V160" s="26"/>
      <c r="W160" s="26"/>
      <c r="X160" s="26"/>
      <c r="Y160" s="26"/>
      <c r="Z160" s="27"/>
      <c r="AA160" s="26"/>
      <c r="AB160" s="26"/>
    </row>
    <row r="161" spans="1:28" ht="24">
      <c r="A161" s="39"/>
      <c r="B161" s="40"/>
      <c r="C161" s="39"/>
      <c r="D161" s="39"/>
      <c r="E161" s="39"/>
      <c r="F161" s="41"/>
      <c r="G161" s="39"/>
      <c r="H161" s="41"/>
      <c r="I161" s="39"/>
      <c r="J161" s="41"/>
      <c r="K161" s="41"/>
      <c r="L161" s="41"/>
      <c r="M161" s="41"/>
      <c r="N161" s="41"/>
      <c r="O161" s="42"/>
      <c r="P161" s="41"/>
      <c r="Q161" s="26"/>
      <c r="R161" s="26"/>
      <c r="S161" s="26"/>
      <c r="T161" s="26"/>
      <c r="U161" s="26"/>
      <c r="V161" s="26"/>
      <c r="W161" s="26"/>
      <c r="X161" s="26"/>
      <c r="Y161" s="26"/>
      <c r="Z161" s="27"/>
      <c r="AA161" s="26"/>
      <c r="AB161" s="26"/>
    </row>
    <row r="162" spans="1:28" ht="24">
      <c r="A162" s="39"/>
      <c r="B162" s="40"/>
      <c r="C162" s="39"/>
      <c r="D162" s="39"/>
      <c r="E162" s="39"/>
      <c r="F162" s="41"/>
      <c r="G162" s="39"/>
      <c r="H162" s="41"/>
      <c r="I162" s="39"/>
      <c r="J162" s="41"/>
      <c r="K162" s="41"/>
      <c r="L162" s="41"/>
      <c r="M162" s="41"/>
      <c r="N162" s="41"/>
      <c r="O162" s="42"/>
      <c r="P162" s="41"/>
      <c r="Q162" s="26"/>
      <c r="R162" s="26"/>
      <c r="S162" s="26"/>
      <c r="T162" s="26"/>
      <c r="U162" s="26"/>
      <c r="V162" s="26"/>
      <c r="W162" s="26"/>
      <c r="X162" s="26"/>
      <c r="Y162" s="26"/>
      <c r="Z162" s="27"/>
      <c r="AA162" s="26"/>
      <c r="AB162" s="26"/>
    </row>
    <row r="163" spans="1:28" ht="24">
      <c r="A163" s="39"/>
      <c r="B163" s="40"/>
      <c r="C163" s="39"/>
      <c r="D163" s="39"/>
      <c r="E163" s="39"/>
      <c r="F163" s="41"/>
      <c r="G163" s="39"/>
      <c r="H163" s="41"/>
      <c r="I163" s="39"/>
      <c r="J163" s="41"/>
      <c r="K163" s="41"/>
      <c r="L163" s="41"/>
      <c r="M163" s="41"/>
      <c r="N163" s="41"/>
      <c r="O163" s="42"/>
      <c r="P163" s="41"/>
      <c r="Q163" s="26"/>
      <c r="R163" s="26"/>
      <c r="S163" s="26"/>
      <c r="T163" s="26"/>
      <c r="U163" s="26"/>
      <c r="V163" s="26"/>
      <c r="W163" s="26"/>
      <c r="X163" s="26"/>
      <c r="Y163" s="26"/>
      <c r="Z163" s="27"/>
      <c r="AA163" s="26"/>
      <c r="AB163" s="26"/>
    </row>
    <row r="164" spans="1:28" ht="24">
      <c r="A164" s="39"/>
      <c r="B164" s="40"/>
      <c r="C164" s="39"/>
      <c r="D164" s="39"/>
      <c r="E164" s="39"/>
      <c r="F164" s="41"/>
      <c r="G164" s="39"/>
      <c r="H164" s="41"/>
      <c r="I164" s="39"/>
      <c r="J164" s="41"/>
      <c r="K164" s="41"/>
      <c r="L164" s="41"/>
      <c r="M164" s="41"/>
      <c r="N164" s="41"/>
      <c r="O164" s="42"/>
      <c r="P164" s="41"/>
      <c r="Q164" s="26"/>
      <c r="R164" s="26"/>
      <c r="S164" s="26"/>
      <c r="T164" s="26"/>
      <c r="U164" s="26"/>
      <c r="V164" s="26"/>
      <c r="W164" s="26"/>
      <c r="X164" s="26"/>
      <c r="Y164" s="26"/>
      <c r="Z164" s="27"/>
      <c r="AA164" s="26"/>
      <c r="AB164" s="26"/>
    </row>
    <row r="165" spans="1:28" ht="24">
      <c r="A165" s="39"/>
      <c r="B165" s="40"/>
      <c r="C165" s="39"/>
      <c r="D165" s="39"/>
      <c r="E165" s="39"/>
      <c r="F165" s="41"/>
      <c r="G165" s="39"/>
      <c r="H165" s="41"/>
      <c r="I165" s="39"/>
      <c r="J165" s="41"/>
      <c r="K165" s="41"/>
      <c r="L165" s="41"/>
      <c r="M165" s="41"/>
      <c r="N165" s="41"/>
      <c r="O165" s="42"/>
      <c r="P165" s="41"/>
      <c r="Q165" s="26"/>
      <c r="R165" s="26"/>
      <c r="S165" s="26"/>
      <c r="T165" s="26"/>
      <c r="U165" s="26"/>
      <c r="V165" s="26"/>
      <c r="W165" s="26"/>
      <c r="X165" s="26"/>
      <c r="Y165" s="26"/>
      <c r="Z165" s="27"/>
      <c r="AA165" s="26"/>
      <c r="AB165" s="26"/>
    </row>
    <row r="166" spans="1:28" ht="24">
      <c r="A166" s="39"/>
      <c r="B166" s="40"/>
      <c r="C166" s="39"/>
      <c r="D166" s="39"/>
      <c r="E166" s="39"/>
      <c r="F166" s="41"/>
      <c r="G166" s="39"/>
      <c r="H166" s="41"/>
      <c r="I166" s="39"/>
      <c r="J166" s="41"/>
      <c r="K166" s="41"/>
      <c r="L166" s="41"/>
      <c r="M166" s="41"/>
      <c r="N166" s="41"/>
      <c r="O166" s="42"/>
      <c r="P166" s="41"/>
      <c r="Q166" s="26"/>
      <c r="R166" s="26"/>
      <c r="S166" s="26"/>
      <c r="T166" s="26"/>
      <c r="U166" s="26"/>
      <c r="V166" s="26"/>
      <c r="W166" s="26"/>
      <c r="X166" s="26"/>
      <c r="Y166" s="26"/>
      <c r="Z166" s="27"/>
      <c r="AA166" s="26"/>
      <c r="AB166" s="26"/>
    </row>
    <row r="167" spans="1:28" ht="24">
      <c r="A167" s="39"/>
      <c r="B167" s="40"/>
      <c r="C167" s="39"/>
      <c r="D167" s="39"/>
      <c r="E167" s="39"/>
      <c r="F167" s="41"/>
      <c r="G167" s="39"/>
      <c r="H167" s="41"/>
      <c r="I167" s="39"/>
      <c r="J167" s="41"/>
      <c r="K167" s="41"/>
      <c r="L167" s="41"/>
      <c r="M167" s="41"/>
      <c r="N167" s="41"/>
      <c r="O167" s="42"/>
      <c r="P167" s="41"/>
      <c r="Q167" s="26"/>
      <c r="R167" s="26"/>
      <c r="S167" s="26"/>
      <c r="T167" s="26"/>
      <c r="U167" s="26"/>
      <c r="V167" s="26"/>
      <c r="W167" s="26"/>
      <c r="X167" s="26"/>
      <c r="Y167" s="26"/>
      <c r="Z167" s="27"/>
      <c r="AA167" s="26"/>
      <c r="AB167" s="26"/>
    </row>
    <row r="168" spans="1:28" ht="24">
      <c r="A168" s="39"/>
      <c r="B168" s="40"/>
      <c r="C168" s="39"/>
      <c r="D168" s="39"/>
      <c r="E168" s="39"/>
      <c r="F168" s="41"/>
      <c r="G168" s="39"/>
      <c r="H168" s="41"/>
      <c r="I168" s="39"/>
      <c r="J168" s="41"/>
      <c r="K168" s="41"/>
      <c r="L168" s="41"/>
      <c r="M168" s="41"/>
      <c r="N168" s="41"/>
      <c r="O168" s="42"/>
      <c r="P168" s="41"/>
      <c r="Q168" s="26"/>
      <c r="R168" s="26"/>
      <c r="S168" s="26"/>
      <c r="T168" s="26"/>
      <c r="U168" s="26"/>
      <c r="V168" s="26"/>
      <c r="W168" s="26"/>
      <c r="X168" s="26"/>
      <c r="Y168" s="26"/>
      <c r="Z168" s="27"/>
      <c r="AA168" s="26"/>
      <c r="AB168" s="26"/>
    </row>
    <row r="169" spans="1:28" ht="24">
      <c r="A169" s="39"/>
      <c r="B169" s="40"/>
      <c r="C169" s="39"/>
      <c r="D169" s="39"/>
      <c r="E169" s="39"/>
      <c r="F169" s="41"/>
      <c r="G169" s="39"/>
      <c r="H169" s="41"/>
      <c r="I169" s="39"/>
      <c r="J169" s="41"/>
      <c r="K169" s="41"/>
      <c r="L169" s="41"/>
      <c r="M169" s="41"/>
      <c r="N169" s="41"/>
      <c r="O169" s="42"/>
      <c r="P169" s="41"/>
      <c r="Q169" s="26"/>
      <c r="R169" s="26"/>
      <c r="S169" s="26"/>
      <c r="T169" s="26"/>
      <c r="U169" s="26"/>
      <c r="V169" s="26"/>
      <c r="W169" s="26"/>
      <c r="X169" s="26"/>
      <c r="Y169" s="26"/>
      <c r="Z169" s="27"/>
      <c r="AA169" s="26"/>
      <c r="AB169" s="26"/>
    </row>
    <row r="170" spans="1:28" ht="24">
      <c r="A170" s="39"/>
      <c r="B170" s="40"/>
      <c r="C170" s="39"/>
      <c r="D170" s="39"/>
      <c r="E170" s="39"/>
      <c r="F170" s="41"/>
      <c r="G170" s="39"/>
      <c r="H170" s="41"/>
      <c r="I170" s="39"/>
      <c r="J170" s="41"/>
      <c r="K170" s="41"/>
      <c r="L170" s="41"/>
      <c r="M170" s="41"/>
      <c r="N170" s="41"/>
      <c r="O170" s="42"/>
      <c r="P170" s="41"/>
      <c r="Q170" s="26"/>
      <c r="R170" s="26"/>
      <c r="S170" s="26"/>
      <c r="T170" s="26"/>
      <c r="U170" s="26"/>
      <c r="V170" s="26"/>
      <c r="W170" s="26"/>
      <c r="X170" s="26"/>
      <c r="Y170" s="26"/>
      <c r="Z170" s="27"/>
      <c r="AA170" s="26"/>
      <c r="AB170" s="26"/>
    </row>
    <row r="171" spans="1:28" ht="24">
      <c r="A171" s="39"/>
      <c r="B171" s="40"/>
      <c r="C171" s="39"/>
      <c r="D171" s="39"/>
      <c r="E171" s="39"/>
      <c r="F171" s="41"/>
      <c r="G171" s="39"/>
      <c r="H171" s="41"/>
      <c r="I171" s="39"/>
      <c r="J171" s="41"/>
      <c r="K171" s="41"/>
      <c r="L171" s="41"/>
      <c r="M171" s="41"/>
      <c r="N171" s="41"/>
      <c r="O171" s="42"/>
      <c r="P171" s="41"/>
      <c r="Q171" s="26"/>
      <c r="R171" s="26"/>
      <c r="S171" s="26"/>
      <c r="T171" s="26"/>
      <c r="U171" s="26"/>
      <c r="V171" s="26"/>
      <c r="W171" s="26"/>
      <c r="X171" s="26"/>
      <c r="Y171" s="26"/>
      <c r="Z171" s="27"/>
      <c r="AA171" s="26"/>
      <c r="AB171" s="26"/>
    </row>
    <row r="172" spans="1:28" ht="24">
      <c r="A172" s="39"/>
      <c r="B172" s="40"/>
      <c r="C172" s="39"/>
      <c r="D172" s="39"/>
      <c r="E172" s="39"/>
      <c r="F172" s="41"/>
      <c r="G172" s="39"/>
      <c r="H172" s="41"/>
      <c r="I172" s="39"/>
      <c r="J172" s="41"/>
      <c r="K172" s="41"/>
      <c r="L172" s="41"/>
      <c r="M172" s="41"/>
      <c r="N172" s="41"/>
      <c r="O172" s="42"/>
      <c r="P172" s="41"/>
      <c r="Q172" s="26"/>
      <c r="R172" s="26"/>
      <c r="S172" s="26"/>
      <c r="T172" s="26"/>
      <c r="U172" s="26"/>
      <c r="V172" s="26"/>
      <c r="W172" s="26"/>
      <c r="X172" s="26"/>
      <c r="Y172" s="26"/>
      <c r="Z172" s="27"/>
      <c r="AA172" s="26"/>
      <c r="AB172" s="26"/>
    </row>
    <row r="173" spans="1:28" ht="24">
      <c r="A173" s="39"/>
      <c r="B173" s="40"/>
      <c r="C173" s="39"/>
      <c r="D173" s="39"/>
      <c r="E173" s="39"/>
      <c r="F173" s="41"/>
      <c r="G173" s="39"/>
      <c r="H173" s="41"/>
      <c r="I173" s="39"/>
      <c r="J173" s="41"/>
      <c r="K173" s="41"/>
      <c r="L173" s="41"/>
      <c r="M173" s="41"/>
      <c r="N173" s="41"/>
      <c r="O173" s="42"/>
      <c r="P173" s="41"/>
      <c r="Q173" s="26"/>
      <c r="R173" s="26"/>
      <c r="S173" s="26"/>
      <c r="T173" s="26"/>
      <c r="U173" s="26"/>
      <c r="V173" s="26"/>
      <c r="W173" s="26"/>
      <c r="X173" s="26"/>
      <c r="Y173" s="26"/>
      <c r="Z173" s="27"/>
      <c r="AA173" s="26"/>
      <c r="AB173" s="26"/>
    </row>
    <row r="174" spans="1:28" ht="24">
      <c r="A174" s="39"/>
      <c r="B174" s="40"/>
      <c r="C174" s="39"/>
      <c r="D174" s="39"/>
      <c r="E174" s="39"/>
      <c r="F174" s="41"/>
      <c r="G174" s="39"/>
      <c r="H174" s="41"/>
      <c r="I174" s="39"/>
      <c r="J174" s="41"/>
      <c r="K174" s="41"/>
      <c r="L174" s="41"/>
      <c r="M174" s="41"/>
      <c r="N174" s="41"/>
      <c r="O174" s="42"/>
      <c r="P174" s="41"/>
      <c r="Q174" s="26"/>
      <c r="R174" s="26"/>
      <c r="S174" s="26"/>
      <c r="T174" s="26"/>
      <c r="U174" s="26"/>
      <c r="V174" s="26"/>
      <c r="W174" s="26"/>
      <c r="X174" s="26"/>
      <c r="Y174" s="26"/>
      <c r="Z174" s="27"/>
      <c r="AA174" s="26"/>
      <c r="AB174" s="26"/>
    </row>
    <row r="175" spans="1:28" ht="24">
      <c r="A175" s="39"/>
      <c r="B175" s="40"/>
      <c r="C175" s="39"/>
      <c r="D175" s="39"/>
      <c r="E175" s="39"/>
      <c r="F175" s="41"/>
      <c r="G175" s="39"/>
      <c r="H175" s="41"/>
      <c r="I175" s="39"/>
      <c r="J175" s="41"/>
      <c r="K175" s="41"/>
      <c r="L175" s="41"/>
      <c r="M175" s="41"/>
      <c r="N175" s="41"/>
      <c r="O175" s="42"/>
      <c r="P175" s="41"/>
      <c r="Q175" s="26"/>
      <c r="R175" s="26"/>
      <c r="S175" s="26"/>
      <c r="T175" s="26"/>
      <c r="U175" s="26"/>
      <c r="V175" s="26"/>
      <c r="W175" s="26"/>
      <c r="X175" s="26"/>
      <c r="Y175" s="26"/>
      <c r="Z175" s="27"/>
      <c r="AA175" s="26"/>
      <c r="AB175" s="26"/>
    </row>
    <row r="176" spans="1:28" ht="24">
      <c r="A176" s="39"/>
      <c r="B176" s="40"/>
      <c r="C176" s="39"/>
      <c r="D176" s="39"/>
      <c r="E176" s="39"/>
      <c r="F176" s="41"/>
      <c r="G176" s="39"/>
      <c r="H176" s="41"/>
      <c r="I176" s="39"/>
      <c r="J176" s="41"/>
      <c r="K176" s="41"/>
      <c r="L176" s="41"/>
      <c r="M176" s="41"/>
      <c r="N176" s="41"/>
      <c r="O176" s="42"/>
      <c r="P176" s="41"/>
      <c r="Q176" s="26"/>
      <c r="R176" s="26"/>
      <c r="S176" s="26"/>
      <c r="T176" s="26"/>
      <c r="U176" s="26"/>
      <c r="V176" s="26"/>
      <c r="W176" s="26"/>
      <c r="X176" s="26"/>
      <c r="Y176" s="26"/>
      <c r="Z176" s="27"/>
      <c r="AA176" s="26"/>
      <c r="AB176" s="26"/>
    </row>
    <row r="177" spans="1:28" ht="24">
      <c r="A177" s="39"/>
      <c r="B177" s="40"/>
      <c r="C177" s="39"/>
      <c r="D177" s="39"/>
      <c r="E177" s="39"/>
      <c r="F177" s="41"/>
      <c r="G177" s="39"/>
      <c r="H177" s="41"/>
      <c r="I177" s="39"/>
      <c r="J177" s="41"/>
      <c r="K177" s="41"/>
      <c r="L177" s="41"/>
      <c r="M177" s="41"/>
      <c r="N177" s="41"/>
      <c r="O177" s="42"/>
      <c r="P177" s="41"/>
      <c r="Q177" s="26"/>
      <c r="R177" s="26"/>
      <c r="S177" s="26"/>
      <c r="T177" s="26"/>
      <c r="U177" s="26"/>
      <c r="V177" s="26"/>
      <c r="W177" s="26"/>
      <c r="X177" s="26"/>
      <c r="Y177" s="26"/>
      <c r="Z177" s="27"/>
      <c r="AA177" s="26"/>
      <c r="AB177" s="26"/>
    </row>
    <row r="178" spans="1:28" ht="24">
      <c r="A178" s="39"/>
      <c r="B178" s="40"/>
      <c r="C178" s="39"/>
      <c r="D178" s="39"/>
      <c r="E178" s="39"/>
      <c r="F178" s="41"/>
      <c r="G178" s="39"/>
      <c r="H178" s="41"/>
      <c r="I178" s="39"/>
      <c r="J178" s="41"/>
      <c r="K178" s="41"/>
      <c r="L178" s="41"/>
      <c r="M178" s="41"/>
      <c r="N178" s="41"/>
      <c r="O178" s="42"/>
      <c r="P178" s="41"/>
      <c r="Q178" s="26"/>
      <c r="R178" s="26"/>
      <c r="S178" s="26"/>
      <c r="T178" s="26"/>
      <c r="U178" s="26"/>
      <c r="V178" s="26"/>
      <c r="W178" s="26"/>
      <c r="X178" s="26"/>
      <c r="Y178" s="26"/>
      <c r="Z178" s="27"/>
      <c r="AA178" s="26"/>
      <c r="AB178" s="26"/>
    </row>
    <row r="179" spans="1:28" ht="24">
      <c r="A179" s="39"/>
      <c r="B179" s="40"/>
      <c r="C179" s="39"/>
      <c r="D179" s="39"/>
      <c r="E179" s="39"/>
      <c r="F179" s="41"/>
      <c r="G179" s="39"/>
      <c r="H179" s="41"/>
      <c r="I179" s="39"/>
      <c r="J179" s="41"/>
      <c r="K179" s="41"/>
      <c r="L179" s="41"/>
      <c r="M179" s="41"/>
      <c r="N179" s="41"/>
      <c r="O179" s="42"/>
      <c r="P179" s="41"/>
      <c r="Q179" s="26"/>
      <c r="R179" s="26"/>
      <c r="S179" s="26"/>
      <c r="T179" s="26"/>
      <c r="U179" s="26"/>
      <c r="V179" s="26"/>
      <c r="W179" s="26"/>
      <c r="X179" s="26"/>
      <c r="Y179" s="26"/>
      <c r="Z179" s="27"/>
      <c r="AA179" s="26"/>
      <c r="AB179" s="26"/>
    </row>
    <row r="180" spans="1:28" ht="24">
      <c r="A180" s="39"/>
      <c r="B180" s="40"/>
      <c r="C180" s="39"/>
      <c r="D180" s="39"/>
      <c r="E180" s="39"/>
      <c r="F180" s="41"/>
      <c r="G180" s="39"/>
      <c r="H180" s="41"/>
      <c r="I180" s="39"/>
      <c r="J180" s="41"/>
      <c r="K180" s="41"/>
      <c r="L180" s="41"/>
      <c r="M180" s="41"/>
      <c r="N180" s="41"/>
      <c r="O180" s="42"/>
      <c r="P180" s="41"/>
      <c r="Q180" s="26"/>
      <c r="R180" s="26"/>
      <c r="S180" s="26"/>
      <c r="T180" s="26"/>
      <c r="U180" s="26"/>
      <c r="V180" s="26"/>
      <c r="W180" s="26"/>
      <c r="X180" s="26"/>
      <c r="Y180" s="26"/>
      <c r="Z180" s="27"/>
      <c r="AA180" s="26"/>
      <c r="AB180" s="26"/>
    </row>
    <row r="181" spans="1:28" ht="24">
      <c r="A181" s="39"/>
      <c r="B181" s="40"/>
      <c r="C181" s="39"/>
      <c r="D181" s="39"/>
      <c r="E181" s="39"/>
      <c r="F181" s="41"/>
      <c r="G181" s="39"/>
      <c r="H181" s="41"/>
      <c r="I181" s="39"/>
      <c r="J181" s="41"/>
      <c r="K181" s="41"/>
      <c r="L181" s="41"/>
      <c r="M181" s="41"/>
      <c r="N181" s="41"/>
      <c r="O181" s="42"/>
      <c r="P181" s="41"/>
      <c r="Q181" s="26"/>
      <c r="R181" s="26"/>
      <c r="S181" s="26"/>
      <c r="T181" s="26"/>
      <c r="U181" s="26"/>
      <c r="V181" s="26"/>
      <c r="W181" s="26"/>
      <c r="X181" s="26"/>
      <c r="Y181" s="26"/>
      <c r="Z181" s="27"/>
      <c r="AA181" s="26"/>
      <c r="AB181" s="26"/>
    </row>
    <row r="182" spans="1:28" ht="24">
      <c r="A182" s="39"/>
      <c r="B182" s="40"/>
      <c r="C182" s="39"/>
      <c r="D182" s="39"/>
      <c r="E182" s="39"/>
      <c r="F182" s="41"/>
      <c r="G182" s="39"/>
      <c r="H182" s="41"/>
      <c r="I182" s="39"/>
      <c r="J182" s="41"/>
      <c r="K182" s="41"/>
      <c r="L182" s="41"/>
      <c r="M182" s="41"/>
      <c r="N182" s="41"/>
      <c r="O182" s="42"/>
      <c r="P182" s="41"/>
      <c r="Q182" s="26"/>
      <c r="R182" s="26"/>
      <c r="S182" s="26"/>
      <c r="T182" s="26"/>
      <c r="U182" s="26"/>
      <c r="V182" s="26"/>
      <c r="W182" s="26"/>
      <c r="X182" s="26"/>
      <c r="Y182" s="26"/>
      <c r="Z182" s="27"/>
      <c r="AA182" s="26"/>
      <c r="AB182" s="26"/>
    </row>
    <row r="183" spans="1:28" ht="24">
      <c r="A183" s="39"/>
      <c r="B183" s="40"/>
      <c r="C183" s="39"/>
      <c r="D183" s="39"/>
      <c r="E183" s="39"/>
      <c r="F183" s="41"/>
      <c r="G183" s="39"/>
      <c r="H183" s="41"/>
      <c r="I183" s="39"/>
      <c r="J183" s="41"/>
      <c r="K183" s="41"/>
      <c r="L183" s="41"/>
      <c r="M183" s="41"/>
      <c r="N183" s="41"/>
      <c r="O183" s="42"/>
      <c r="P183" s="41"/>
      <c r="Q183" s="26"/>
      <c r="R183" s="26"/>
      <c r="S183" s="26"/>
      <c r="T183" s="26"/>
      <c r="U183" s="26"/>
      <c r="V183" s="26"/>
      <c r="W183" s="26"/>
      <c r="X183" s="26"/>
      <c r="Y183" s="26"/>
      <c r="Z183" s="27"/>
      <c r="AA183" s="26"/>
      <c r="AB183" s="26"/>
    </row>
    <row r="184" spans="1:28" ht="24">
      <c r="A184" s="39"/>
      <c r="B184" s="40"/>
      <c r="C184" s="39"/>
      <c r="D184" s="39"/>
      <c r="E184" s="39"/>
      <c r="F184" s="41"/>
      <c r="G184" s="39"/>
      <c r="H184" s="41"/>
      <c r="I184" s="39"/>
      <c r="J184" s="41"/>
      <c r="K184" s="41"/>
      <c r="L184" s="41"/>
      <c r="M184" s="41"/>
      <c r="N184" s="41"/>
      <c r="O184" s="42"/>
      <c r="P184" s="41"/>
      <c r="Q184" s="26"/>
      <c r="R184" s="26"/>
      <c r="S184" s="26"/>
      <c r="T184" s="26"/>
      <c r="U184" s="26"/>
      <c r="V184" s="26"/>
      <c r="W184" s="26"/>
      <c r="X184" s="26"/>
      <c r="Y184" s="26"/>
      <c r="Z184" s="27"/>
      <c r="AA184" s="26"/>
      <c r="AB184" s="26"/>
    </row>
    <row r="185" spans="1:28" ht="24">
      <c r="A185" s="39"/>
      <c r="B185" s="40"/>
      <c r="C185" s="39"/>
      <c r="D185" s="39"/>
      <c r="E185" s="39"/>
      <c r="F185" s="41"/>
      <c r="G185" s="39"/>
      <c r="H185" s="41"/>
      <c r="I185" s="39"/>
      <c r="J185" s="41"/>
      <c r="K185" s="41"/>
      <c r="L185" s="41"/>
      <c r="M185" s="41"/>
      <c r="N185" s="41"/>
      <c r="O185" s="42"/>
      <c r="P185" s="41"/>
      <c r="Q185" s="26"/>
      <c r="R185" s="26"/>
      <c r="S185" s="26"/>
      <c r="T185" s="26"/>
      <c r="U185" s="26"/>
      <c r="V185" s="26"/>
      <c r="W185" s="26"/>
      <c r="X185" s="26"/>
      <c r="Y185" s="26"/>
      <c r="Z185" s="27"/>
      <c r="AA185" s="26"/>
      <c r="AB185" s="26"/>
    </row>
    <row r="186" spans="1:28" ht="24">
      <c r="A186" s="39"/>
      <c r="B186" s="40"/>
      <c r="C186" s="39"/>
      <c r="D186" s="39"/>
      <c r="E186" s="39"/>
      <c r="F186" s="41"/>
      <c r="G186" s="39"/>
      <c r="H186" s="41"/>
      <c r="I186" s="39"/>
      <c r="J186" s="41"/>
      <c r="K186" s="41"/>
      <c r="L186" s="41"/>
      <c r="M186" s="41"/>
      <c r="N186" s="41"/>
      <c r="O186" s="42"/>
      <c r="P186" s="41"/>
      <c r="Q186" s="26"/>
      <c r="R186" s="26"/>
      <c r="S186" s="26"/>
      <c r="T186" s="26"/>
      <c r="U186" s="26"/>
      <c r="V186" s="26"/>
      <c r="W186" s="26"/>
      <c r="X186" s="26"/>
      <c r="Y186" s="26"/>
      <c r="Z186" s="27"/>
      <c r="AA186" s="26"/>
      <c r="AB186" s="26"/>
    </row>
    <row r="187" spans="1:28" ht="24">
      <c r="A187" s="39"/>
      <c r="B187" s="40"/>
      <c r="C187" s="39"/>
      <c r="D187" s="39"/>
      <c r="E187" s="39"/>
      <c r="F187" s="41"/>
      <c r="G187" s="39"/>
      <c r="H187" s="41"/>
      <c r="I187" s="39"/>
      <c r="J187" s="41"/>
      <c r="K187" s="41"/>
      <c r="L187" s="41"/>
      <c r="M187" s="41"/>
      <c r="N187" s="41"/>
      <c r="O187" s="42"/>
      <c r="P187" s="41"/>
      <c r="Q187" s="26"/>
      <c r="R187" s="26"/>
      <c r="S187" s="26"/>
      <c r="T187" s="26"/>
      <c r="U187" s="26"/>
      <c r="V187" s="26"/>
      <c r="W187" s="26"/>
      <c r="X187" s="26"/>
      <c r="Y187" s="26"/>
      <c r="Z187" s="27"/>
      <c r="AA187" s="26"/>
      <c r="AB187" s="26"/>
    </row>
    <row r="188" spans="1:28" ht="24">
      <c r="A188" s="39"/>
      <c r="B188" s="40"/>
      <c r="C188" s="39"/>
      <c r="D188" s="39"/>
      <c r="E188" s="39"/>
      <c r="F188" s="41"/>
      <c r="G188" s="39"/>
      <c r="H188" s="41"/>
      <c r="I188" s="39"/>
      <c r="J188" s="41"/>
      <c r="K188" s="41"/>
      <c r="L188" s="41"/>
      <c r="M188" s="41"/>
      <c r="N188" s="41"/>
      <c r="O188" s="42"/>
      <c r="P188" s="41"/>
      <c r="Q188" s="26"/>
      <c r="R188" s="26"/>
      <c r="S188" s="26"/>
      <c r="T188" s="26"/>
      <c r="U188" s="26"/>
      <c r="V188" s="26"/>
      <c r="W188" s="26"/>
      <c r="X188" s="26"/>
      <c r="Y188" s="26"/>
      <c r="Z188" s="27"/>
      <c r="AA188" s="26"/>
      <c r="AB188" s="26"/>
    </row>
    <row r="189" spans="1:28" ht="24">
      <c r="A189" s="39"/>
      <c r="B189" s="40"/>
      <c r="C189" s="39"/>
      <c r="D189" s="39"/>
      <c r="E189" s="39"/>
      <c r="F189" s="41"/>
      <c r="G189" s="39"/>
      <c r="H189" s="41"/>
      <c r="I189" s="39"/>
      <c r="J189" s="41"/>
      <c r="K189" s="41"/>
      <c r="L189" s="41"/>
      <c r="M189" s="41"/>
      <c r="N189" s="41"/>
      <c r="O189" s="42"/>
      <c r="P189" s="41"/>
      <c r="Q189" s="26"/>
      <c r="R189" s="26"/>
      <c r="S189" s="26"/>
      <c r="T189" s="26"/>
      <c r="U189" s="26"/>
      <c r="V189" s="26"/>
      <c r="W189" s="26"/>
      <c r="X189" s="26"/>
      <c r="Y189" s="26"/>
      <c r="Z189" s="27"/>
      <c r="AA189" s="26"/>
      <c r="AB189" s="26"/>
    </row>
    <row r="190" spans="1:28" ht="24">
      <c r="A190" s="39"/>
      <c r="B190" s="40"/>
      <c r="C190" s="39"/>
      <c r="D190" s="39"/>
      <c r="E190" s="39"/>
      <c r="F190" s="41"/>
      <c r="G190" s="39"/>
      <c r="H190" s="41"/>
      <c r="I190" s="39"/>
      <c r="J190" s="41"/>
      <c r="K190" s="41"/>
      <c r="L190" s="41"/>
      <c r="M190" s="41"/>
      <c r="N190" s="41"/>
      <c r="O190" s="42"/>
      <c r="P190" s="41"/>
      <c r="Q190" s="26"/>
      <c r="R190" s="26"/>
      <c r="S190" s="26"/>
      <c r="T190" s="26"/>
      <c r="U190" s="26"/>
      <c r="V190" s="26"/>
      <c r="W190" s="26"/>
      <c r="X190" s="26"/>
      <c r="Y190" s="26"/>
      <c r="Z190" s="27"/>
      <c r="AA190" s="26"/>
      <c r="AB190" s="26"/>
    </row>
    <row r="191" spans="1:28" ht="24">
      <c r="A191" s="39"/>
      <c r="B191" s="40"/>
      <c r="C191" s="39"/>
      <c r="D191" s="39"/>
      <c r="E191" s="39"/>
      <c r="F191" s="41"/>
      <c r="G191" s="39"/>
      <c r="H191" s="41"/>
      <c r="I191" s="39"/>
      <c r="J191" s="41"/>
      <c r="K191" s="41"/>
      <c r="L191" s="41"/>
      <c r="M191" s="41"/>
      <c r="N191" s="41"/>
      <c r="O191" s="42"/>
      <c r="P191" s="41"/>
      <c r="Q191" s="26"/>
      <c r="R191" s="26"/>
      <c r="S191" s="26"/>
      <c r="T191" s="26"/>
      <c r="U191" s="26"/>
      <c r="V191" s="26"/>
      <c r="W191" s="26"/>
      <c r="X191" s="26"/>
      <c r="Y191" s="26"/>
      <c r="Z191" s="27"/>
      <c r="AA191" s="26"/>
      <c r="AB191" s="26"/>
    </row>
    <row r="192" spans="1:28" ht="24">
      <c r="A192" s="39"/>
      <c r="B192" s="40"/>
      <c r="C192" s="39"/>
      <c r="D192" s="39"/>
      <c r="E192" s="39"/>
      <c r="F192" s="41"/>
      <c r="G192" s="39"/>
      <c r="H192" s="41"/>
      <c r="I192" s="39"/>
      <c r="J192" s="41"/>
      <c r="K192" s="41"/>
      <c r="L192" s="41"/>
      <c r="M192" s="41"/>
      <c r="N192" s="41"/>
      <c r="O192" s="42"/>
      <c r="P192" s="41"/>
      <c r="Q192" s="26"/>
      <c r="R192" s="26"/>
      <c r="S192" s="26"/>
      <c r="T192" s="26"/>
      <c r="U192" s="26"/>
      <c r="V192" s="26"/>
      <c r="W192" s="26"/>
      <c r="X192" s="26"/>
      <c r="Y192" s="26"/>
      <c r="Z192" s="27"/>
      <c r="AA192" s="26"/>
      <c r="AB192" s="26"/>
    </row>
    <row r="193" spans="1:28" ht="24">
      <c r="A193" s="39"/>
      <c r="B193" s="40"/>
      <c r="C193" s="39"/>
      <c r="D193" s="39"/>
      <c r="E193" s="39"/>
      <c r="F193" s="41"/>
      <c r="G193" s="39"/>
      <c r="H193" s="41"/>
      <c r="I193" s="39"/>
      <c r="J193" s="41"/>
      <c r="K193" s="41"/>
      <c r="L193" s="41"/>
      <c r="M193" s="41"/>
      <c r="N193" s="41"/>
      <c r="O193" s="42"/>
      <c r="P193" s="41"/>
      <c r="Q193" s="26"/>
      <c r="R193" s="26"/>
      <c r="S193" s="26"/>
      <c r="T193" s="26"/>
      <c r="U193" s="26"/>
      <c r="V193" s="26"/>
      <c r="W193" s="26"/>
      <c r="X193" s="26"/>
      <c r="Y193" s="26"/>
      <c r="Z193" s="27"/>
      <c r="AA193" s="26"/>
      <c r="AB193" s="26"/>
    </row>
    <row r="194" spans="1:28" ht="24">
      <c r="A194" s="39"/>
      <c r="B194" s="40"/>
      <c r="C194" s="39"/>
      <c r="D194" s="39"/>
      <c r="E194" s="39"/>
      <c r="F194" s="41"/>
      <c r="G194" s="39"/>
      <c r="H194" s="41"/>
      <c r="I194" s="39"/>
      <c r="J194" s="41"/>
      <c r="K194" s="41"/>
      <c r="L194" s="41"/>
      <c r="M194" s="41"/>
      <c r="N194" s="41"/>
      <c r="O194" s="42"/>
      <c r="P194" s="41"/>
      <c r="Q194" s="26"/>
      <c r="R194" s="26"/>
      <c r="S194" s="26"/>
      <c r="T194" s="26"/>
      <c r="U194" s="26"/>
      <c r="V194" s="26"/>
      <c r="W194" s="26"/>
      <c r="X194" s="26"/>
      <c r="Y194" s="26"/>
      <c r="Z194" s="27"/>
      <c r="AA194" s="26"/>
      <c r="AB194" s="26"/>
    </row>
    <row r="195" spans="1:28" ht="24">
      <c r="A195" s="39"/>
      <c r="B195" s="40"/>
      <c r="C195" s="39"/>
      <c r="D195" s="39"/>
      <c r="E195" s="39"/>
      <c r="F195" s="41"/>
      <c r="G195" s="39"/>
      <c r="H195" s="41"/>
      <c r="I195" s="39"/>
      <c r="J195" s="41"/>
      <c r="K195" s="41"/>
      <c r="L195" s="41"/>
      <c r="M195" s="41"/>
      <c r="N195" s="41"/>
      <c r="O195" s="42"/>
      <c r="P195" s="41"/>
      <c r="Q195" s="26"/>
      <c r="R195" s="26"/>
      <c r="S195" s="26"/>
      <c r="T195" s="26"/>
      <c r="U195" s="26"/>
      <c r="V195" s="26"/>
      <c r="W195" s="26"/>
      <c r="X195" s="26"/>
      <c r="Y195" s="26"/>
      <c r="Z195" s="27"/>
      <c r="AA195" s="26"/>
      <c r="AB195" s="26"/>
    </row>
    <row r="196" spans="1:28" ht="24">
      <c r="A196" s="39"/>
      <c r="B196" s="40"/>
      <c r="C196" s="39"/>
      <c r="D196" s="39"/>
      <c r="E196" s="39"/>
      <c r="F196" s="41"/>
      <c r="G196" s="39"/>
      <c r="H196" s="41"/>
      <c r="I196" s="39"/>
      <c r="J196" s="41"/>
      <c r="K196" s="41"/>
      <c r="L196" s="41"/>
      <c r="M196" s="41"/>
      <c r="N196" s="41"/>
      <c r="O196" s="42"/>
      <c r="P196" s="41"/>
      <c r="Q196" s="26"/>
      <c r="R196" s="26"/>
      <c r="S196" s="26"/>
      <c r="T196" s="26"/>
      <c r="U196" s="26"/>
      <c r="V196" s="26"/>
      <c r="W196" s="26"/>
      <c r="X196" s="26"/>
      <c r="Y196" s="26"/>
      <c r="Z196" s="27"/>
      <c r="AA196" s="26"/>
      <c r="AB196" s="26"/>
    </row>
    <row r="197" spans="1:28" ht="24">
      <c r="A197" s="39"/>
      <c r="B197" s="40"/>
      <c r="C197" s="39"/>
      <c r="D197" s="39"/>
      <c r="E197" s="39"/>
      <c r="F197" s="41"/>
      <c r="G197" s="39"/>
      <c r="H197" s="41"/>
      <c r="I197" s="39"/>
      <c r="J197" s="41"/>
      <c r="K197" s="41"/>
      <c r="L197" s="41"/>
      <c r="M197" s="41"/>
      <c r="N197" s="41"/>
      <c r="O197" s="42"/>
      <c r="P197" s="41"/>
      <c r="Q197" s="26"/>
      <c r="R197" s="26"/>
      <c r="S197" s="26"/>
      <c r="T197" s="26"/>
      <c r="U197" s="26"/>
      <c r="V197" s="26"/>
      <c r="W197" s="26"/>
      <c r="X197" s="26"/>
      <c r="Y197" s="26"/>
      <c r="Z197" s="27"/>
      <c r="AA197" s="26"/>
      <c r="AB197" s="26"/>
    </row>
    <row r="198" spans="1:28" ht="24">
      <c r="A198" s="39"/>
      <c r="B198" s="40"/>
      <c r="C198" s="39"/>
      <c r="D198" s="39"/>
      <c r="E198" s="39"/>
      <c r="F198" s="41"/>
      <c r="G198" s="39"/>
      <c r="H198" s="41"/>
      <c r="I198" s="39"/>
      <c r="J198" s="41"/>
      <c r="K198" s="41"/>
      <c r="L198" s="41"/>
      <c r="M198" s="41"/>
      <c r="N198" s="41"/>
      <c r="O198" s="42"/>
      <c r="P198" s="41"/>
      <c r="Q198" s="26"/>
      <c r="R198" s="26"/>
      <c r="S198" s="26"/>
      <c r="T198" s="26"/>
      <c r="U198" s="26"/>
      <c r="V198" s="26"/>
      <c r="W198" s="26"/>
      <c r="X198" s="26"/>
      <c r="Y198" s="26"/>
      <c r="Z198" s="27"/>
      <c r="AA198" s="26"/>
      <c r="AB198" s="26"/>
    </row>
    <row r="199" spans="1:28" ht="24">
      <c r="A199" s="39"/>
      <c r="B199" s="40"/>
      <c r="C199" s="39"/>
      <c r="D199" s="39"/>
      <c r="E199" s="39"/>
      <c r="F199" s="41"/>
      <c r="G199" s="39"/>
      <c r="H199" s="41"/>
      <c r="I199" s="39"/>
      <c r="J199" s="41"/>
      <c r="K199" s="41"/>
      <c r="L199" s="41"/>
      <c r="M199" s="41"/>
      <c r="N199" s="41"/>
      <c r="O199" s="42"/>
      <c r="P199" s="41"/>
      <c r="Q199" s="26"/>
      <c r="R199" s="26"/>
      <c r="S199" s="26"/>
      <c r="T199" s="26"/>
      <c r="U199" s="26"/>
      <c r="V199" s="26"/>
      <c r="W199" s="26"/>
      <c r="X199" s="26"/>
      <c r="Y199" s="26"/>
      <c r="Z199" s="27"/>
      <c r="AA199" s="26"/>
      <c r="AB199" s="26"/>
    </row>
    <row r="200" spans="1:28" ht="24">
      <c r="A200" s="39"/>
      <c r="B200" s="40"/>
      <c r="C200" s="39"/>
      <c r="D200" s="39"/>
      <c r="E200" s="39"/>
      <c r="F200" s="41"/>
      <c r="G200" s="39"/>
      <c r="H200" s="41"/>
      <c r="I200" s="39"/>
      <c r="J200" s="41"/>
      <c r="K200" s="41"/>
      <c r="L200" s="41"/>
      <c r="M200" s="41"/>
      <c r="N200" s="41"/>
      <c r="O200" s="42"/>
      <c r="P200" s="41"/>
      <c r="Q200" s="26"/>
      <c r="R200" s="26"/>
      <c r="S200" s="26"/>
      <c r="T200" s="26"/>
      <c r="U200" s="26"/>
      <c r="V200" s="26"/>
      <c r="W200" s="26"/>
      <c r="X200" s="26"/>
      <c r="Y200" s="26"/>
      <c r="Z200" s="27"/>
      <c r="AA200" s="26"/>
      <c r="AB200" s="26"/>
    </row>
    <row r="201" spans="1:28" ht="24">
      <c r="A201" s="39"/>
      <c r="B201" s="40"/>
      <c r="C201" s="39"/>
      <c r="D201" s="39"/>
      <c r="E201" s="39"/>
      <c r="F201" s="41"/>
      <c r="G201" s="39"/>
      <c r="H201" s="41"/>
      <c r="I201" s="39"/>
      <c r="J201" s="41"/>
      <c r="K201" s="41"/>
      <c r="L201" s="41"/>
      <c r="M201" s="41"/>
      <c r="N201" s="41"/>
      <c r="O201" s="42"/>
      <c r="P201" s="41"/>
      <c r="Q201" s="26"/>
      <c r="R201" s="26"/>
      <c r="S201" s="26"/>
      <c r="T201" s="26"/>
      <c r="U201" s="26"/>
      <c r="V201" s="26"/>
      <c r="W201" s="26"/>
      <c r="X201" s="26"/>
      <c r="Y201" s="26"/>
      <c r="Z201" s="27"/>
      <c r="AA201" s="26"/>
      <c r="AB201" s="26"/>
    </row>
    <row r="202" spans="1:28" ht="24">
      <c r="A202" s="39"/>
      <c r="B202" s="40"/>
      <c r="C202" s="39"/>
      <c r="D202" s="39"/>
      <c r="E202" s="39"/>
      <c r="F202" s="41"/>
      <c r="G202" s="39"/>
      <c r="H202" s="41"/>
      <c r="I202" s="39"/>
      <c r="J202" s="41"/>
      <c r="K202" s="41"/>
      <c r="L202" s="41"/>
      <c r="M202" s="41"/>
      <c r="N202" s="41"/>
      <c r="O202" s="42"/>
      <c r="P202" s="41"/>
      <c r="Q202" s="26"/>
      <c r="R202" s="26"/>
      <c r="S202" s="26"/>
      <c r="T202" s="26"/>
      <c r="U202" s="26"/>
      <c r="V202" s="26"/>
      <c r="W202" s="26"/>
      <c r="X202" s="26"/>
      <c r="Y202" s="26"/>
      <c r="Z202" s="27"/>
      <c r="AA202" s="26"/>
      <c r="AB202" s="26"/>
    </row>
    <row r="203" spans="1:28" ht="24">
      <c r="A203" s="39"/>
      <c r="B203" s="40"/>
      <c r="C203" s="39"/>
      <c r="D203" s="39"/>
      <c r="E203" s="39"/>
      <c r="F203" s="41"/>
      <c r="G203" s="39"/>
      <c r="H203" s="41"/>
      <c r="I203" s="39"/>
      <c r="J203" s="41"/>
      <c r="K203" s="41"/>
      <c r="L203" s="41"/>
      <c r="M203" s="41"/>
      <c r="N203" s="41"/>
      <c r="O203" s="42"/>
      <c r="P203" s="41"/>
      <c r="Q203" s="26"/>
      <c r="R203" s="26"/>
      <c r="S203" s="26"/>
      <c r="T203" s="26"/>
      <c r="U203" s="26"/>
      <c r="V203" s="26"/>
      <c r="W203" s="26"/>
      <c r="X203" s="26"/>
      <c r="Y203" s="26"/>
      <c r="Z203" s="27"/>
      <c r="AA203" s="26"/>
      <c r="AB203" s="26"/>
    </row>
    <row r="204" spans="1:28" ht="24">
      <c r="A204" s="39"/>
      <c r="B204" s="40"/>
      <c r="C204" s="39"/>
      <c r="D204" s="39"/>
      <c r="E204" s="39"/>
      <c r="F204" s="41"/>
      <c r="G204" s="39"/>
      <c r="H204" s="41"/>
      <c r="I204" s="39"/>
      <c r="J204" s="41"/>
      <c r="K204" s="41"/>
      <c r="L204" s="41"/>
      <c r="M204" s="41"/>
      <c r="N204" s="41"/>
      <c r="O204" s="42"/>
      <c r="P204" s="41"/>
      <c r="Q204" s="26"/>
      <c r="R204" s="26"/>
      <c r="S204" s="26"/>
      <c r="T204" s="26"/>
      <c r="U204" s="26"/>
      <c r="V204" s="26"/>
      <c r="W204" s="26"/>
      <c r="X204" s="26"/>
      <c r="Y204" s="26"/>
      <c r="Z204" s="27"/>
      <c r="AA204" s="26"/>
      <c r="AB204" s="26"/>
    </row>
    <row r="205" spans="1:28" ht="24">
      <c r="A205" s="39"/>
      <c r="B205" s="40"/>
      <c r="C205" s="39"/>
      <c r="D205" s="39"/>
      <c r="E205" s="39"/>
      <c r="F205" s="41"/>
      <c r="G205" s="39"/>
      <c r="H205" s="41"/>
      <c r="I205" s="39"/>
      <c r="J205" s="41"/>
      <c r="K205" s="41"/>
      <c r="L205" s="41"/>
      <c r="M205" s="41"/>
      <c r="N205" s="41"/>
      <c r="O205" s="42"/>
      <c r="P205" s="41"/>
      <c r="Q205" s="26"/>
      <c r="R205" s="26"/>
      <c r="S205" s="26"/>
      <c r="T205" s="26"/>
      <c r="U205" s="26"/>
      <c r="V205" s="26"/>
      <c r="W205" s="26"/>
      <c r="X205" s="26"/>
      <c r="Y205" s="26"/>
      <c r="Z205" s="27"/>
      <c r="AA205" s="26"/>
      <c r="AB205" s="26"/>
    </row>
    <row r="206" spans="1:28" ht="24">
      <c r="A206" s="39"/>
      <c r="B206" s="40"/>
      <c r="C206" s="39"/>
      <c r="D206" s="39"/>
      <c r="E206" s="39"/>
      <c r="F206" s="41"/>
      <c r="G206" s="39"/>
      <c r="H206" s="41"/>
      <c r="I206" s="39"/>
      <c r="J206" s="41"/>
      <c r="K206" s="41"/>
      <c r="L206" s="41"/>
      <c r="M206" s="41"/>
      <c r="N206" s="41"/>
      <c r="O206" s="42"/>
      <c r="P206" s="41"/>
      <c r="Q206" s="26"/>
      <c r="R206" s="26"/>
      <c r="S206" s="26"/>
      <c r="T206" s="26"/>
      <c r="U206" s="26"/>
      <c r="V206" s="26"/>
      <c r="W206" s="26"/>
      <c r="X206" s="26"/>
      <c r="Y206" s="26"/>
      <c r="Z206" s="27"/>
      <c r="AA206" s="26"/>
      <c r="AB206" s="26"/>
    </row>
    <row r="207" spans="1:28" ht="24">
      <c r="A207" s="39"/>
      <c r="B207" s="40"/>
      <c r="C207" s="39"/>
      <c r="D207" s="39"/>
      <c r="E207" s="39"/>
      <c r="F207" s="41"/>
      <c r="G207" s="39"/>
      <c r="H207" s="41"/>
      <c r="I207" s="39"/>
      <c r="J207" s="41"/>
      <c r="K207" s="41"/>
      <c r="L207" s="41"/>
      <c r="M207" s="41"/>
      <c r="N207" s="41"/>
      <c r="O207" s="42"/>
      <c r="P207" s="41"/>
      <c r="Q207" s="26"/>
      <c r="R207" s="26"/>
      <c r="S207" s="26"/>
      <c r="T207" s="26"/>
      <c r="U207" s="26"/>
      <c r="V207" s="26"/>
      <c r="W207" s="26"/>
      <c r="X207" s="26"/>
      <c r="Y207" s="26"/>
      <c r="Z207" s="27"/>
      <c r="AA207" s="26"/>
      <c r="AB207" s="26"/>
    </row>
    <row r="208" spans="1:28" ht="24">
      <c r="A208" s="39"/>
      <c r="B208" s="40"/>
      <c r="C208" s="39"/>
      <c r="D208" s="39"/>
      <c r="E208" s="39"/>
      <c r="F208" s="41"/>
      <c r="G208" s="39"/>
      <c r="H208" s="41"/>
      <c r="I208" s="39"/>
      <c r="J208" s="41"/>
      <c r="K208" s="41"/>
      <c r="L208" s="41"/>
      <c r="M208" s="41"/>
      <c r="N208" s="41"/>
      <c r="O208" s="42"/>
      <c r="P208" s="41"/>
      <c r="Q208" s="26"/>
      <c r="R208" s="26"/>
      <c r="S208" s="26"/>
      <c r="T208" s="26"/>
      <c r="U208" s="26"/>
      <c r="V208" s="26"/>
      <c r="W208" s="26"/>
      <c r="X208" s="26"/>
      <c r="Y208" s="26"/>
      <c r="Z208" s="27"/>
      <c r="AA208" s="26"/>
      <c r="AB208" s="26"/>
    </row>
    <row r="209" spans="1:28" ht="24">
      <c r="A209" s="39"/>
      <c r="B209" s="40"/>
      <c r="C209" s="39"/>
      <c r="D209" s="39"/>
      <c r="E209" s="39"/>
      <c r="F209" s="41"/>
      <c r="G209" s="39"/>
      <c r="H209" s="41"/>
      <c r="I209" s="39"/>
      <c r="J209" s="41"/>
      <c r="K209" s="41"/>
      <c r="L209" s="41"/>
      <c r="M209" s="41"/>
      <c r="N209" s="41"/>
      <c r="O209" s="42"/>
      <c r="P209" s="41"/>
      <c r="Q209" s="26"/>
      <c r="R209" s="26"/>
      <c r="S209" s="26"/>
      <c r="T209" s="26"/>
      <c r="U209" s="26"/>
      <c r="V209" s="26"/>
      <c r="W209" s="26"/>
      <c r="X209" s="26"/>
      <c r="Y209" s="26"/>
      <c r="Z209" s="27"/>
      <c r="AA209" s="26"/>
      <c r="AB209" s="26"/>
    </row>
    <row r="210" spans="1:28" ht="24">
      <c r="A210" s="39"/>
      <c r="B210" s="40"/>
      <c r="C210" s="39"/>
      <c r="D210" s="39"/>
      <c r="E210" s="39"/>
      <c r="F210" s="41"/>
      <c r="G210" s="39"/>
      <c r="H210" s="41"/>
      <c r="I210" s="39"/>
      <c r="J210" s="41"/>
      <c r="K210" s="41"/>
      <c r="L210" s="41"/>
      <c r="M210" s="41"/>
      <c r="N210" s="41"/>
      <c r="O210" s="42"/>
      <c r="P210" s="41"/>
      <c r="Q210" s="26"/>
      <c r="R210" s="26"/>
      <c r="S210" s="26"/>
      <c r="T210" s="26"/>
      <c r="U210" s="26"/>
      <c r="V210" s="26"/>
      <c r="W210" s="26"/>
      <c r="X210" s="26"/>
      <c r="Y210" s="26"/>
      <c r="Z210" s="27"/>
      <c r="AA210" s="26"/>
      <c r="AB210" s="26"/>
    </row>
    <row r="211" spans="1:28" ht="24">
      <c r="A211" s="39"/>
      <c r="B211" s="40"/>
      <c r="C211" s="39"/>
      <c r="D211" s="39"/>
      <c r="E211" s="39"/>
      <c r="F211" s="41"/>
      <c r="G211" s="39"/>
      <c r="H211" s="41"/>
      <c r="I211" s="39"/>
      <c r="J211" s="41"/>
      <c r="K211" s="41"/>
      <c r="L211" s="41"/>
      <c r="M211" s="41"/>
      <c r="N211" s="41"/>
      <c r="O211" s="42"/>
      <c r="P211" s="41"/>
      <c r="Q211" s="26"/>
      <c r="R211" s="26"/>
      <c r="S211" s="26"/>
      <c r="T211" s="26"/>
      <c r="U211" s="26"/>
      <c r="V211" s="26"/>
      <c r="W211" s="26"/>
      <c r="X211" s="26"/>
      <c r="Y211" s="26"/>
      <c r="Z211" s="27"/>
      <c r="AA211" s="26"/>
      <c r="AB211" s="26"/>
    </row>
    <row r="212" spans="1:28" ht="24">
      <c r="A212" s="37"/>
      <c r="B212" s="35"/>
      <c r="C212" s="37"/>
      <c r="D212" s="37"/>
      <c r="E212" s="37"/>
      <c r="F212" s="36"/>
      <c r="G212" s="37"/>
      <c r="H212" s="36"/>
      <c r="I212" s="37"/>
      <c r="J212" s="36"/>
      <c r="K212" s="36"/>
      <c r="L212" s="36"/>
      <c r="M212" s="36"/>
      <c r="N212" s="36"/>
      <c r="O212" s="38"/>
      <c r="P212" s="41"/>
      <c r="Q212" s="26"/>
      <c r="R212" s="26"/>
      <c r="S212" s="26"/>
      <c r="T212" s="26"/>
      <c r="U212" s="26"/>
      <c r="V212" s="26"/>
      <c r="W212" s="26"/>
      <c r="X212" s="26"/>
      <c r="Y212" s="26"/>
      <c r="Z212" s="27"/>
      <c r="AA212" s="26"/>
      <c r="AB212" s="26"/>
    </row>
    <row r="213" spans="1:28" ht="24">
      <c r="A213" s="37"/>
      <c r="B213" s="35"/>
      <c r="C213" s="37"/>
      <c r="D213" s="37"/>
      <c r="E213" s="37"/>
      <c r="F213" s="36"/>
      <c r="G213" s="37"/>
      <c r="H213" s="36"/>
      <c r="I213" s="37"/>
      <c r="J213" s="36"/>
      <c r="K213" s="36"/>
      <c r="L213" s="36"/>
      <c r="M213" s="36"/>
      <c r="N213" s="36"/>
      <c r="O213" s="38"/>
      <c r="P213" s="41"/>
      <c r="Q213" s="26"/>
      <c r="R213" s="26"/>
      <c r="S213" s="26"/>
      <c r="T213" s="26"/>
      <c r="U213" s="26"/>
      <c r="V213" s="26"/>
      <c r="W213" s="26"/>
      <c r="X213" s="26"/>
      <c r="Y213" s="26"/>
      <c r="Z213" s="27"/>
      <c r="AA213" s="26"/>
      <c r="AB213" s="26"/>
    </row>
    <row r="214" spans="1:28" ht="24">
      <c r="A214" s="37"/>
      <c r="B214" s="35"/>
      <c r="C214" s="37"/>
      <c r="D214" s="37"/>
      <c r="E214" s="37"/>
      <c r="F214" s="36"/>
      <c r="G214" s="37"/>
      <c r="H214" s="36"/>
      <c r="I214" s="37"/>
      <c r="J214" s="36"/>
      <c r="K214" s="36"/>
      <c r="L214" s="36"/>
      <c r="M214" s="36"/>
      <c r="N214" s="36"/>
      <c r="O214" s="38"/>
      <c r="P214" s="41"/>
      <c r="Q214" s="26"/>
      <c r="R214" s="26"/>
      <c r="S214" s="26"/>
      <c r="T214" s="26"/>
      <c r="U214" s="26"/>
      <c r="V214" s="26"/>
      <c r="W214" s="26"/>
      <c r="X214" s="26"/>
      <c r="Y214" s="26"/>
      <c r="Z214" s="27"/>
      <c r="AA214" s="26"/>
      <c r="AB214" s="26"/>
    </row>
    <row r="215" spans="1:28" ht="24">
      <c r="A215" s="37"/>
      <c r="B215" s="35"/>
      <c r="C215" s="37"/>
      <c r="D215" s="37"/>
      <c r="E215" s="37"/>
      <c r="F215" s="36"/>
      <c r="G215" s="37"/>
      <c r="H215" s="36"/>
      <c r="I215" s="37"/>
      <c r="J215" s="36"/>
      <c r="K215" s="36"/>
      <c r="L215" s="36"/>
      <c r="M215" s="36"/>
      <c r="N215" s="36"/>
      <c r="O215" s="38"/>
      <c r="P215" s="41"/>
      <c r="Q215" s="26"/>
      <c r="R215" s="26"/>
      <c r="S215" s="26"/>
      <c r="T215" s="26"/>
      <c r="U215" s="26"/>
      <c r="V215" s="26"/>
      <c r="W215" s="26"/>
      <c r="X215" s="26"/>
      <c r="Y215" s="26"/>
      <c r="Z215" s="27"/>
      <c r="AA215" s="26"/>
      <c r="AB215" s="26"/>
    </row>
    <row r="216" spans="1:28" ht="24">
      <c r="A216" s="37"/>
      <c r="B216" s="35"/>
      <c r="C216" s="37"/>
      <c r="D216" s="37"/>
      <c r="E216" s="37"/>
      <c r="F216" s="36"/>
      <c r="G216" s="37"/>
      <c r="H216" s="36"/>
      <c r="I216" s="37"/>
      <c r="J216" s="36"/>
      <c r="K216" s="36"/>
      <c r="L216" s="36"/>
      <c r="M216" s="36"/>
      <c r="N216" s="36"/>
      <c r="O216" s="38"/>
      <c r="P216" s="41"/>
      <c r="Q216" s="26"/>
      <c r="R216" s="26"/>
      <c r="S216" s="26"/>
      <c r="T216" s="26"/>
      <c r="U216" s="26"/>
      <c r="V216" s="26"/>
      <c r="W216" s="26"/>
      <c r="X216" s="26"/>
      <c r="Y216" s="26"/>
      <c r="Z216" s="27"/>
      <c r="AA216" s="26"/>
      <c r="AB216" s="26"/>
    </row>
    <row r="217" spans="1:28" ht="24">
      <c r="A217" s="37"/>
      <c r="B217" s="35"/>
      <c r="C217" s="37"/>
      <c r="D217" s="37"/>
      <c r="E217" s="37"/>
      <c r="F217" s="36"/>
      <c r="G217" s="37"/>
      <c r="H217" s="36"/>
      <c r="I217" s="37"/>
      <c r="J217" s="36"/>
      <c r="K217" s="36"/>
      <c r="L217" s="36"/>
      <c r="M217" s="36"/>
      <c r="N217" s="36"/>
      <c r="O217" s="38"/>
      <c r="P217" s="41"/>
      <c r="Q217" s="26"/>
      <c r="R217" s="26"/>
      <c r="S217" s="26"/>
      <c r="T217" s="26"/>
      <c r="U217" s="26"/>
      <c r="V217" s="26"/>
      <c r="W217" s="26"/>
      <c r="X217" s="26"/>
      <c r="Y217" s="26"/>
      <c r="Z217" s="27"/>
      <c r="AA217" s="26"/>
      <c r="AB217" s="26"/>
    </row>
    <row r="218" spans="1:28" ht="24">
      <c r="A218" s="39"/>
      <c r="B218" s="40"/>
      <c r="C218" s="39"/>
      <c r="D218" s="39"/>
      <c r="E218" s="39"/>
      <c r="F218" s="41"/>
      <c r="G218" s="39"/>
      <c r="H218" s="41"/>
      <c r="I218" s="39"/>
      <c r="J218" s="41"/>
      <c r="K218" s="41"/>
      <c r="L218" s="41"/>
      <c r="M218" s="41"/>
      <c r="N218" s="41"/>
      <c r="O218" s="38"/>
      <c r="P218" s="41"/>
      <c r="Q218" s="26"/>
      <c r="R218" s="26"/>
      <c r="S218" s="26"/>
      <c r="T218" s="26"/>
      <c r="U218" s="26"/>
      <c r="V218" s="26"/>
      <c r="W218" s="26"/>
      <c r="X218" s="26"/>
      <c r="Y218" s="26"/>
      <c r="Z218" s="27"/>
      <c r="AA218" s="26"/>
      <c r="AB218" s="26"/>
    </row>
    <row r="219" spans="1:28" ht="24">
      <c r="A219" s="39"/>
      <c r="B219" s="40"/>
      <c r="C219" s="39"/>
      <c r="D219" s="39"/>
      <c r="E219" s="39"/>
      <c r="F219" s="41"/>
      <c r="G219" s="39"/>
      <c r="H219" s="41"/>
      <c r="I219" s="39"/>
      <c r="J219" s="41"/>
      <c r="K219" s="41"/>
      <c r="L219" s="41"/>
      <c r="M219" s="41"/>
      <c r="N219" s="41"/>
      <c r="O219" s="38"/>
      <c r="P219" s="41"/>
      <c r="Q219" s="26"/>
      <c r="R219" s="26"/>
      <c r="S219" s="26"/>
      <c r="T219" s="26"/>
      <c r="U219" s="26"/>
      <c r="V219" s="26"/>
      <c r="W219" s="26"/>
      <c r="X219" s="26"/>
      <c r="Y219" s="26"/>
      <c r="Z219" s="27"/>
      <c r="AA219" s="26"/>
      <c r="AB219" s="26"/>
    </row>
    <row r="220" spans="1:28" ht="24">
      <c r="A220" s="39"/>
      <c r="B220" s="40"/>
      <c r="C220" s="39"/>
      <c r="D220" s="39"/>
      <c r="E220" s="39"/>
      <c r="F220" s="41"/>
      <c r="G220" s="39"/>
      <c r="H220" s="41"/>
      <c r="I220" s="39"/>
      <c r="J220" s="41"/>
      <c r="K220" s="41"/>
      <c r="L220" s="41"/>
      <c r="M220" s="41"/>
      <c r="N220" s="41"/>
      <c r="O220" s="38"/>
      <c r="P220" s="41"/>
      <c r="Q220" s="26"/>
      <c r="R220" s="26"/>
      <c r="S220" s="26"/>
      <c r="T220" s="26"/>
      <c r="U220" s="26"/>
      <c r="V220" s="26"/>
      <c r="W220" s="26"/>
      <c r="X220" s="26"/>
      <c r="Y220" s="26"/>
      <c r="Z220" s="27"/>
      <c r="AA220" s="26"/>
      <c r="AB220" s="26"/>
    </row>
    <row r="221" spans="1:28" ht="24">
      <c r="A221" s="39"/>
      <c r="B221" s="40"/>
      <c r="C221" s="39"/>
      <c r="D221" s="39"/>
      <c r="E221" s="39"/>
      <c r="F221" s="41"/>
      <c r="G221" s="39"/>
      <c r="H221" s="41"/>
      <c r="I221" s="39"/>
      <c r="J221" s="41"/>
      <c r="K221" s="41"/>
      <c r="L221" s="41"/>
      <c r="M221" s="41"/>
      <c r="N221" s="41"/>
      <c r="O221" s="38"/>
      <c r="P221" s="41"/>
      <c r="Q221" s="26"/>
      <c r="R221" s="26"/>
      <c r="S221" s="26"/>
      <c r="T221" s="26"/>
      <c r="U221" s="26"/>
      <c r="V221" s="26"/>
      <c r="W221" s="26"/>
      <c r="X221" s="26"/>
      <c r="Y221" s="26"/>
      <c r="Z221" s="27"/>
      <c r="AA221" s="26"/>
      <c r="AB221" s="26"/>
    </row>
    <row r="222" spans="1:28" ht="24">
      <c r="A222" s="39"/>
      <c r="B222" s="40"/>
      <c r="C222" s="39"/>
      <c r="D222" s="39"/>
      <c r="E222" s="39"/>
      <c r="F222" s="41"/>
      <c r="G222" s="39"/>
      <c r="H222" s="41"/>
      <c r="I222" s="39"/>
      <c r="J222" s="41"/>
      <c r="K222" s="41"/>
      <c r="L222" s="41"/>
      <c r="M222" s="41"/>
      <c r="N222" s="41"/>
      <c r="O222" s="38"/>
      <c r="P222" s="41"/>
      <c r="Q222" s="26"/>
      <c r="R222" s="26"/>
      <c r="S222" s="26"/>
      <c r="T222" s="26"/>
      <c r="U222" s="26"/>
      <c r="V222" s="26"/>
      <c r="W222" s="26"/>
      <c r="X222" s="26"/>
      <c r="Y222" s="26"/>
      <c r="Z222" s="27"/>
      <c r="AA222" s="26"/>
      <c r="AB222" s="26"/>
    </row>
    <row r="223" spans="1:28" ht="24">
      <c r="A223" s="39"/>
      <c r="B223" s="40"/>
      <c r="C223" s="39"/>
      <c r="D223" s="39"/>
      <c r="E223" s="39"/>
      <c r="F223" s="41"/>
      <c r="G223" s="39"/>
      <c r="H223" s="41"/>
      <c r="I223" s="39"/>
      <c r="J223" s="41"/>
      <c r="K223" s="41"/>
      <c r="L223" s="41"/>
      <c r="M223" s="41"/>
      <c r="N223" s="41"/>
      <c r="O223" s="38"/>
      <c r="P223" s="41"/>
      <c r="Q223" s="26"/>
      <c r="R223" s="26"/>
      <c r="S223" s="26"/>
      <c r="T223" s="26"/>
      <c r="U223" s="26"/>
      <c r="V223" s="26"/>
      <c r="W223" s="26"/>
      <c r="X223" s="26"/>
      <c r="Y223" s="26"/>
      <c r="Z223" s="27"/>
      <c r="AA223" s="26"/>
      <c r="AB223" s="26"/>
    </row>
    <row r="224" spans="1:28" ht="24">
      <c r="A224" s="39"/>
      <c r="B224" s="40"/>
      <c r="C224" s="39"/>
      <c r="D224" s="39"/>
      <c r="E224" s="39"/>
      <c r="F224" s="41"/>
      <c r="G224" s="39"/>
      <c r="H224" s="41"/>
      <c r="I224" s="39"/>
      <c r="J224" s="41"/>
      <c r="K224" s="41"/>
      <c r="L224" s="41"/>
      <c r="M224" s="41"/>
      <c r="N224" s="41"/>
      <c r="O224" s="38"/>
      <c r="P224" s="41"/>
      <c r="Q224" s="26"/>
      <c r="R224" s="26"/>
      <c r="S224" s="26"/>
      <c r="T224" s="26"/>
      <c r="U224" s="26"/>
      <c r="V224" s="26"/>
      <c r="W224" s="26"/>
      <c r="X224" s="26"/>
      <c r="Y224" s="26"/>
      <c r="Z224" s="27"/>
      <c r="AA224" s="26"/>
      <c r="AB224" s="26"/>
    </row>
    <row r="225" spans="1:28" ht="24">
      <c r="A225" s="39"/>
      <c r="B225" s="40"/>
      <c r="C225" s="39"/>
      <c r="D225" s="39"/>
      <c r="E225" s="39"/>
      <c r="F225" s="41"/>
      <c r="G225" s="39"/>
      <c r="H225" s="41"/>
      <c r="I225" s="39"/>
      <c r="J225" s="41"/>
      <c r="K225" s="41"/>
      <c r="L225" s="41"/>
      <c r="M225" s="41"/>
      <c r="N225" s="41"/>
      <c r="O225" s="38"/>
      <c r="P225" s="41"/>
      <c r="Q225" s="26"/>
      <c r="R225" s="26"/>
      <c r="S225" s="26"/>
      <c r="T225" s="26"/>
      <c r="U225" s="26"/>
      <c r="V225" s="26"/>
      <c r="W225" s="26"/>
      <c r="X225" s="26"/>
      <c r="Y225" s="26"/>
      <c r="Z225" s="27"/>
      <c r="AA225" s="26"/>
      <c r="AB225" s="26"/>
    </row>
    <row r="226" spans="1:28" ht="24">
      <c r="A226" s="39"/>
      <c r="B226" s="40"/>
      <c r="C226" s="39"/>
      <c r="D226" s="39"/>
      <c r="E226" s="39"/>
      <c r="F226" s="41"/>
      <c r="G226" s="39"/>
      <c r="H226" s="41"/>
      <c r="I226" s="39"/>
      <c r="J226" s="41"/>
      <c r="K226" s="41"/>
      <c r="L226" s="41"/>
      <c r="M226" s="41"/>
      <c r="N226" s="41"/>
      <c r="O226" s="38"/>
      <c r="P226" s="41"/>
      <c r="Q226" s="26"/>
      <c r="R226" s="26"/>
      <c r="S226" s="26"/>
      <c r="T226" s="26"/>
      <c r="U226" s="26"/>
      <c r="V226" s="26"/>
      <c r="W226" s="26"/>
      <c r="X226" s="26"/>
      <c r="Y226" s="26"/>
      <c r="Z226" s="27"/>
      <c r="AA226" s="26"/>
      <c r="AB226" s="26"/>
    </row>
    <row r="227" spans="1:28" ht="24">
      <c r="A227" s="39"/>
      <c r="B227" s="40"/>
      <c r="C227" s="39"/>
      <c r="D227" s="39"/>
      <c r="E227" s="39"/>
      <c r="F227" s="41"/>
      <c r="G227" s="39"/>
      <c r="H227" s="41"/>
      <c r="I227" s="39"/>
      <c r="J227" s="41"/>
      <c r="K227" s="41"/>
      <c r="L227" s="41"/>
      <c r="M227" s="41"/>
      <c r="N227" s="41"/>
      <c r="O227" s="38"/>
      <c r="P227" s="41"/>
      <c r="Q227" s="26"/>
      <c r="R227" s="26"/>
      <c r="S227" s="26"/>
      <c r="T227" s="26"/>
      <c r="U227" s="26"/>
      <c r="V227" s="26"/>
      <c r="W227" s="26"/>
      <c r="X227" s="26"/>
      <c r="Y227" s="26"/>
      <c r="Z227" s="27"/>
      <c r="AA227" s="26"/>
      <c r="AB227" s="26"/>
    </row>
    <row r="228" spans="1:28" ht="24">
      <c r="A228" s="39"/>
      <c r="B228" s="40"/>
      <c r="C228" s="39"/>
      <c r="D228" s="39"/>
      <c r="E228" s="39"/>
      <c r="F228" s="41"/>
      <c r="G228" s="39"/>
      <c r="H228" s="41"/>
      <c r="I228" s="39"/>
      <c r="J228" s="41"/>
      <c r="K228" s="41"/>
      <c r="L228" s="41"/>
      <c r="M228" s="41"/>
      <c r="N228" s="41"/>
      <c r="O228" s="38"/>
      <c r="P228" s="41"/>
      <c r="Q228" s="26"/>
      <c r="R228" s="26"/>
      <c r="S228" s="26"/>
      <c r="T228" s="26"/>
      <c r="U228" s="26"/>
      <c r="V228" s="26"/>
      <c r="W228" s="26"/>
      <c r="X228" s="26"/>
      <c r="Y228" s="26"/>
      <c r="Z228" s="27"/>
      <c r="AA228" s="26"/>
      <c r="AB228" s="26"/>
    </row>
    <row r="229" spans="1:28" ht="24">
      <c r="A229" s="39"/>
      <c r="B229" s="40"/>
      <c r="C229" s="39"/>
      <c r="D229" s="39"/>
      <c r="E229" s="39"/>
      <c r="F229" s="41"/>
      <c r="G229" s="39"/>
      <c r="H229" s="41"/>
      <c r="I229" s="39"/>
      <c r="J229" s="41"/>
      <c r="K229" s="41"/>
      <c r="L229" s="41"/>
      <c r="M229" s="41"/>
      <c r="N229" s="41"/>
      <c r="O229" s="38"/>
      <c r="P229" s="41"/>
      <c r="Q229" s="26"/>
      <c r="R229" s="26"/>
      <c r="S229" s="26"/>
      <c r="T229" s="26"/>
      <c r="U229" s="26"/>
      <c r="V229" s="26"/>
      <c r="W229" s="26"/>
      <c r="X229" s="26"/>
      <c r="Y229" s="26"/>
      <c r="Z229" s="27"/>
      <c r="AA229" s="26"/>
      <c r="AB229" s="26"/>
    </row>
    <row r="230" spans="1:28" ht="24">
      <c r="A230" s="39"/>
      <c r="B230" s="40"/>
      <c r="C230" s="39"/>
      <c r="D230" s="39"/>
      <c r="E230" s="39"/>
      <c r="F230" s="41"/>
      <c r="G230" s="39"/>
      <c r="H230" s="41"/>
      <c r="I230" s="39"/>
      <c r="J230" s="41"/>
      <c r="K230" s="41"/>
      <c r="L230" s="41"/>
      <c r="M230" s="41"/>
      <c r="N230" s="41"/>
      <c r="O230" s="38"/>
      <c r="P230" s="41"/>
      <c r="Q230" s="26"/>
      <c r="R230" s="26"/>
      <c r="S230" s="26"/>
      <c r="T230" s="26"/>
      <c r="U230" s="26"/>
      <c r="V230" s="26"/>
      <c r="W230" s="26"/>
      <c r="X230" s="26"/>
      <c r="Y230" s="26"/>
      <c r="Z230" s="27"/>
      <c r="AA230" s="26"/>
      <c r="AB230" s="26"/>
    </row>
    <row r="231" spans="1:28" ht="24">
      <c r="A231" s="39"/>
      <c r="B231" s="40"/>
      <c r="C231" s="39"/>
      <c r="D231" s="39"/>
      <c r="E231" s="39"/>
      <c r="F231" s="41"/>
      <c r="G231" s="39"/>
      <c r="H231" s="41"/>
      <c r="I231" s="39"/>
      <c r="J231" s="41"/>
      <c r="K231" s="41"/>
      <c r="L231" s="41"/>
      <c r="M231" s="41"/>
      <c r="N231" s="41"/>
      <c r="O231" s="38"/>
      <c r="P231" s="41"/>
      <c r="Q231" s="26"/>
      <c r="R231" s="26"/>
      <c r="S231" s="26"/>
      <c r="T231" s="26"/>
      <c r="U231" s="26"/>
      <c r="V231" s="26"/>
      <c r="W231" s="26"/>
      <c r="X231" s="26"/>
      <c r="Y231" s="26"/>
      <c r="Z231" s="27"/>
      <c r="AA231" s="26"/>
      <c r="AB231" s="26"/>
    </row>
    <row r="232" spans="1:28" ht="24">
      <c r="A232" s="39"/>
      <c r="B232" s="40"/>
      <c r="C232" s="39"/>
      <c r="D232" s="39"/>
      <c r="E232" s="39"/>
      <c r="F232" s="41"/>
      <c r="G232" s="39"/>
      <c r="H232" s="41"/>
      <c r="I232" s="39"/>
      <c r="J232" s="41"/>
      <c r="K232" s="41"/>
      <c r="L232" s="41"/>
      <c r="M232" s="41"/>
      <c r="N232" s="41"/>
      <c r="O232" s="38"/>
      <c r="P232" s="41"/>
      <c r="Q232" s="26"/>
      <c r="R232" s="26"/>
      <c r="S232" s="26"/>
      <c r="T232" s="26"/>
      <c r="U232" s="26"/>
      <c r="V232" s="26"/>
      <c r="W232" s="26"/>
      <c r="X232" s="26"/>
      <c r="Y232" s="26"/>
      <c r="Z232" s="27"/>
      <c r="AA232" s="26"/>
      <c r="AB232" s="26"/>
    </row>
    <row r="233" spans="1:28" ht="24">
      <c r="A233" s="39"/>
      <c r="B233" s="40"/>
      <c r="C233" s="39"/>
      <c r="D233" s="39"/>
      <c r="E233" s="39"/>
      <c r="F233" s="41"/>
      <c r="G233" s="39"/>
      <c r="H233" s="41"/>
      <c r="I233" s="39"/>
      <c r="J233" s="41"/>
      <c r="K233" s="41"/>
      <c r="L233" s="41"/>
      <c r="M233" s="41"/>
      <c r="N233" s="41"/>
      <c r="O233" s="38"/>
      <c r="P233" s="41"/>
      <c r="Q233" s="26"/>
      <c r="R233" s="26"/>
      <c r="S233" s="26"/>
      <c r="T233" s="26"/>
      <c r="U233" s="26"/>
      <c r="V233" s="26"/>
      <c r="W233" s="26"/>
      <c r="X233" s="26"/>
      <c r="Y233" s="26"/>
      <c r="Z233" s="27"/>
      <c r="AA233" s="26"/>
      <c r="AB233" s="26"/>
    </row>
    <row r="234" spans="1:28" ht="24">
      <c r="A234" s="39"/>
      <c r="B234" s="40"/>
      <c r="C234" s="39"/>
      <c r="D234" s="39"/>
      <c r="E234" s="39"/>
      <c r="F234" s="41"/>
      <c r="G234" s="39"/>
      <c r="H234" s="41"/>
      <c r="I234" s="39"/>
      <c r="J234" s="41"/>
      <c r="K234" s="41"/>
      <c r="L234" s="41"/>
      <c r="M234" s="41"/>
      <c r="N234" s="41"/>
      <c r="O234" s="38"/>
      <c r="P234" s="41"/>
      <c r="Q234" s="26"/>
      <c r="R234" s="26"/>
      <c r="S234" s="26"/>
      <c r="T234" s="26"/>
      <c r="U234" s="26"/>
      <c r="V234" s="26"/>
      <c r="W234" s="26"/>
      <c r="X234" s="26"/>
      <c r="Y234" s="26"/>
      <c r="Z234" s="27"/>
      <c r="AA234" s="26"/>
      <c r="AB234" s="26"/>
    </row>
    <row r="235" spans="1:28" ht="24">
      <c r="A235" s="39"/>
      <c r="B235" s="40"/>
      <c r="C235" s="39"/>
      <c r="D235" s="39"/>
      <c r="E235" s="39"/>
      <c r="F235" s="41"/>
      <c r="G235" s="39"/>
      <c r="H235" s="41"/>
      <c r="I235" s="39"/>
      <c r="J235" s="41"/>
      <c r="K235" s="41"/>
      <c r="L235" s="41"/>
      <c r="M235" s="41"/>
      <c r="N235" s="41"/>
      <c r="O235" s="38"/>
      <c r="P235" s="41"/>
      <c r="Q235" s="26"/>
      <c r="R235" s="26"/>
      <c r="S235" s="26"/>
      <c r="T235" s="26"/>
      <c r="U235" s="26"/>
      <c r="V235" s="26"/>
      <c r="W235" s="26"/>
      <c r="X235" s="26"/>
      <c r="Y235" s="26"/>
      <c r="Z235" s="27"/>
      <c r="AA235" s="26"/>
      <c r="AB235" s="26"/>
    </row>
    <row r="236" spans="1:28" ht="24">
      <c r="A236" s="39"/>
      <c r="B236" s="40"/>
      <c r="C236" s="39"/>
      <c r="D236" s="39"/>
      <c r="E236" s="39"/>
      <c r="F236" s="41"/>
      <c r="G236" s="39"/>
      <c r="H236" s="41"/>
      <c r="I236" s="39"/>
      <c r="J236" s="41"/>
      <c r="K236" s="41"/>
      <c r="L236" s="41"/>
      <c r="M236" s="41"/>
      <c r="N236" s="41"/>
      <c r="O236" s="38"/>
      <c r="P236" s="41"/>
      <c r="Q236" s="26"/>
      <c r="R236" s="26"/>
      <c r="S236" s="26"/>
      <c r="T236" s="26"/>
      <c r="U236" s="26"/>
      <c r="V236" s="26"/>
      <c r="W236" s="26"/>
      <c r="X236" s="26"/>
      <c r="Y236" s="26"/>
      <c r="Z236" s="27"/>
      <c r="AA236" s="26"/>
      <c r="AB236" s="26"/>
    </row>
    <row r="237" spans="1:28" ht="24">
      <c r="A237" s="39"/>
      <c r="B237" s="40"/>
      <c r="C237" s="39"/>
      <c r="D237" s="39"/>
      <c r="E237" s="39"/>
      <c r="F237" s="41"/>
      <c r="G237" s="39"/>
      <c r="H237" s="41"/>
      <c r="I237" s="39"/>
      <c r="J237" s="41"/>
      <c r="K237" s="41"/>
      <c r="L237" s="41"/>
      <c r="M237" s="41"/>
      <c r="N237" s="41"/>
      <c r="O237" s="38"/>
      <c r="P237" s="41"/>
      <c r="Q237" s="26"/>
      <c r="R237" s="26"/>
      <c r="S237" s="26"/>
      <c r="T237" s="26"/>
      <c r="U237" s="26"/>
      <c r="V237" s="26"/>
      <c r="W237" s="26"/>
      <c r="X237" s="26"/>
      <c r="Y237" s="26"/>
      <c r="Z237" s="27"/>
      <c r="AA237" s="26"/>
      <c r="AB237" s="26"/>
    </row>
    <row r="238" spans="1:28" ht="24">
      <c r="A238" s="39"/>
      <c r="B238" s="40"/>
      <c r="C238" s="39"/>
      <c r="D238" s="39"/>
      <c r="E238" s="39"/>
      <c r="F238" s="41"/>
      <c r="G238" s="39"/>
      <c r="H238" s="41"/>
      <c r="I238" s="39"/>
      <c r="J238" s="41"/>
      <c r="K238" s="41"/>
      <c r="L238" s="41"/>
      <c r="M238" s="41"/>
      <c r="N238" s="41"/>
      <c r="O238" s="38"/>
      <c r="P238" s="41"/>
      <c r="Q238" s="26"/>
      <c r="R238" s="26"/>
      <c r="S238" s="26"/>
      <c r="T238" s="26"/>
      <c r="U238" s="26"/>
      <c r="V238" s="26"/>
      <c r="W238" s="26"/>
      <c r="X238" s="26"/>
      <c r="Y238" s="26"/>
      <c r="Z238" s="27"/>
      <c r="AA238" s="26"/>
      <c r="AB238" s="26"/>
    </row>
    <row r="239" spans="1:28" ht="24">
      <c r="A239" s="39"/>
      <c r="B239" s="40"/>
      <c r="C239" s="39"/>
      <c r="D239" s="39"/>
      <c r="E239" s="39"/>
      <c r="F239" s="41"/>
      <c r="G239" s="39"/>
      <c r="H239" s="41"/>
      <c r="I239" s="39"/>
      <c r="J239" s="41"/>
      <c r="K239" s="41"/>
      <c r="L239" s="41"/>
      <c r="M239" s="41"/>
      <c r="N239" s="41"/>
      <c r="O239" s="38"/>
      <c r="P239" s="41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:28" ht="24">
      <c r="A240" s="39"/>
      <c r="B240" s="40"/>
      <c r="C240" s="39"/>
      <c r="D240" s="39"/>
      <c r="E240" s="39"/>
      <c r="F240" s="41"/>
      <c r="G240" s="39"/>
      <c r="H240" s="41"/>
      <c r="I240" s="39"/>
      <c r="J240" s="41"/>
      <c r="K240" s="41"/>
      <c r="L240" s="41"/>
      <c r="M240" s="41"/>
      <c r="N240" s="41"/>
      <c r="O240" s="38"/>
      <c r="P240" s="41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</sheetData>
  <conditionalFormatting sqref="J1:J240">
    <cfRule type="cellIs" dxfId="1" priority="1" operator="greaterThan">
      <formula>0</formula>
    </cfRule>
    <cfRule type="cellIs" dxfId="0" priority="2" operator="lessThan">
      <formula>0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</vt:lpstr>
      <vt:lpstr>NSEBSE Code</vt:lpstr>
      <vt:lpstr>Copy of Data Set</vt:lpstr>
      <vt:lpstr>Final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Bohra</cp:lastModifiedBy>
  <dcterms:modified xsi:type="dcterms:W3CDTF">2023-08-16T16:36:12Z</dcterms:modified>
</cp:coreProperties>
</file>