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gmre\OneDrive\Desktop\"/>
    </mc:Choice>
  </mc:AlternateContent>
  <bookViews>
    <workbookView xWindow="0" yWindow="0" windowWidth="17882" windowHeight="5904"/>
  </bookViews>
  <sheets>
    <sheet name="Sheet1" sheetId="1" r:id="rId1"/>
  </sheets>
  <definedNames>
    <definedName name="_xlnm._FilterDatabase" localSheetId="0" hidden="1">Sheet1!$M$1:$M$1111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11" i="1" l="1"/>
  <c r="Q1111" i="1" s="1"/>
  <c r="C1110" i="1"/>
  <c r="Q1110" i="1" s="1"/>
  <c r="C1109" i="1"/>
  <c r="Q1109" i="1" s="1"/>
  <c r="C1108" i="1"/>
  <c r="Q1108" i="1" s="1"/>
  <c r="C1107" i="1"/>
  <c r="Q1107" i="1" s="1"/>
  <c r="C1106" i="1"/>
  <c r="Q1106" i="1" s="1"/>
  <c r="C1105" i="1"/>
  <c r="Q1105" i="1" s="1"/>
  <c r="C1104" i="1"/>
  <c r="Q1104" i="1" s="1"/>
  <c r="C1103" i="1"/>
  <c r="Q1103" i="1" s="1"/>
  <c r="C1102" i="1"/>
  <c r="Q1102" i="1" s="1"/>
  <c r="C1101" i="1"/>
  <c r="Q1101" i="1" s="1"/>
  <c r="C1100" i="1"/>
  <c r="Q1100" i="1" s="1"/>
  <c r="C1099" i="1"/>
  <c r="Q1099" i="1" s="1"/>
  <c r="C1098" i="1"/>
  <c r="Q1098" i="1" s="1"/>
  <c r="C1097" i="1"/>
  <c r="Q1097" i="1" s="1"/>
  <c r="C1096" i="1"/>
  <c r="Q1096" i="1" s="1"/>
  <c r="C1095" i="1"/>
  <c r="Q1095" i="1" s="1"/>
  <c r="C1094" i="1"/>
  <c r="Q1094" i="1" s="1"/>
  <c r="C1093" i="1"/>
  <c r="Q1093" i="1" s="1"/>
  <c r="Q1092" i="1"/>
  <c r="C1092" i="1"/>
  <c r="C1091" i="1"/>
  <c r="Q1091" i="1" s="1"/>
  <c r="C1090" i="1"/>
  <c r="Q1090" i="1" s="1"/>
  <c r="C1089" i="1"/>
  <c r="Q1089" i="1" s="1"/>
  <c r="C1088" i="1"/>
  <c r="Q1088" i="1" s="1"/>
  <c r="C1087" i="1"/>
  <c r="Q1087" i="1" s="1"/>
  <c r="C1086" i="1"/>
  <c r="Q1086" i="1" s="1"/>
  <c r="C1085" i="1"/>
  <c r="Q1085" i="1" s="1"/>
  <c r="C1084" i="1"/>
  <c r="Q1084" i="1" s="1"/>
  <c r="C1083" i="1"/>
  <c r="Q1083" i="1" s="1"/>
  <c r="C1082" i="1"/>
  <c r="Q1082" i="1" s="1"/>
  <c r="C1081" i="1"/>
  <c r="Q1081" i="1" s="1"/>
  <c r="C1080" i="1"/>
  <c r="Q1080" i="1" s="1"/>
  <c r="C1079" i="1"/>
  <c r="Q1079" i="1" s="1"/>
  <c r="C1078" i="1"/>
  <c r="Q1078" i="1" s="1"/>
  <c r="C1077" i="1"/>
  <c r="Q1077" i="1" s="1"/>
  <c r="C1076" i="1"/>
  <c r="Q1076" i="1" s="1"/>
  <c r="C1075" i="1"/>
  <c r="Q1075" i="1" s="1"/>
  <c r="C1074" i="1"/>
  <c r="Q1074" i="1" s="1"/>
  <c r="Q1073" i="1"/>
  <c r="C1073" i="1"/>
  <c r="C1072" i="1"/>
  <c r="Q1072" i="1" s="1"/>
  <c r="C1071" i="1"/>
  <c r="Q1071" i="1" s="1"/>
  <c r="C1070" i="1"/>
  <c r="Q1070" i="1" s="1"/>
  <c r="C1069" i="1"/>
  <c r="Q1069" i="1" s="1"/>
  <c r="C1068" i="1"/>
  <c r="Q1068" i="1" s="1"/>
  <c r="C1067" i="1"/>
  <c r="Q1067" i="1" s="1"/>
  <c r="C1066" i="1"/>
  <c r="Q1066" i="1" s="1"/>
  <c r="C1065" i="1"/>
  <c r="Q1065" i="1" s="1"/>
  <c r="C1064" i="1"/>
  <c r="Q1064" i="1" s="1"/>
  <c r="C1063" i="1"/>
  <c r="Q1063" i="1" s="1"/>
  <c r="C1062" i="1"/>
  <c r="Q1062" i="1" s="1"/>
  <c r="C1061" i="1"/>
  <c r="Q1061" i="1" s="1"/>
  <c r="C1060" i="1"/>
  <c r="Q1060" i="1" s="1"/>
  <c r="C1059" i="1"/>
  <c r="Q1059" i="1" s="1"/>
  <c r="C1058" i="1"/>
  <c r="Q1058" i="1" s="1"/>
  <c r="C1057" i="1"/>
  <c r="Q1057" i="1" s="1"/>
  <c r="C1056" i="1"/>
  <c r="Q1056" i="1" s="1"/>
  <c r="C1055" i="1"/>
  <c r="Q1055" i="1" s="1"/>
  <c r="C1054" i="1"/>
  <c r="Q1054" i="1" s="1"/>
  <c r="C1053" i="1"/>
  <c r="Q1053" i="1" s="1"/>
  <c r="C1052" i="1"/>
  <c r="Q1052" i="1" s="1"/>
  <c r="C1051" i="1"/>
  <c r="Q1051" i="1" s="1"/>
  <c r="C1050" i="1"/>
  <c r="Q1050" i="1" s="1"/>
  <c r="C1049" i="1"/>
  <c r="Q1049" i="1" s="1"/>
  <c r="C1048" i="1"/>
  <c r="Q1048" i="1" s="1"/>
  <c r="C1047" i="1"/>
  <c r="Q1047" i="1" s="1"/>
  <c r="C1046" i="1"/>
  <c r="Q1046" i="1" s="1"/>
  <c r="C1045" i="1"/>
  <c r="Q1045" i="1" s="1"/>
  <c r="C1044" i="1"/>
  <c r="Q1044" i="1" s="1"/>
  <c r="C1043" i="1"/>
  <c r="Q1043" i="1" s="1"/>
  <c r="C1042" i="1"/>
  <c r="Q1042" i="1" s="1"/>
  <c r="C1041" i="1"/>
  <c r="Q1041" i="1" s="1"/>
  <c r="C1040" i="1"/>
  <c r="Q1040" i="1" s="1"/>
  <c r="C1039" i="1"/>
  <c r="Q1039" i="1" s="1"/>
  <c r="C1038" i="1"/>
  <c r="Q1038" i="1" s="1"/>
  <c r="C1037" i="1"/>
  <c r="Q1037" i="1" s="1"/>
  <c r="C1036" i="1"/>
  <c r="Q1036" i="1" s="1"/>
  <c r="C1035" i="1"/>
  <c r="Q1035" i="1" s="1"/>
  <c r="C1034" i="1"/>
  <c r="Q1034" i="1" s="1"/>
  <c r="C1033" i="1"/>
  <c r="Q1033" i="1" s="1"/>
  <c r="C1032" i="1"/>
  <c r="Q1032" i="1" s="1"/>
  <c r="C1031" i="1"/>
  <c r="Q1031" i="1" s="1"/>
  <c r="C1030" i="1"/>
  <c r="Q1030" i="1" s="1"/>
  <c r="C1029" i="1"/>
  <c r="Q1029" i="1" s="1"/>
  <c r="C1028" i="1"/>
  <c r="Q1028" i="1" s="1"/>
  <c r="C1027" i="1"/>
  <c r="Q1027" i="1" s="1"/>
  <c r="C1026" i="1"/>
  <c r="Q1026" i="1" s="1"/>
  <c r="C1025" i="1"/>
  <c r="Q1025" i="1" s="1"/>
  <c r="C1024" i="1"/>
  <c r="Q1024" i="1" s="1"/>
  <c r="C1023" i="1"/>
  <c r="Q1023" i="1" s="1"/>
  <c r="C1022" i="1"/>
  <c r="Q1022" i="1" s="1"/>
  <c r="C1021" i="1"/>
  <c r="Q1021" i="1" s="1"/>
  <c r="C1020" i="1"/>
  <c r="Q1020" i="1" s="1"/>
  <c r="C1019" i="1"/>
  <c r="Q1019" i="1" s="1"/>
  <c r="C1018" i="1"/>
  <c r="Q1018" i="1" s="1"/>
  <c r="C1017" i="1"/>
  <c r="Q1017" i="1" s="1"/>
  <c r="C1016" i="1"/>
  <c r="Q1016" i="1" s="1"/>
  <c r="C1015" i="1"/>
  <c r="Q1015" i="1" s="1"/>
  <c r="C1014" i="1"/>
  <c r="Q1014" i="1" s="1"/>
  <c r="C1013" i="1"/>
  <c r="Q1013" i="1" s="1"/>
  <c r="C1012" i="1"/>
  <c r="Q1012" i="1" s="1"/>
  <c r="C1011" i="1"/>
  <c r="Q1011" i="1" s="1"/>
  <c r="C1010" i="1"/>
  <c r="Q1010" i="1" s="1"/>
  <c r="C1009" i="1"/>
  <c r="Q1009" i="1" s="1"/>
  <c r="C1008" i="1"/>
  <c r="Q1008" i="1" s="1"/>
  <c r="C1007" i="1"/>
  <c r="Q1007" i="1" s="1"/>
  <c r="C1006" i="1"/>
  <c r="Q1006" i="1" s="1"/>
  <c r="C1005" i="1"/>
  <c r="Q1005" i="1" s="1"/>
  <c r="C1004" i="1"/>
  <c r="Q1004" i="1" s="1"/>
  <c r="C1003" i="1"/>
  <c r="Q1003" i="1" s="1"/>
  <c r="C1002" i="1"/>
  <c r="Q1002" i="1" s="1"/>
  <c r="C1001" i="1"/>
  <c r="Q1001" i="1" s="1"/>
  <c r="C1000" i="1"/>
  <c r="Q1000" i="1" s="1"/>
  <c r="C999" i="1"/>
  <c r="Q999" i="1" s="1"/>
  <c r="C998" i="1"/>
  <c r="Q998" i="1" s="1"/>
  <c r="C997" i="1"/>
  <c r="Q997" i="1" s="1"/>
  <c r="C996" i="1"/>
  <c r="Q996" i="1" s="1"/>
  <c r="C995" i="1"/>
  <c r="Q995" i="1" s="1"/>
  <c r="C994" i="1"/>
  <c r="Q994" i="1" s="1"/>
  <c r="C993" i="1"/>
  <c r="Q993" i="1" s="1"/>
  <c r="C992" i="1"/>
  <c r="Q992" i="1" s="1"/>
  <c r="C991" i="1"/>
  <c r="Q991" i="1" s="1"/>
  <c r="C990" i="1"/>
  <c r="Q990" i="1" s="1"/>
  <c r="C989" i="1"/>
  <c r="Q989" i="1" s="1"/>
  <c r="C988" i="1"/>
  <c r="Q988" i="1" s="1"/>
  <c r="C987" i="1"/>
  <c r="Q987" i="1" s="1"/>
  <c r="C986" i="1"/>
  <c r="Q986" i="1" s="1"/>
  <c r="C985" i="1"/>
  <c r="Q985" i="1" s="1"/>
  <c r="C984" i="1"/>
  <c r="Q984" i="1" s="1"/>
  <c r="C983" i="1"/>
  <c r="Q983" i="1" s="1"/>
  <c r="C982" i="1"/>
  <c r="Q982" i="1" s="1"/>
  <c r="C981" i="1"/>
  <c r="Q981" i="1" s="1"/>
  <c r="C980" i="1"/>
  <c r="Q980" i="1" s="1"/>
  <c r="C979" i="1"/>
  <c r="Q979" i="1" s="1"/>
  <c r="C978" i="1"/>
  <c r="Q978" i="1" s="1"/>
  <c r="C977" i="1"/>
  <c r="Q977" i="1" s="1"/>
  <c r="C976" i="1"/>
  <c r="Q976" i="1" s="1"/>
  <c r="C975" i="1"/>
  <c r="Q975" i="1" s="1"/>
  <c r="C974" i="1"/>
  <c r="Q974" i="1" s="1"/>
  <c r="C973" i="1"/>
  <c r="Q973" i="1" s="1"/>
  <c r="C972" i="1"/>
  <c r="Q972" i="1" s="1"/>
  <c r="C971" i="1"/>
  <c r="Q971" i="1" s="1"/>
  <c r="C970" i="1"/>
  <c r="Q970" i="1" s="1"/>
  <c r="C969" i="1"/>
  <c r="Q969" i="1" s="1"/>
  <c r="C968" i="1"/>
  <c r="Q968" i="1" s="1"/>
  <c r="C967" i="1"/>
  <c r="Q967" i="1" s="1"/>
  <c r="C966" i="1"/>
  <c r="Q966" i="1" s="1"/>
  <c r="C965" i="1"/>
  <c r="Q965" i="1" s="1"/>
  <c r="C964" i="1"/>
  <c r="Q964" i="1" s="1"/>
  <c r="C963" i="1"/>
  <c r="Q963" i="1" s="1"/>
  <c r="C962" i="1"/>
  <c r="Q962" i="1" s="1"/>
  <c r="C961" i="1"/>
  <c r="Q961" i="1" s="1"/>
  <c r="C960" i="1"/>
  <c r="Q960" i="1" s="1"/>
  <c r="C959" i="1"/>
  <c r="Q959" i="1" s="1"/>
  <c r="C958" i="1"/>
  <c r="Q958" i="1" s="1"/>
  <c r="C957" i="1"/>
  <c r="Q957" i="1" s="1"/>
  <c r="C956" i="1"/>
  <c r="Q956" i="1" s="1"/>
  <c r="C955" i="1"/>
  <c r="Q955" i="1" s="1"/>
  <c r="C954" i="1"/>
  <c r="Q954" i="1" s="1"/>
  <c r="C953" i="1"/>
  <c r="Q953" i="1" s="1"/>
  <c r="C952" i="1"/>
  <c r="Q952" i="1" s="1"/>
  <c r="C951" i="1"/>
  <c r="Q951" i="1" s="1"/>
  <c r="C950" i="1"/>
  <c r="Q950" i="1" s="1"/>
  <c r="C949" i="1"/>
  <c r="Q949" i="1" s="1"/>
  <c r="C948" i="1"/>
  <c r="Q948" i="1" s="1"/>
  <c r="C947" i="1"/>
  <c r="Q947" i="1" s="1"/>
  <c r="C946" i="1"/>
  <c r="Q946" i="1" s="1"/>
  <c r="C945" i="1"/>
  <c r="Q945" i="1" s="1"/>
  <c r="C944" i="1"/>
  <c r="Q944" i="1" s="1"/>
  <c r="C943" i="1"/>
  <c r="Q943" i="1" s="1"/>
  <c r="C942" i="1"/>
  <c r="Q942" i="1" s="1"/>
  <c r="C941" i="1"/>
  <c r="Q941" i="1" s="1"/>
  <c r="C940" i="1"/>
  <c r="Q940" i="1" s="1"/>
  <c r="C939" i="1"/>
  <c r="Q939" i="1" s="1"/>
  <c r="C938" i="1"/>
  <c r="Q938" i="1" s="1"/>
  <c r="C937" i="1"/>
  <c r="Q937" i="1" s="1"/>
  <c r="C936" i="1"/>
  <c r="Q936" i="1" s="1"/>
  <c r="C935" i="1"/>
  <c r="Q935" i="1" s="1"/>
  <c r="C934" i="1"/>
  <c r="Q934" i="1" s="1"/>
  <c r="C933" i="1"/>
  <c r="Q933" i="1" s="1"/>
  <c r="C932" i="1"/>
  <c r="Q932" i="1" s="1"/>
  <c r="C931" i="1"/>
  <c r="Q931" i="1" s="1"/>
  <c r="C930" i="1"/>
  <c r="Q930" i="1" s="1"/>
  <c r="C929" i="1"/>
  <c r="Q929" i="1" s="1"/>
  <c r="C928" i="1"/>
  <c r="Q928" i="1" s="1"/>
  <c r="C927" i="1"/>
  <c r="Q927" i="1" s="1"/>
  <c r="C926" i="1"/>
  <c r="Q926" i="1" s="1"/>
  <c r="C925" i="1"/>
  <c r="Q925" i="1" s="1"/>
  <c r="C924" i="1"/>
  <c r="Q924" i="1" s="1"/>
  <c r="C923" i="1"/>
  <c r="Q923" i="1" s="1"/>
  <c r="C922" i="1"/>
  <c r="Q922" i="1" s="1"/>
  <c r="C921" i="1"/>
  <c r="Q921" i="1" s="1"/>
  <c r="C920" i="1"/>
  <c r="Q920" i="1" s="1"/>
  <c r="C919" i="1"/>
  <c r="Q919" i="1" s="1"/>
  <c r="C918" i="1"/>
  <c r="Q918" i="1" s="1"/>
  <c r="C917" i="1"/>
  <c r="Q917" i="1" s="1"/>
  <c r="C916" i="1"/>
  <c r="Q916" i="1" s="1"/>
  <c r="C915" i="1"/>
  <c r="Q915" i="1" s="1"/>
  <c r="C914" i="1"/>
  <c r="Q914" i="1" s="1"/>
  <c r="C913" i="1"/>
  <c r="Q913" i="1" s="1"/>
  <c r="C912" i="1"/>
  <c r="Q912" i="1" s="1"/>
  <c r="C911" i="1"/>
  <c r="Q911" i="1" s="1"/>
  <c r="C910" i="1"/>
  <c r="Q910" i="1" s="1"/>
  <c r="C909" i="1"/>
  <c r="Q909" i="1" s="1"/>
  <c r="C908" i="1"/>
  <c r="Q908" i="1" s="1"/>
  <c r="C907" i="1"/>
  <c r="Q907" i="1" s="1"/>
  <c r="C906" i="1"/>
  <c r="Q906" i="1" s="1"/>
  <c r="C905" i="1"/>
  <c r="Q905" i="1" s="1"/>
  <c r="C904" i="1"/>
  <c r="Q904" i="1" s="1"/>
  <c r="C903" i="1"/>
  <c r="Q903" i="1" s="1"/>
  <c r="C902" i="1"/>
  <c r="Q902" i="1" s="1"/>
  <c r="C901" i="1"/>
  <c r="Q901" i="1" s="1"/>
  <c r="C900" i="1"/>
  <c r="Q900" i="1" s="1"/>
  <c r="C899" i="1"/>
  <c r="Q899" i="1" s="1"/>
  <c r="C898" i="1"/>
  <c r="Q898" i="1" s="1"/>
  <c r="C897" i="1"/>
  <c r="Q897" i="1" s="1"/>
  <c r="C896" i="1"/>
  <c r="Q896" i="1" s="1"/>
  <c r="C895" i="1"/>
  <c r="Q895" i="1" s="1"/>
  <c r="C894" i="1"/>
  <c r="Q894" i="1" s="1"/>
  <c r="C893" i="1"/>
  <c r="Q893" i="1" s="1"/>
  <c r="C892" i="1"/>
  <c r="Q892" i="1" s="1"/>
  <c r="C891" i="1"/>
  <c r="Q891" i="1" s="1"/>
  <c r="C890" i="1"/>
  <c r="Q890" i="1" s="1"/>
  <c r="C889" i="1"/>
  <c r="Q889" i="1" s="1"/>
  <c r="C888" i="1"/>
  <c r="Q888" i="1" s="1"/>
  <c r="C887" i="1"/>
  <c r="Q887" i="1" s="1"/>
  <c r="C886" i="1"/>
  <c r="Q886" i="1" s="1"/>
  <c r="C885" i="1"/>
  <c r="Q885" i="1" s="1"/>
  <c r="C884" i="1"/>
  <c r="Q884" i="1" s="1"/>
  <c r="C883" i="1"/>
  <c r="Q883" i="1" s="1"/>
  <c r="C882" i="1"/>
  <c r="Q882" i="1" s="1"/>
  <c r="C881" i="1"/>
  <c r="Q881" i="1" s="1"/>
  <c r="C880" i="1"/>
  <c r="Q880" i="1" s="1"/>
  <c r="C879" i="1"/>
  <c r="Q879" i="1" s="1"/>
  <c r="C878" i="1"/>
  <c r="Q878" i="1" s="1"/>
  <c r="C877" i="1"/>
  <c r="Q877" i="1" s="1"/>
  <c r="C876" i="1"/>
  <c r="Q876" i="1" s="1"/>
  <c r="C875" i="1"/>
  <c r="Q875" i="1" s="1"/>
  <c r="C874" i="1"/>
  <c r="Q874" i="1" s="1"/>
  <c r="C873" i="1"/>
  <c r="Q873" i="1" s="1"/>
  <c r="C872" i="1"/>
  <c r="Q872" i="1" s="1"/>
  <c r="C871" i="1"/>
  <c r="Q871" i="1" s="1"/>
  <c r="C870" i="1"/>
  <c r="Q870" i="1" s="1"/>
  <c r="C869" i="1"/>
  <c r="Q869" i="1" s="1"/>
  <c r="C868" i="1"/>
  <c r="Q868" i="1" s="1"/>
  <c r="C867" i="1"/>
  <c r="Q867" i="1" s="1"/>
  <c r="C866" i="1"/>
  <c r="Q866" i="1" s="1"/>
  <c r="C865" i="1"/>
  <c r="Q865" i="1" s="1"/>
  <c r="C864" i="1"/>
  <c r="Q864" i="1" s="1"/>
  <c r="C863" i="1"/>
  <c r="Q863" i="1" s="1"/>
  <c r="C862" i="1"/>
  <c r="Q862" i="1" s="1"/>
  <c r="C861" i="1"/>
  <c r="Q861" i="1" s="1"/>
  <c r="C860" i="1"/>
  <c r="Q860" i="1" s="1"/>
  <c r="C859" i="1"/>
  <c r="Q859" i="1" s="1"/>
  <c r="C858" i="1"/>
  <c r="Q858" i="1" s="1"/>
  <c r="C857" i="1"/>
  <c r="Q857" i="1" s="1"/>
  <c r="C856" i="1"/>
  <c r="Q856" i="1" s="1"/>
  <c r="C855" i="1"/>
  <c r="Q855" i="1" s="1"/>
  <c r="C854" i="1"/>
  <c r="Q854" i="1" s="1"/>
  <c r="C853" i="1"/>
  <c r="Q853" i="1" s="1"/>
  <c r="C852" i="1"/>
  <c r="Q852" i="1" s="1"/>
  <c r="C851" i="1"/>
  <c r="Q851" i="1" s="1"/>
  <c r="C850" i="1"/>
  <c r="Q850" i="1" s="1"/>
  <c r="C849" i="1"/>
  <c r="Q849" i="1" s="1"/>
  <c r="C848" i="1"/>
  <c r="Q848" i="1" s="1"/>
  <c r="C847" i="1"/>
  <c r="Q847" i="1" s="1"/>
  <c r="C846" i="1"/>
  <c r="Q846" i="1" s="1"/>
  <c r="C845" i="1"/>
  <c r="Q845" i="1" s="1"/>
  <c r="C844" i="1"/>
  <c r="Q844" i="1" s="1"/>
  <c r="C843" i="1"/>
  <c r="Q843" i="1" s="1"/>
  <c r="C842" i="1"/>
  <c r="Q842" i="1" s="1"/>
  <c r="C841" i="1"/>
  <c r="Q841" i="1" s="1"/>
  <c r="C840" i="1"/>
  <c r="Q840" i="1" s="1"/>
  <c r="C839" i="1"/>
  <c r="Q839" i="1" s="1"/>
  <c r="C838" i="1"/>
  <c r="Q838" i="1" s="1"/>
  <c r="C837" i="1"/>
  <c r="Q837" i="1" s="1"/>
  <c r="C836" i="1"/>
  <c r="Q836" i="1" s="1"/>
  <c r="C835" i="1"/>
  <c r="Q835" i="1" s="1"/>
  <c r="C834" i="1"/>
  <c r="Q834" i="1" s="1"/>
  <c r="C833" i="1"/>
  <c r="Q833" i="1" s="1"/>
  <c r="C832" i="1"/>
  <c r="Q832" i="1" s="1"/>
  <c r="C831" i="1"/>
  <c r="Q831" i="1" s="1"/>
  <c r="C830" i="1"/>
  <c r="Q830" i="1" s="1"/>
  <c r="C829" i="1"/>
  <c r="Q829" i="1" s="1"/>
  <c r="C828" i="1"/>
  <c r="Q828" i="1" s="1"/>
  <c r="C827" i="1"/>
  <c r="Q827" i="1" s="1"/>
  <c r="C826" i="1"/>
  <c r="Q826" i="1" s="1"/>
  <c r="C825" i="1"/>
  <c r="Q825" i="1" s="1"/>
  <c r="C824" i="1"/>
  <c r="Q824" i="1" s="1"/>
  <c r="C823" i="1"/>
  <c r="Q823" i="1" s="1"/>
  <c r="C822" i="1"/>
  <c r="Q822" i="1" s="1"/>
  <c r="C821" i="1"/>
  <c r="Q821" i="1" s="1"/>
  <c r="C820" i="1"/>
  <c r="Q820" i="1" s="1"/>
  <c r="C819" i="1"/>
  <c r="Q819" i="1" s="1"/>
  <c r="C818" i="1"/>
  <c r="Q818" i="1" s="1"/>
  <c r="C817" i="1"/>
  <c r="Q817" i="1" s="1"/>
  <c r="C816" i="1"/>
  <c r="Q816" i="1" s="1"/>
  <c r="C815" i="1"/>
  <c r="Q815" i="1" s="1"/>
  <c r="C814" i="1"/>
  <c r="Q814" i="1" s="1"/>
  <c r="C813" i="1"/>
  <c r="Q813" i="1" s="1"/>
  <c r="C812" i="1"/>
  <c r="Q812" i="1" s="1"/>
  <c r="C811" i="1"/>
  <c r="Q811" i="1" s="1"/>
  <c r="C810" i="1"/>
  <c r="Q810" i="1" s="1"/>
  <c r="C809" i="1"/>
  <c r="Q809" i="1" s="1"/>
  <c r="C808" i="1"/>
  <c r="Q808" i="1" s="1"/>
  <c r="C807" i="1"/>
  <c r="Q807" i="1" s="1"/>
  <c r="C806" i="1"/>
  <c r="Q806" i="1" s="1"/>
  <c r="C805" i="1"/>
  <c r="Q805" i="1" s="1"/>
  <c r="C804" i="1"/>
  <c r="Q804" i="1" s="1"/>
  <c r="C803" i="1"/>
  <c r="Q803" i="1" s="1"/>
  <c r="C802" i="1"/>
  <c r="Q802" i="1" s="1"/>
  <c r="C801" i="1"/>
  <c r="Q801" i="1" s="1"/>
  <c r="C800" i="1"/>
  <c r="Q800" i="1" s="1"/>
  <c r="C799" i="1"/>
  <c r="Q799" i="1" s="1"/>
  <c r="C798" i="1"/>
  <c r="Q798" i="1" s="1"/>
  <c r="C797" i="1"/>
  <c r="Q797" i="1" s="1"/>
  <c r="C796" i="1"/>
  <c r="Q796" i="1" s="1"/>
  <c r="C795" i="1"/>
  <c r="Q795" i="1" s="1"/>
  <c r="C794" i="1"/>
  <c r="Q794" i="1" s="1"/>
  <c r="C793" i="1"/>
  <c r="Q793" i="1" s="1"/>
  <c r="C792" i="1"/>
  <c r="Q792" i="1" s="1"/>
  <c r="C791" i="1"/>
  <c r="Q791" i="1" s="1"/>
  <c r="C790" i="1"/>
  <c r="Q790" i="1" s="1"/>
  <c r="C789" i="1"/>
  <c r="Q789" i="1" s="1"/>
  <c r="C788" i="1"/>
  <c r="Q788" i="1" s="1"/>
  <c r="C787" i="1"/>
  <c r="Q787" i="1" s="1"/>
  <c r="C786" i="1"/>
  <c r="Q786" i="1" s="1"/>
  <c r="C785" i="1"/>
  <c r="Q785" i="1" s="1"/>
  <c r="C784" i="1"/>
  <c r="Q784" i="1" s="1"/>
  <c r="C783" i="1"/>
  <c r="Q783" i="1" s="1"/>
  <c r="C782" i="1"/>
  <c r="Q782" i="1" s="1"/>
  <c r="C781" i="1"/>
  <c r="Q781" i="1" s="1"/>
  <c r="C780" i="1"/>
  <c r="Q780" i="1" s="1"/>
  <c r="C779" i="1"/>
  <c r="Q779" i="1" s="1"/>
  <c r="C778" i="1"/>
  <c r="Q778" i="1" s="1"/>
  <c r="C777" i="1"/>
  <c r="Q777" i="1" s="1"/>
  <c r="C776" i="1"/>
  <c r="Q776" i="1" s="1"/>
  <c r="C775" i="1"/>
  <c r="Q775" i="1" s="1"/>
  <c r="C774" i="1"/>
  <c r="Q774" i="1" s="1"/>
  <c r="C773" i="1"/>
  <c r="Q773" i="1" s="1"/>
  <c r="C772" i="1"/>
  <c r="Q772" i="1" s="1"/>
  <c r="C771" i="1"/>
  <c r="Q771" i="1" s="1"/>
  <c r="C770" i="1"/>
  <c r="Q770" i="1" s="1"/>
  <c r="C769" i="1"/>
  <c r="Q769" i="1" s="1"/>
  <c r="C768" i="1"/>
  <c r="Q768" i="1" s="1"/>
  <c r="C767" i="1"/>
  <c r="Q767" i="1" s="1"/>
  <c r="C766" i="1"/>
  <c r="Q766" i="1" s="1"/>
  <c r="C765" i="1"/>
  <c r="Q765" i="1" s="1"/>
  <c r="C764" i="1"/>
  <c r="Q764" i="1" s="1"/>
  <c r="C763" i="1"/>
  <c r="Q763" i="1" s="1"/>
  <c r="C762" i="1"/>
  <c r="Q762" i="1" s="1"/>
  <c r="C761" i="1"/>
  <c r="Q761" i="1" s="1"/>
  <c r="C760" i="1"/>
  <c r="Q760" i="1" s="1"/>
  <c r="C759" i="1"/>
  <c r="Q759" i="1" s="1"/>
  <c r="C758" i="1"/>
  <c r="Q758" i="1" s="1"/>
  <c r="C757" i="1"/>
  <c r="Q757" i="1" s="1"/>
  <c r="C756" i="1"/>
  <c r="Q756" i="1" s="1"/>
  <c r="C755" i="1"/>
  <c r="Q755" i="1" s="1"/>
  <c r="C754" i="1"/>
  <c r="Q754" i="1" s="1"/>
  <c r="C753" i="1"/>
  <c r="Q753" i="1" s="1"/>
  <c r="C752" i="1"/>
  <c r="Q752" i="1" s="1"/>
  <c r="C751" i="1"/>
  <c r="Q751" i="1" s="1"/>
  <c r="C750" i="1"/>
  <c r="Q750" i="1" s="1"/>
  <c r="C749" i="1"/>
  <c r="Q749" i="1" s="1"/>
  <c r="C748" i="1"/>
  <c r="Q748" i="1" s="1"/>
  <c r="C747" i="1"/>
  <c r="Q747" i="1" s="1"/>
  <c r="C746" i="1"/>
  <c r="Q746" i="1" s="1"/>
  <c r="C745" i="1"/>
  <c r="Q745" i="1" s="1"/>
  <c r="C744" i="1"/>
  <c r="Q744" i="1" s="1"/>
  <c r="C743" i="1"/>
  <c r="Q743" i="1" s="1"/>
  <c r="C742" i="1"/>
  <c r="Q742" i="1" s="1"/>
  <c r="C741" i="1"/>
  <c r="Q741" i="1" s="1"/>
  <c r="C740" i="1"/>
  <c r="Q740" i="1" s="1"/>
  <c r="C739" i="1"/>
  <c r="Q739" i="1" s="1"/>
  <c r="C738" i="1"/>
  <c r="Q738" i="1" s="1"/>
  <c r="C737" i="1"/>
  <c r="Q737" i="1" s="1"/>
  <c r="C736" i="1"/>
  <c r="Q736" i="1" s="1"/>
  <c r="C735" i="1"/>
  <c r="Q735" i="1" s="1"/>
  <c r="C734" i="1"/>
  <c r="Q734" i="1" s="1"/>
  <c r="C733" i="1"/>
  <c r="Q733" i="1" s="1"/>
  <c r="C732" i="1"/>
  <c r="Q732" i="1" s="1"/>
  <c r="C731" i="1"/>
  <c r="Q731" i="1" s="1"/>
  <c r="C730" i="1"/>
  <c r="Q730" i="1" s="1"/>
  <c r="C729" i="1"/>
  <c r="Q729" i="1" s="1"/>
  <c r="C728" i="1"/>
  <c r="Q728" i="1" s="1"/>
  <c r="C727" i="1"/>
  <c r="Q727" i="1" s="1"/>
  <c r="C726" i="1"/>
  <c r="Q726" i="1" s="1"/>
  <c r="C725" i="1"/>
  <c r="Q725" i="1" s="1"/>
  <c r="C724" i="1"/>
  <c r="Q724" i="1" s="1"/>
  <c r="C723" i="1"/>
  <c r="Q723" i="1" s="1"/>
  <c r="C722" i="1"/>
  <c r="Q722" i="1" s="1"/>
  <c r="C721" i="1"/>
  <c r="Q721" i="1" s="1"/>
  <c r="C720" i="1"/>
  <c r="Q720" i="1" s="1"/>
  <c r="C719" i="1"/>
  <c r="Q719" i="1" s="1"/>
  <c r="C718" i="1"/>
  <c r="Q718" i="1" s="1"/>
  <c r="C717" i="1"/>
  <c r="Q717" i="1" s="1"/>
  <c r="C716" i="1"/>
  <c r="Q716" i="1" s="1"/>
  <c r="C715" i="1"/>
  <c r="Q715" i="1" s="1"/>
  <c r="C714" i="1"/>
  <c r="Q714" i="1" s="1"/>
  <c r="C713" i="1"/>
  <c r="Q713" i="1" s="1"/>
  <c r="C712" i="1"/>
  <c r="Q712" i="1" s="1"/>
  <c r="C711" i="1"/>
  <c r="Q711" i="1" s="1"/>
  <c r="C710" i="1"/>
  <c r="Q710" i="1" s="1"/>
  <c r="C709" i="1"/>
  <c r="Q709" i="1" s="1"/>
  <c r="C708" i="1"/>
  <c r="Q708" i="1" s="1"/>
  <c r="C707" i="1"/>
  <c r="Q707" i="1" s="1"/>
  <c r="C706" i="1"/>
  <c r="Q706" i="1" s="1"/>
  <c r="C705" i="1"/>
  <c r="Q705" i="1" s="1"/>
  <c r="C704" i="1"/>
  <c r="Q704" i="1" s="1"/>
  <c r="C703" i="1"/>
  <c r="Q703" i="1" s="1"/>
  <c r="C702" i="1"/>
  <c r="Q702" i="1" s="1"/>
  <c r="C701" i="1"/>
  <c r="Q701" i="1" s="1"/>
  <c r="C700" i="1"/>
  <c r="Q700" i="1" s="1"/>
  <c r="C699" i="1"/>
  <c r="Q699" i="1" s="1"/>
  <c r="C698" i="1"/>
  <c r="Q698" i="1" s="1"/>
  <c r="C697" i="1"/>
  <c r="Q697" i="1" s="1"/>
  <c r="C696" i="1"/>
  <c r="Q696" i="1" s="1"/>
  <c r="C695" i="1"/>
  <c r="Q695" i="1" s="1"/>
  <c r="C694" i="1"/>
  <c r="Q694" i="1" s="1"/>
  <c r="C693" i="1"/>
  <c r="Q693" i="1" s="1"/>
  <c r="C692" i="1"/>
  <c r="Q692" i="1" s="1"/>
  <c r="C691" i="1"/>
  <c r="Q691" i="1" s="1"/>
  <c r="C690" i="1"/>
  <c r="Q690" i="1" s="1"/>
  <c r="C689" i="1"/>
  <c r="Q689" i="1" s="1"/>
  <c r="C688" i="1"/>
  <c r="Q688" i="1" s="1"/>
  <c r="C687" i="1"/>
  <c r="Q687" i="1" s="1"/>
  <c r="C686" i="1"/>
  <c r="Q686" i="1" s="1"/>
  <c r="C685" i="1"/>
  <c r="Q685" i="1" s="1"/>
  <c r="C684" i="1"/>
  <c r="Q684" i="1" s="1"/>
  <c r="C683" i="1"/>
  <c r="Q683" i="1" s="1"/>
  <c r="C682" i="1"/>
  <c r="Q682" i="1" s="1"/>
  <c r="C681" i="1"/>
  <c r="Q681" i="1" s="1"/>
  <c r="C680" i="1"/>
  <c r="Q680" i="1" s="1"/>
  <c r="C679" i="1"/>
  <c r="Q679" i="1" s="1"/>
  <c r="C678" i="1"/>
  <c r="Q678" i="1" s="1"/>
  <c r="C677" i="1"/>
  <c r="Q677" i="1" s="1"/>
  <c r="C676" i="1"/>
  <c r="Q676" i="1" s="1"/>
  <c r="C675" i="1"/>
  <c r="Q675" i="1" s="1"/>
  <c r="C674" i="1"/>
  <c r="Q674" i="1" s="1"/>
  <c r="C673" i="1"/>
  <c r="Q673" i="1" s="1"/>
  <c r="C672" i="1"/>
  <c r="Q672" i="1" s="1"/>
  <c r="C671" i="1"/>
  <c r="Q671" i="1" s="1"/>
  <c r="C670" i="1"/>
  <c r="Q670" i="1" s="1"/>
  <c r="C669" i="1"/>
  <c r="Q669" i="1" s="1"/>
  <c r="C668" i="1"/>
  <c r="Q668" i="1" s="1"/>
  <c r="C667" i="1"/>
  <c r="Q667" i="1" s="1"/>
  <c r="C666" i="1"/>
  <c r="Q666" i="1" s="1"/>
  <c r="C665" i="1"/>
  <c r="Q665" i="1" s="1"/>
  <c r="C664" i="1"/>
  <c r="Q664" i="1" s="1"/>
  <c r="C663" i="1"/>
  <c r="Q663" i="1" s="1"/>
  <c r="C662" i="1"/>
  <c r="Q662" i="1" s="1"/>
  <c r="C661" i="1"/>
  <c r="Q661" i="1" s="1"/>
  <c r="C660" i="1"/>
  <c r="Q660" i="1" s="1"/>
  <c r="C659" i="1"/>
  <c r="Q659" i="1" s="1"/>
  <c r="C658" i="1"/>
  <c r="Q658" i="1" s="1"/>
  <c r="C657" i="1"/>
  <c r="Q657" i="1" s="1"/>
  <c r="C656" i="1"/>
  <c r="Q656" i="1" s="1"/>
  <c r="C655" i="1"/>
  <c r="Q655" i="1" s="1"/>
  <c r="C654" i="1"/>
  <c r="Q654" i="1" s="1"/>
  <c r="C653" i="1"/>
  <c r="Q653" i="1" s="1"/>
  <c r="C652" i="1"/>
  <c r="Q652" i="1" s="1"/>
  <c r="C651" i="1"/>
  <c r="Q651" i="1" s="1"/>
  <c r="C650" i="1"/>
  <c r="Q650" i="1" s="1"/>
  <c r="C649" i="1"/>
  <c r="Q649" i="1" s="1"/>
  <c r="C648" i="1"/>
  <c r="Q648" i="1" s="1"/>
  <c r="C647" i="1"/>
  <c r="Q647" i="1" s="1"/>
  <c r="C646" i="1"/>
  <c r="Q646" i="1" s="1"/>
  <c r="C645" i="1"/>
  <c r="Q645" i="1" s="1"/>
  <c r="C644" i="1"/>
  <c r="Q644" i="1" s="1"/>
  <c r="C643" i="1"/>
  <c r="Q643" i="1" s="1"/>
  <c r="C642" i="1"/>
  <c r="Q642" i="1" s="1"/>
  <c r="C641" i="1"/>
  <c r="Q641" i="1" s="1"/>
  <c r="C640" i="1"/>
  <c r="Q640" i="1" s="1"/>
  <c r="C639" i="1"/>
  <c r="Q639" i="1" s="1"/>
  <c r="C638" i="1"/>
  <c r="Q638" i="1" s="1"/>
  <c r="C637" i="1"/>
  <c r="Q637" i="1" s="1"/>
  <c r="C636" i="1"/>
  <c r="Q636" i="1" s="1"/>
  <c r="C635" i="1"/>
  <c r="Q635" i="1" s="1"/>
  <c r="C634" i="1"/>
  <c r="Q634" i="1" s="1"/>
  <c r="C633" i="1"/>
  <c r="Q633" i="1" s="1"/>
  <c r="C632" i="1"/>
  <c r="Q632" i="1" s="1"/>
  <c r="C631" i="1"/>
  <c r="Q631" i="1" s="1"/>
  <c r="C630" i="1"/>
  <c r="Q630" i="1" s="1"/>
  <c r="C629" i="1"/>
  <c r="Q629" i="1" s="1"/>
  <c r="C628" i="1"/>
  <c r="Q628" i="1" s="1"/>
  <c r="C627" i="1"/>
  <c r="Q627" i="1" s="1"/>
  <c r="C626" i="1"/>
  <c r="Q626" i="1" s="1"/>
  <c r="C625" i="1"/>
  <c r="Q625" i="1" s="1"/>
  <c r="C624" i="1"/>
  <c r="Q624" i="1" s="1"/>
  <c r="C623" i="1"/>
  <c r="Q623" i="1" s="1"/>
  <c r="C622" i="1"/>
  <c r="Q622" i="1" s="1"/>
  <c r="C621" i="1"/>
  <c r="Q621" i="1" s="1"/>
  <c r="C620" i="1"/>
  <c r="Q620" i="1" s="1"/>
  <c r="C619" i="1"/>
  <c r="Q619" i="1" s="1"/>
  <c r="C618" i="1"/>
  <c r="Q618" i="1" s="1"/>
  <c r="C617" i="1"/>
  <c r="Q617" i="1" s="1"/>
  <c r="C616" i="1"/>
  <c r="Q616" i="1" s="1"/>
  <c r="C615" i="1"/>
  <c r="Q615" i="1" s="1"/>
  <c r="C614" i="1"/>
  <c r="Q614" i="1" s="1"/>
  <c r="C613" i="1"/>
  <c r="Q613" i="1" s="1"/>
  <c r="C612" i="1"/>
  <c r="Q612" i="1" s="1"/>
  <c r="C611" i="1"/>
  <c r="Q611" i="1" s="1"/>
  <c r="C610" i="1"/>
  <c r="Q610" i="1" s="1"/>
  <c r="C609" i="1"/>
  <c r="Q609" i="1" s="1"/>
  <c r="C608" i="1"/>
  <c r="Q608" i="1" s="1"/>
  <c r="C607" i="1"/>
  <c r="Q607" i="1" s="1"/>
  <c r="C606" i="1"/>
  <c r="Q606" i="1" s="1"/>
  <c r="C605" i="1"/>
  <c r="Q605" i="1" s="1"/>
  <c r="C604" i="1"/>
  <c r="Q604" i="1" s="1"/>
  <c r="C603" i="1"/>
  <c r="Q603" i="1" s="1"/>
  <c r="C602" i="1"/>
  <c r="Q602" i="1" s="1"/>
  <c r="C601" i="1"/>
  <c r="Q601" i="1" s="1"/>
  <c r="C600" i="1"/>
  <c r="Q600" i="1" s="1"/>
  <c r="C599" i="1"/>
  <c r="Q599" i="1" s="1"/>
  <c r="C598" i="1"/>
  <c r="Q598" i="1" s="1"/>
  <c r="C597" i="1"/>
  <c r="Q597" i="1" s="1"/>
  <c r="C596" i="1"/>
  <c r="Q596" i="1" s="1"/>
  <c r="C595" i="1"/>
  <c r="Q595" i="1" s="1"/>
  <c r="C594" i="1"/>
  <c r="Q594" i="1" s="1"/>
  <c r="C593" i="1"/>
  <c r="Q593" i="1" s="1"/>
  <c r="C592" i="1"/>
  <c r="Q592" i="1" s="1"/>
  <c r="C591" i="1"/>
  <c r="Q591" i="1" s="1"/>
  <c r="C590" i="1"/>
  <c r="Q590" i="1" s="1"/>
  <c r="C589" i="1"/>
  <c r="Q589" i="1" s="1"/>
  <c r="C588" i="1"/>
  <c r="Q588" i="1" s="1"/>
  <c r="C587" i="1"/>
  <c r="Q587" i="1" s="1"/>
  <c r="C586" i="1"/>
  <c r="Q586" i="1" s="1"/>
  <c r="C585" i="1"/>
  <c r="Q585" i="1" s="1"/>
  <c r="C584" i="1"/>
  <c r="Q584" i="1" s="1"/>
  <c r="C583" i="1"/>
  <c r="Q583" i="1" s="1"/>
  <c r="C582" i="1"/>
  <c r="Q582" i="1" s="1"/>
  <c r="C581" i="1"/>
  <c r="Q581" i="1" s="1"/>
  <c r="C580" i="1"/>
  <c r="Q580" i="1" s="1"/>
  <c r="C579" i="1"/>
  <c r="Q579" i="1" s="1"/>
  <c r="C578" i="1"/>
  <c r="Q578" i="1" s="1"/>
  <c r="C577" i="1"/>
  <c r="Q577" i="1" s="1"/>
  <c r="C576" i="1"/>
  <c r="Q576" i="1" s="1"/>
  <c r="C575" i="1"/>
  <c r="Q575" i="1" s="1"/>
  <c r="C574" i="1"/>
  <c r="Q574" i="1" s="1"/>
  <c r="C573" i="1"/>
  <c r="Q573" i="1" s="1"/>
  <c r="C572" i="1"/>
  <c r="Q572" i="1" s="1"/>
  <c r="C571" i="1"/>
  <c r="Q571" i="1" s="1"/>
  <c r="C570" i="1"/>
  <c r="Q570" i="1" s="1"/>
  <c r="C569" i="1"/>
  <c r="Q569" i="1" s="1"/>
  <c r="C568" i="1"/>
  <c r="Q568" i="1" s="1"/>
  <c r="C567" i="1"/>
  <c r="Q567" i="1" s="1"/>
  <c r="C566" i="1"/>
  <c r="Q566" i="1" s="1"/>
  <c r="C565" i="1"/>
  <c r="Q565" i="1" s="1"/>
  <c r="C564" i="1"/>
  <c r="Q564" i="1" s="1"/>
  <c r="C563" i="1"/>
  <c r="Q563" i="1" s="1"/>
  <c r="C562" i="1"/>
  <c r="Q562" i="1" s="1"/>
  <c r="C561" i="1"/>
  <c r="Q561" i="1" s="1"/>
  <c r="C560" i="1"/>
  <c r="Q560" i="1" s="1"/>
  <c r="C559" i="1"/>
  <c r="Q559" i="1" s="1"/>
  <c r="C558" i="1"/>
  <c r="Q558" i="1" s="1"/>
  <c r="C557" i="1"/>
  <c r="Q557" i="1" s="1"/>
  <c r="C556" i="1"/>
  <c r="Q556" i="1" s="1"/>
  <c r="C555" i="1"/>
  <c r="Q555" i="1" s="1"/>
  <c r="C554" i="1"/>
  <c r="Q554" i="1" s="1"/>
  <c r="C553" i="1"/>
  <c r="Q553" i="1" s="1"/>
  <c r="C552" i="1"/>
  <c r="Q552" i="1" s="1"/>
  <c r="C551" i="1"/>
  <c r="Q551" i="1" s="1"/>
  <c r="C550" i="1"/>
  <c r="Q550" i="1" s="1"/>
  <c r="C549" i="1"/>
  <c r="Q549" i="1" s="1"/>
  <c r="C548" i="1"/>
  <c r="Q548" i="1" s="1"/>
  <c r="C547" i="1"/>
  <c r="Q547" i="1" s="1"/>
  <c r="C546" i="1"/>
  <c r="Q546" i="1" s="1"/>
  <c r="C545" i="1"/>
  <c r="Q545" i="1" s="1"/>
  <c r="C544" i="1"/>
  <c r="Q544" i="1" s="1"/>
  <c r="C543" i="1"/>
  <c r="Q543" i="1" s="1"/>
  <c r="C542" i="1"/>
  <c r="Q542" i="1" s="1"/>
  <c r="C541" i="1"/>
  <c r="Q541" i="1" s="1"/>
  <c r="C540" i="1"/>
  <c r="Q540" i="1" s="1"/>
  <c r="C539" i="1"/>
  <c r="Q539" i="1" s="1"/>
  <c r="C538" i="1"/>
  <c r="Q538" i="1" s="1"/>
  <c r="C537" i="1"/>
  <c r="Q537" i="1" s="1"/>
  <c r="C536" i="1"/>
  <c r="Q536" i="1" s="1"/>
  <c r="C535" i="1"/>
  <c r="Q535" i="1" s="1"/>
  <c r="C534" i="1"/>
  <c r="Q534" i="1" s="1"/>
  <c r="C533" i="1"/>
  <c r="Q533" i="1" s="1"/>
  <c r="C532" i="1"/>
  <c r="Q532" i="1" s="1"/>
  <c r="C531" i="1"/>
  <c r="Q531" i="1" s="1"/>
  <c r="C530" i="1"/>
  <c r="Q530" i="1" s="1"/>
  <c r="C529" i="1"/>
  <c r="Q529" i="1" s="1"/>
  <c r="C528" i="1"/>
  <c r="Q528" i="1" s="1"/>
  <c r="C527" i="1"/>
  <c r="Q527" i="1" s="1"/>
  <c r="C526" i="1"/>
  <c r="Q526" i="1" s="1"/>
  <c r="C525" i="1"/>
  <c r="Q525" i="1" s="1"/>
  <c r="C524" i="1"/>
  <c r="Q524" i="1" s="1"/>
  <c r="C523" i="1"/>
  <c r="Q523" i="1" s="1"/>
  <c r="C522" i="1"/>
  <c r="Q522" i="1" s="1"/>
  <c r="C521" i="1"/>
  <c r="Q521" i="1" s="1"/>
  <c r="C520" i="1"/>
  <c r="Q520" i="1" s="1"/>
  <c r="C519" i="1"/>
  <c r="Q519" i="1" s="1"/>
  <c r="C518" i="1"/>
  <c r="Q518" i="1" s="1"/>
  <c r="C517" i="1"/>
  <c r="Q517" i="1" s="1"/>
  <c r="C516" i="1"/>
  <c r="Q516" i="1" s="1"/>
  <c r="C515" i="1"/>
  <c r="Q515" i="1" s="1"/>
  <c r="C514" i="1"/>
  <c r="Q514" i="1" s="1"/>
  <c r="C513" i="1"/>
  <c r="Q513" i="1" s="1"/>
  <c r="C512" i="1"/>
  <c r="Q512" i="1" s="1"/>
  <c r="C511" i="1"/>
  <c r="Q511" i="1" s="1"/>
  <c r="C510" i="1"/>
  <c r="Q510" i="1" s="1"/>
  <c r="C509" i="1"/>
  <c r="Q509" i="1" s="1"/>
  <c r="C508" i="1"/>
  <c r="Q508" i="1" s="1"/>
  <c r="C507" i="1"/>
  <c r="Q507" i="1" s="1"/>
  <c r="C506" i="1"/>
  <c r="Q506" i="1" s="1"/>
  <c r="C505" i="1"/>
  <c r="Q505" i="1" s="1"/>
  <c r="C504" i="1"/>
  <c r="Q504" i="1" s="1"/>
  <c r="C503" i="1"/>
  <c r="Q503" i="1" s="1"/>
  <c r="C502" i="1"/>
  <c r="Q502" i="1" s="1"/>
  <c r="C501" i="1"/>
  <c r="Q501" i="1" s="1"/>
  <c r="C500" i="1"/>
  <c r="Q500" i="1" s="1"/>
  <c r="C499" i="1"/>
  <c r="Q499" i="1" s="1"/>
  <c r="C498" i="1"/>
  <c r="Q498" i="1" s="1"/>
  <c r="C497" i="1"/>
  <c r="Q497" i="1" s="1"/>
  <c r="C496" i="1"/>
  <c r="Q496" i="1" s="1"/>
  <c r="C495" i="1"/>
  <c r="Q495" i="1" s="1"/>
  <c r="C494" i="1"/>
  <c r="Q494" i="1" s="1"/>
  <c r="C493" i="1"/>
  <c r="Q493" i="1" s="1"/>
  <c r="C492" i="1"/>
  <c r="Q492" i="1" s="1"/>
  <c r="C491" i="1"/>
  <c r="Q491" i="1" s="1"/>
  <c r="C490" i="1"/>
  <c r="Q490" i="1" s="1"/>
  <c r="C489" i="1"/>
  <c r="Q489" i="1" s="1"/>
  <c r="C488" i="1"/>
  <c r="Q488" i="1" s="1"/>
  <c r="C487" i="1"/>
  <c r="Q487" i="1" s="1"/>
  <c r="Q486" i="1"/>
  <c r="C486" i="1"/>
  <c r="C485" i="1"/>
  <c r="Q485" i="1" s="1"/>
  <c r="C484" i="1"/>
  <c r="Q484" i="1" s="1"/>
  <c r="C483" i="1"/>
  <c r="Q483" i="1" s="1"/>
  <c r="C482" i="1"/>
  <c r="Q482" i="1" s="1"/>
  <c r="C481" i="1"/>
  <c r="Q481" i="1" s="1"/>
  <c r="C480" i="1"/>
  <c r="Q480" i="1" s="1"/>
  <c r="C479" i="1"/>
  <c r="Q479" i="1" s="1"/>
  <c r="C478" i="1"/>
  <c r="Q478" i="1" s="1"/>
  <c r="C477" i="1"/>
  <c r="Q477" i="1" s="1"/>
  <c r="C476" i="1"/>
  <c r="Q476" i="1" s="1"/>
  <c r="C475" i="1"/>
  <c r="Q475" i="1" s="1"/>
  <c r="C474" i="1"/>
  <c r="Q474" i="1" s="1"/>
  <c r="C473" i="1"/>
  <c r="Q473" i="1" s="1"/>
  <c r="C472" i="1"/>
  <c r="Q472" i="1" s="1"/>
  <c r="C471" i="1"/>
  <c r="Q471" i="1" s="1"/>
  <c r="C470" i="1"/>
  <c r="Q470" i="1" s="1"/>
  <c r="C469" i="1"/>
  <c r="Q469" i="1" s="1"/>
  <c r="C468" i="1"/>
  <c r="Q468" i="1" s="1"/>
  <c r="C467" i="1"/>
  <c r="Q467" i="1" s="1"/>
  <c r="C466" i="1"/>
  <c r="Q466" i="1" s="1"/>
  <c r="C465" i="1"/>
  <c r="Q465" i="1" s="1"/>
  <c r="C464" i="1"/>
  <c r="Q464" i="1" s="1"/>
  <c r="C463" i="1"/>
  <c r="Q463" i="1" s="1"/>
  <c r="C462" i="1"/>
  <c r="Q462" i="1" s="1"/>
  <c r="C461" i="1"/>
  <c r="Q461" i="1" s="1"/>
  <c r="C460" i="1"/>
  <c r="Q460" i="1" s="1"/>
  <c r="C459" i="1"/>
  <c r="Q459" i="1" s="1"/>
  <c r="C458" i="1"/>
  <c r="Q458" i="1" s="1"/>
  <c r="C457" i="1"/>
  <c r="Q457" i="1" s="1"/>
  <c r="C456" i="1"/>
  <c r="Q456" i="1" s="1"/>
  <c r="C455" i="1"/>
  <c r="Q455" i="1" s="1"/>
  <c r="C454" i="1"/>
  <c r="Q454" i="1" s="1"/>
  <c r="C453" i="1"/>
  <c r="Q453" i="1" s="1"/>
  <c r="C452" i="1"/>
  <c r="Q452" i="1" s="1"/>
  <c r="C451" i="1"/>
  <c r="Q451" i="1" s="1"/>
  <c r="C450" i="1"/>
  <c r="Q450" i="1" s="1"/>
  <c r="C449" i="1"/>
  <c r="Q449" i="1" s="1"/>
  <c r="C448" i="1"/>
  <c r="Q448" i="1" s="1"/>
  <c r="C447" i="1"/>
  <c r="Q447" i="1" s="1"/>
  <c r="C446" i="1"/>
  <c r="Q446" i="1" s="1"/>
  <c r="C445" i="1"/>
  <c r="Q445" i="1" s="1"/>
  <c r="C444" i="1"/>
  <c r="Q444" i="1" s="1"/>
  <c r="C443" i="1"/>
  <c r="Q443" i="1" s="1"/>
  <c r="C442" i="1"/>
  <c r="Q442" i="1" s="1"/>
  <c r="C441" i="1"/>
  <c r="Q441" i="1" s="1"/>
  <c r="C440" i="1"/>
  <c r="Q440" i="1" s="1"/>
  <c r="C439" i="1"/>
  <c r="Q439" i="1" s="1"/>
  <c r="C438" i="1"/>
  <c r="Q438" i="1" s="1"/>
  <c r="C437" i="1"/>
  <c r="Q437" i="1" s="1"/>
  <c r="C436" i="1"/>
  <c r="Q436" i="1" s="1"/>
  <c r="C435" i="1"/>
  <c r="Q435" i="1" s="1"/>
  <c r="C434" i="1"/>
  <c r="Q434" i="1" s="1"/>
  <c r="C433" i="1"/>
  <c r="Q433" i="1" s="1"/>
  <c r="C432" i="1"/>
  <c r="Q432" i="1" s="1"/>
  <c r="C431" i="1"/>
  <c r="Q431" i="1" s="1"/>
  <c r="C430" i="1"/>
  <c r="Q430" i="1" s="1"/>
  <c r="C429" i="1"/>
  <c r="Q429" i="1" s="1"/>
  <c r="C428" i="1"/>
  <c r="Q428" i="1" s="1"/>
  <c r="C427" i="1"/>
  <c r="Q427" i="1" s="1"/>
  <c r="C426" i="1"/>
  <c r="Q426" i="1" s="1"/>
  <c r="C425" i="1"/>
  <c r="Q425" i="1" s="1"/>
  <c r="C424" i="1"/>
  <c r="Q424" i="1" s="1"/>
  <c r="C423" i="1"/>
  <c r="Q423" i="1" s="1"/>
  <c r="C422" i="1"/>
  <c r="Q422" i="1" s="1"/>
  <c r="C421" i="1"/>
  <c r="Q421" i="1" s="1"/>
  <c r="C420" i="1"/>
  <c r="Q420" i="1" s="1"/>
  <c r="C419" i="1"/>
  <c r="Q419" i="1" s="1"/>
  <c r="C418" i="1"/>
  <c r="Q418" i="1" s="1"/>
  <c r="C417" i="1"/>
  <c r="Q417" i="1" s="1"/>
  <c r="C416" i="1"/>
  <c r="Q416" i="1" s="1"/>
  <c r="C415" i="1"/>
  <c r="Q415" i="1" s="1"/>
  <c r="C414" i="1"/>
  <c r="Q414" i="1" s="1"/>
  <c r="C413" i="1"/>
  <c r="Q413" i="1" s="1"/>
  <c r="C412" i="1"/>
  <c r="Q412" i="1" s="1"/>
  <c r="C411" i="1"/>
  <c r="Q411" i="1" s="1"/>
  <c r="C410" i="1"/>
  <c r="Q410" i="1" s="1"/>
  <c r="C409" i="1"/>
  <c r="Q409" i="1" s="1"/>
  <c r="C408" i="1"/>
  <c r="Q408" i="1" s="1"/>
  <c r="C407" i="1"/>
  <c r="Q407" i="1" s="1"/>
  <c r="C406" i="1"/>
  <c r="Q406" i="1" s="1"/>
  <c r="C405" i="1"/>
  <c r="Q405" i="1" s="1"/>
  <c r="C404" i="1"/>
  <c r="Q404" i="1" s="1"/>
  <c r="C403" i="1"/>
  <c r="Q403" i="1" s="1"/>
  <c r="C402" i="1"/>
  <c r="Q402" i="1" s="1"/>
  <c r="C401" i="1"/>
  <c r="Q401" i="1" s="1"/>
  <c r="C400" i="1"/>
  <c r="Q400" i="1" s="1"/>
  <c r="C399" i="1"/>
  <c r="Q399" i="1" s="1"/>
  <c r="C398" i="1"/>
  <c r="Q398" i="1" s="1"/>
  <c r="C397" i="1"/>
  <c r="Q397" i="1" s="1"/>
  <c r="C396" i="1"/>
  <c r="Q396" i="1" s="1"/>
  <c r="C395" i="1"/>
  <c r="Q395" i="1" s="1"/>
  <c r="C394" i="1"/>
  <c r="Q394" i="1" s="1"/>
  <c r="C393" i="1"/>
  <c r="Q393" i="1" s="1"/>
  <c r="C392" i="1"/>
  <c r="Q392" i="1" s="1"/>
  <c r="C391" i="1"/>
  <c r="Q391" i="1" s="1"/>
  <c r="C390" i="1"/>
  <c r="Q390" i="1" s="1"/>
  <c r="C389" i="1"/>
  <c r="Q389" i="1" s="1"/>
  <c r="C388" i="1"/>
  <c r="Q388" i="1" s="1"/>
  <c r="C387" i="1"/>
  <c r="Q387" i="1" s="1"/>
  <c r="C386" i="1"/>
  <c r="Q386" i="1" s="1"/>
  <c r="C385" i="1"/>
  <c r="Q385" i="1" s="1"/>
  <c r="C384" i="1"/>
  <c r="Q384" i="1" s="1"/>
  <c r="C383" i="1"/>
  <c r="Q383" i="1" s="1"/>
  <c r="C382" i="1"/>
  <c r="Q382" i="1" s="1"/>
  <c r="C381" i="1"/>
  <c r="Q381" i="1" s="1"/>
  <c r="C380" i="1"/>
  <c r="Q380" i="1" s="1"/>
  <c r="C379" i="1"/>
  <c r="Q379" i="1" s="1"/>
  <c r="C378" i="1"/>
  <c r="Q378" i="1" s="1"/>
  <c r="C377" i="1"/>
  <c r="Q377" i="1" s="1"/>
  <c r="C376" i="1"/>
  <c r="Q376" i="1" s="1"/>
  <c r="C375" i="1"/>
  <c r="Q375" i="1" s="1"/>
  <c r="C374" i="1"/>
  <c r="Q374" i="1" s="1"/>
  <c r="C373" i="1"/>
  <c r="Q373" i="1" s="1"/>
  <c r="C372" i="1"/>
  <c r="Q372" i="1" s="1"/>
  <c r="C371" i="1"/>
  <c r="Q371" i="1" s="1"/>
  <c r="C370" i="1"/>
  <c r="Q370" i="1" s="1"/>
  <c r="C369" i="1"/>
  <c r="Q369" i="1" s="1"/>
  <c r="C368" i="1"/>
  <c r="Q368" i="1" s="1"/>
  <c r="C367" i="1"/>
  <c r="Q367" i="1" s="1"/>
  <c r="C366" i="1"/>
  <c r="Q366" i="1" s="1"/>
  <c r="C365" i="1"/>
  <c r="Q365" i="1" s="1"/>
  <c r="C364" i="1"/>
  <c r="Q364" i="1" s="1"/>
  <c r="C363" i="1"/>
  <c r="Q363" i="1" s="1"/>
  <c r="C362" i="1"/>
  <c r="Q362" i="1" s="1"/>
  <c r="C361" i="1"/>
  <c r="Q361" i="1" s="1"/>
  <c r="C360" i="1"/>
  <c r="Q360" i="1" s="1"/>
  <c r="C359" i="1"/>
  <c r="Q359" i="1" s="1"/>
  <c r="C358" i="1"/>
  <c r="Q358" i="1" s="1"/>
  <c r="C357" i="1"/>
  <c r="Q357" i="1" s="1"/>
  <c r="C356" i="1"/>
  <c r="Q356" i="1" s="1"/>
  <c r="C355" i="1"/>
  <c r="Q355" i="1" s="1"/>
  <c r="C354" i="1"/>
  <c r="Q354" i="1" s="1"/>
  <c r="C353" i="1"/>
  <c r="Q353" i="1" s="1"/>
  <c r="C352" i="1"/>
  <c r="Q352" i="1" s="1"/>
  <c r="C351" i="1"/>
  <c r="Q351" i="1" s="1"/>
  <c r="C350" i="1"/>
  <c r="Q350" i="1" s="1"/>
  <c r="C349" i="1"/>
  <c r="Q349" i="1" s="1"/>
  <c r="C348" i="1"/>
  <c r="Q348" i="1" s="1"/>
  <c r="C347" i="1"/>
  <c r="Q347" i="1" s="1"/>
  <c r="C346" i="1"/>
  <c r="Q346" i="1" s="1"/>
  <c r="C345" i="1"/>
  <c r="Q345" i="1" s="1"/>
  <c r="C344" i="1"/>
  <c r="Q344" i="1" s="1"/>
  <c r="C343" i="1"/>
  <c r="Q343" i="1" s="1"/>
  <c r="C342" i="1"/>
  <c r="Q342" i="1" s="1"/>
  <c r="C341" i="1"/>
  <c r="Q341" i="1" s="1"/>
  <c r="C340" i="1"/>
  <c r="Q340" i="1" s="1"/>
  <c r="C339" i="1"/>
  <c r="Q339" i="1" s="1"/>
  <c r="C338" i="1"/>
  <c r="Q338" i="1" s="1"/>
  <c r="C337" i="1"/>
  <c r="Q337" i="1" s="1"/>
  <c r="C336" i="1"/>
  <c r="Q336" i="1" s="1"/>
  <c r="C335" i="1"/>
  <c r="Q335" i="1" s="1"/>
  <c r="C334" i="1"/>
  <c r="Q334" i="1" s="1"/>
  <c r="C333" i="1"/>
  <c r="Q333" i="1" s="1"/>
  <c r="C332" i="1"/>
  <c r="Q332" i="1" s="1"/>
  <c r="C331" i="1"/>
  <c r="Q331" i="1" s="1"/>
  <c r="C330" i="1"/>
  <c r="Q330" i="1" s="1"/>
  <c r="C329" i="1"/>
  <c r="Q329" i="1" s="1"/>
  <c r="C328" i="1"/>
  <c r="Q328" i="1" s="1"/>
  <c r="C327" i="1"/>
  <c r="Q327" i="1" s="1"/>
  <c r="C326" i="1"/>
  <c r="Q326" i="1" s="1"/>
  <c r="C325" i="1"/>
  <c r="Q325" i="1" s="1"/>
  <c r="C324" i="1"/>
  <c r="Q324" i="1" s="1"/>
  <c r="C323" i="1"/>
  <c r="Q323" i="1" s="1"/>
  <c r="C322" i="1"/>
  <c r="Q322" i="1" s="1"/>
  <c r="C321" i="1"/>
  <c r="Q321" i="1" s="1"/>
  <c r="C320" i="1"/>
  <c r="Q320" i="1" s="1"/>
  <c r="C319" i="1"/>
  <c r="Q319" i="1" s="1"/>
  <c r="C318" i="1"/>
  <c r="Q318" i="1" s="1"/>
  <c r="C317" i="1"/>
  <c r="Q317" i="1" s="1"/>
  <c r="C316" i="1"/>
  <c r="Q316" i="1" s="1"/>
  <c r="C315" i="1"/>
  <c r="Q315" i="1" s="1"/>
  <c r="C314" i="1"/>
  <c r="Q314" i="1" s="1"/>
  <c r="C313" i="1"/>
  <c r="Q313" i="1" s="1"/>
  <c r="C312" i="1"/>
  <c r="Q312" i="1" s="1"/>
  <c r="C311" i="1"/>
  <c r="Q311" i="1" s="1"/>
  <c r="C310" i="1"/>
  <c r="Q310" i="1" s="1"/>
  <c r="C309" i="1"/>
  <c r="Q309" i="1" s="1"/>
  <c r="C308" i="1"/>
  <c r="Q308" i="1" s="1"/>
  <c r="C307" i="1"/>
  <c r="Q307" i="1" s="1"/>
  <c r="C306" i="1"/>
  <c r="Q306" i="1" s="1"/>
  <c r="C305" i="1"/>
  <c r="Q305" i="1" s="1"/>
  <c r="C304" i="1"/>
  <c r="Q304" i="1" s="1"/>
  <c r="C303" i="1"/>
  <c r="Q303" i="1" s="1"/>
  <c r="C302" i="1"/>
  <c r="Q302" i="1" s="1"/>
  <c r="C301" i="1"/>
  <c r="Q301" i="1" s="1"/>
  <c r="C300" i="1"/>
  <c r="Q300" i="1" s="1"/>
  <c r="C299" i="1"/>
  <c r="Q299" i="1" s="1"/>
  <c r="C298" i="1"/>
  <c r="Q298" i="1" s="1"/>
  <c r="C297" i="1"/>
  <c r="Q297" i="1" s="1"/>
  <c r="C296" i="1"/>
  <c r="Q296" i="1" s="1"/>
  <c r="C295" i="1"/>
  <c r="Q295" i="1" s="1"/>
  <c r="C294" i="1"/>
  <c r="Q294" i="1" s="1"/>
  <c r="C293" i="1"/>
  <c r="Q293" i="1" s="1"/>
  <c r="C292" i="1"/>
  <c r="Q292" i="1" s="1"/>
  <c r="C291" i="1"/>
  <c r="Q291" i="1" s="1"/>
  <c r="C290" i="1"/>
  <c r="Q290" i="1" s="1"/>
  <c r="C289" i="1"/>
  <c r="Q289" i="1" s="1"/>
  <c r="C288" i="1"/>
  <c r="Q288" i="1" s="1"/>
  <c r="C287" i="1"/>
  <c r="Q287" i="1" s="1"/>
  <c r="Q286" i="1"/>
  <c r="C286" i="1"/>
  <c r="C285" i="1"/>
  <c r="Q285" i="1" s="1"/>
  <c r="C284" i="1"/>
  <c r="Q284" i="1" s="1"/>
  <c r="C283" i="1"/>
  <c r="Q283" i="1" s="1"/>
  <c r="C282" i="1"/>
  <c r="Q282" i="1" s="1"/>
  <c r="C281" i="1"/>
  <c r="Q281" i="1" s="1"/>
  <c r="C280" i="1"/>
  <c r="Q280" i="1" s="1"/>
  <c r="C279" i="1"/>
  <c r="Q279" i="1" s="1"/>
  <c r="C278" i="1"/>
  <c r="Q278" i="1" s="1"/>
  <c r="C277" i="1"/>
  <c r="Q277" i="1" s="1"/>
  <c r="C276" i="1"/>
  <c r="Q276" i="1" s="1"/>
  <c r="C275" i="1"/>
  <c r="Q275" i="1" s="1"/>
  <c r="C274" i="1"/>
  <c r="Q274" i="1" s="1"/>
  <c r="C273" i="1"/>
  <c r="Q273" i="1" s="1"/>
  <c r="C272" i="1"/>
  <c r="Q272" i="1" s="1"/>
  <c r="C271" i="1"/>
  <c r="Q271" i="1" s="1"/>
  <c r="C270" i="1"/>
  <c r="Q270" i="1" s="1"/>
  <c r="C269" i="1"/>
  <c r="Q269" i="1" s="1"/>
  <c r="C268" i="1"/>
  <c r="Q268" i="1" s="1"/>
  <c r="C267" i="1"/>
  <c r="Q267" i="1" s="1"/>
  <c r="C266" i="1"/>
  <c r="Q266" i="1" s="1"/>
  <c r="C265" i="1"/>
  <c r="Q265" i="1" s="1"/>
  <c r="C264" i="1"/>
  <c r="Q264" i="1" s="1"/>
  <c r="C263" i="1"/>
  <c r="Q263" i="1" s="1"/>
  <c r="C262" i="1"/>
  <c r="Q262" i="1" s="1"/>
  <c r="C261" i="1"/>
  <c r="Q261" i="1" s="1"/>
  <c r="C260" i="1"/>
  <c r="Q260" i="1" s="1"/>
  <c r="C259" i="1"/>
  <c r="Q259" i="1" s="1"/>
  <c r="C258" i="1"/>
  <c r="Q258" i="1" s="1"/>
  <c r="C257" i="1"/>
  <c r="Q257" i="1" s="1"/>
  <c r="C256" i="1"/>
  <c r="Q256" i="1" s="1"/>
  <c r="C255" i="1"/>
  <c r="Q255" i="1" s="1"/>
  <c r="C254" i="1"/>
  <c r="Q254" i="1" s="1"/>
  <c r="C253" i="1"/>
  <c r="Q253" i="1" s="1"/>
  <c r="C252" i="1"/>
  <c r="Q252" i="1" s="1"/>
  <c r="C251" i="1"/>
  <c r="Q251" i="1" s="1"/>
  <c r="C250" i="1"/>
  <c r="Q250" i="1" s="1"/>
  <c r="C249" i="1"/>
  <c r="Q249" i="1" s="1"/>
  <c r="C248" i="1"/>
  <c r="Q248" i="1" s="1"/>
  <c r="C247" i="1"/>
  <c r="Q247" i="1" s="1"/>
  <c r="C246" i="1"/>
  <c r="Q246" i="1" s="1"/>
  <c r="C245" i="1"/>
  <c r="Q245" i="1" s="1"/>
  <c r="C244" i="1"/>
  <c r="Q244" i="1" s="1"/>
  <c r="C243" i="1"/>
  <c r="Q243" i="1" s="1"/>
  <c r="C242" i="1"/>
  <c r="Q242" i="1" s="1"/>
  <c r="C241" i="1"/>
  <c r="Q241" i="1" s="1"/>
  <c r="C240" i="1"/>
  <c r="Q240" i="1" s="1"/>
  <c r="C239" i="1"/>
  <c r="Q239" i="1" s="1"/>
  <c r="C238" i="1"/>
  <c r="Q238" i="1" s="1"/>
  <c r="C237" i="1"/>
  <c r="Q237" i="1" s="1"/>
  <c r="C236" i="1"/>
  <c r="Q236" i="1" s="1"/>
  <c r="C235" i="1"/>
  <c r="Q235" i="1" s="1"/>
  <c r="C234" i="1"/>
  <c r="Q234" i="1" s="1"/>
  <c r="C233" i="1"/>
  <c r="Q233" i="1" s="1"/>
  <c r="C232" i="1"/>
  <c r="Q232" i="1" s="1"/>
  <c r="C231" i="1"/>
  <c r="Q231" i="1" s="1"/>
  <c r="C230" i="1"/>
  <c r="Q230" i="1" s="1"/>
  <c r="C229" i="1"/>
  <c r="Q229" i="1" s="1"/>
  <c r="C228" i="1"/>
  <c r="Q228" i="1" s="1"/>
  <c r="C227" i="1"/>
  <c r="Q227" i="1" s="1"/>
  <c r="C226" i="1"/>
  <c r="Q226" i="1" s="1"/>
  <c r="C225" i="1"/>
  <c r="Q225" i="1" s="1"/>
  <c r="C224" i="1"/>
  <c r="Q224" i="1" s="1"/>
  <c r="C223" i="1"/>
  <c r="Q223" i="1" s="1"/>
  <c r="C222" i="1"/>
  <c r="Q222" i="1" s="1"/>
  <c r="C221" i="1"/>
  <c r="Q221" i="1" s="1"/>
  <c r="C220" i="1"/>
  <c r="Q220" i="1" s="1"/>
  <c r="C219" i="1"/>
  <c r="Q219" i="1" s="1"/>
  <c r="C218" i="1"/>
  <c r="Q218" i="1" s="1"/>
  <c r="C217" i="1"/>
  <c r="Q217" i="1" s="1"/>
  <c r="C216" i="1"/>
  <c r="Q216" i="1" s="1"/>
  <c r="C215" i="1"/>
  <c r="Q215" i="1" s="1"/>
  <c r="C214" i="1"/>
  <c r="Q214" i="1" s="1"/>
  <c r="C213" i="1"/>
  <c r="Q213" i="1" s="1"/>
  <c r="C212" i="1"/>
  <c r="Q212" i="1" s="1"/>
  <c r="C211" i="1"/>
  <c r="Q211" i="1" s="1"/>
  <c r="C210" i="1"/>
  <c r="Q210" i="1" s="1"/>
  <c r="C209" i="1"/>
  <c r="Q209" i="1" s="1"/>
  <c r="C208" i="1"/>
  <c r="Q208" i="1" s="1"/>
  <c r="C207" i="1"/>
  <c r="Q207" i="1" s="1"/>
  <c r="C206" i="1"/>
  <c r="Q206" i="1" s="1"/>
  <c r="C205" i="1"/>
  <c r="Q205" i="1" s="1"/>
  <c r="C204" i="1"/>
  <c r="Q204" i="1" s="1"/>
  <c r="C203" i="1"/>
  <c r="Q203" i="1" s="1"/>
  <c r="C202" i="1"/>
  <c r="Q202" i="1" s="1"/>
  <c r="C201" i="1"/>
  <c r="Q201" i="1" s="1"/>
  <c r="C200" i="1"/>
  <c r="Q200" i="1" s="1"/>
  <c r="C199" i="1"/>
  <c r="Q199" i="1" s="1"/>
  <c r="C198" i="1"/>
  <c r="Q198" i="1" s="1"/>
  <c r="C197" i="1"/>
  <c r="Q197" i="1" s="1"/>
  <c r="C196" i="1"/>
  <c r="Q196" i="1" s="1"/>
  <c r="C195" i="1"/>
  <c r="Q195" i="1" s="1"/>
  <c r="C194" i="1"/>
  <c r="Q194" i="1" s="1"/>
  <c r="C193" i="1"/>
  <c r="Q193" i="1" s="1"/>
  <c r="C192" i="1"/>
  <c r="Q192" i="1" s="1"/>
  <c r="C191" i="1"/>
  <c r="Q191" i="1" s="1"/>
  <c r="C190" i="1"/>
  <c r="Q190" i="1" s="1"/>
  <c r="C189" i="1"/>
  <c r="Q189" i="1" s="1"/>
  <c r="C188" i="1"/>
  <c r="Q188" i="1" s="1"/>
  <c r="C187" i="1"/>
  <c r="Q187" i="1" s="1"/>
  <c r="C186" i="1"/>
  <c r="Q186" i="1" s="1"/>
  <c r="C185" i="1"/>
  <c r="Q185" i="1" s="1"/>
  <c r="C184" i="1"/>
  <c r="Q184" i="1" s="1"/>
  <c r="C183" i="1"/>
  <c r="Q183" i="1" s="1"/>
  <c r="C182" i="1"/>
  <c r="Q182" i="1" s="1"/>
  <c r="C181" i="1"/>
  <c r="Q181" i="1" s="1"/>
  <c r="C180" i="1"/>
  <c r="Q180" i="1" s="1"/>
  <c r="C179" i="1"/>
  <c r="Q179" i="1" s="1"/>
  <c r="C178" i="1"/>
  <c r="Q178" i="1" s="1"/>
  <c r="C177" i="1"/>
  <c r="Q177" i="1" s="1"/>
  <c r="C176" i="1"/>
  <c r="Q176" i="1" s="1"/>
  <c r="C175" i="1"/>
  <c r="Q175" i="1" s="1"/>
  <c r="C174" i="1"/>
  <c r="Q174" i="1" s="1"/>
  <c r="C173" i="1"/>
  <c r="Q173" i="1" s="1"/>
  <c r="C172" i="1"/>
  <c r="Q172" i="1" s="1"/>
  <c r="C171" i="1"/>
  <c r="Q171" i="1" s="1"/>
  <c r="C170" i="1"/>
  <c r="Q170" i="1" s="1"/>
  <c r="C169" i="1"/>
  <c r="Q169" i="1" s="1"/>
  <c r="C168" i="1"/>
  <c r="Q168" i="1" s="1"/>
  <c r="C167" i="1"/>
  <c r="Q167" i="1" s="1"/>
  <c r="C166" i="1"/>
  <c r="Q166" i="1" s="1"/>
  <c r="C165" i="1"/>
  <c r="Q165" i="1" s="1"/>
  <c r="C164" i="1"/>
  <c r="Q164" i="1" s="1"/>
  <c r="C163" i="1"/>
  <c r="Q163" i="1" s="1"/>
  <c r="C162" i="1"/>
  <c r="Q162" i="1" s="1"/>
  <c r="C161" i="1"/>
  <c r="Q161" i="1" s="1"/>
  <c r="C160" i="1"/>
  <c r="Q160" i="1" s="1"/>
  <c r="C159" i="1"/>
  <c r="Q159" i="1" s="1"/>
  <c r="C158" i="1"/>
  <c r="Q158" i="1" s="1"/>
  <c r="C157" i="1"/>
  <c r="Q157" i="1" s="1"/>
  <c r="C156" i="1"/>
  <c r="Q156" i="1" s="1"/>
  <c r="C155" i="1"/>
  <c r="Q155" i="1" s="1"/>
  <c r="C154" i="1"/>
  <c r="Q154" i="1" s="1"/>
  <c r="C153" i="1"/>
  <c r="Q153" i="1" s="1"/>
  <c r="C152" i="1"/>
  <c r="Q152" i="1" s="1"/>
  <c r="C151" i="1"/>
  <c r="Q151" i="1" s="1"/>
  <c r="C150" i="1"/>
  <c r="Q150" i="1" s="1"/>
  <c r="C149" i="1"/>
  <c r="Q149" i="1" s="1"/>
  <c r="C148" i="1"/>
  <c r="Q148" i="1" s="1"/>
  <c r="C147" i="1"/>
  <c r="Q147" i="1" s="1"/>
  <c r="C146" i="1"/>
  <c r="Q146" i="1" s="1"/>
  <c r="C145" i="1"/>
  <c r="Q145" i="1" s="1"/>
  <c r="C144" i="1"/>
  <c r="Q144" i="1" s="1"/>
  <c r="C143" i="1"/>
  <c r="Q143" i="1" s="1"/>
  <c r="C142" i="1"/>
  <c r="Q142" i="1" s="1"/>
  <c r="C141" i="1"/>
  <c r="Q141" i="1" s="1"/>
  <c r="C140" i="1"/>
  <c r="Q140" i="1" s="1"/>
  <c r="C139" i="1"/>
  <c r="Q139" i="1" s="1"/>
  <c r="C138" i="1"/>
  <c r="Q138" i="1" s="1"/>
  <c r="C137" i="1"/>
  <c r="Q137" i="1" s="1"/>
  <c r="C136" i="1"/>
  <c r="Q136" i="1" s="1"/>
  <c r="C135" i="1"/>
  <c r="Q135" i="1" s="1"/>
  <c r="C134" i="1"/>
  <c r="Q134" i="1" s="1"/>
  <c r="C133" i="1"/>
  <c r="Q133" i="1" s="1"/>
  <c r="C132" i="1"/>
  <c r="Q132" i="1" s="1"/>
  <c r="C131" i="1"/>
  <c r="Q131" i="1" s="1"/>
  <c r="C130" i="1"/>
  <c r="Q130" i="1" s="1"/>
  <c r="C129" i="1"/>
  <c r="Q129" i="1" s="1"/>
  <c r="C128" i="1"/>
  <c r="Q128" i="1" s="1"/>
  <c r="C127" i="1"/>
  <c r="Q127" i="1" s="1"/>
  <c r="C126" i="1"/>
  <c r="Q126" i="1" s="1"/>
  <c r="C125" i="1"/>
  <c r="Q125" i="1" s="1"/>
  <c r="C124" i="1"/>
  <c r="Q124" i="1" s="1"/>
  <c r="C123" i="1"/>
  <c r="Q123" i="1" s="1"/>
  <c r="C122" i="1"/>
  <c r="Q122" i="1" s="1"/>
  <c r="C121" i="1"/>
  <c r="Q121" i="1" s="1"/>
  <c r="C120" i="1"/>
  <c r="Q120" i="1" s="1"/>
  <c r="C119" i="1"/>
  <c r="Q119" i="1" s="1"/>
  <c r="C118" i="1"/>
  <c r="Q118" i="1" s="1"/>
  <c r="C117" i="1"/>
  <c r="Q117" i="1" s="1"/>
  <c r="C116" i="1"/>
  <c r="Q116" i="1" s="1"/>
  <c r="C115" i="1"/>
  <c r="Q115" i="1" s="1"/>
  <c r="C114" i="1"/>
  <c r="Q114" i="1" s="1"/>
  <c r="C113" i="1"/>
  <c r="Q113" i="1" s="1"/>
  <c r="C112" i="1"/>
  <c r="Q112" i="1" s="1"/>
  <c r="C111" i="1"/>
  <c r="Q111" i="1" s="1"/>
  <c r="C110" i="1"/>
  <c r="Q110" i="1" s="1"/>
  <c r="C109" i="1"/>
  <c r="Q109" i="1" s="1"/>
  <c r="C108" i="1"/>
  <c r="Q108" i="1" s="1"/>
  <c r="C107" i="1"/>
  <c r="Q107" i="1" s="1"/>
  <c r="C106" i="1"/>
  <c r="Q106" i="1" s="1"/>
  <c r="C105" i="1"/>
  <c r="Q105" i="1" s="1"/>
  <c r="C104" i="1"/>
  <c r="Q104" i="1" s="1"/>
  <c r="C103" i="1"/>
  <c r="Q103" i="1" s="1"/>
  <c r="C102" i="1"/>
  <c r="Q102" i="1" s="1"/>
  <c r="C101" i="1"/>
  <c r="Q101" i="1" s="1"/>
  <c r="C100" i="1"/>
  <c r="Q100" i="1" s="1"/>
  <c r="C99" i="1"/>
  <c r="Q99" i="1" s="1"/>
  <c r="C98" i="1"/>
  <c r="Q98" i="1" s="1"/>
  <c r="C97" i="1"/>
  <c r="Q97" i="1" s="1"/>
  <c r="C96" i="1"/>
  <c r="Q96" i="1" s="1"/>
  <c r="C95" i="1"/>
  <c r="Q95" i="1" s="1"/>
  <c r="C94" i="1"/>
  <c r="Q94" i="1" s="1"/>
  <c r="C93" i="1"/>
  <c r="Q93" i="1" s="1"/>
  <c r="C92" i="1"/>
  <c r="Q92" i="1" s="1"/>
  <c r="C91" i="1"/>
  <c r="Q91" i="1" s="1"/>
  <c r="C90" i="1"/>
  <c r="Q90" i="1" s="1"/>
  <c r="C89" i="1"/>
  <c r="Q89" i="1" s="1"/>
  <c r="C88" i="1"/>
  <c r="Q88" i="1" s="1"/>
  <c r="C87" i="1"/>
  <c r="Q87" i="1" s="1"/>
  <c r="C86" i="1"/>
  <c r="Q86" i="1" s="1"/>
  <c r="C85" i="1"/>
  <c r="Q85" i="1" s="1"/>
  <c r="C84" i="1"/>
  <c r="Q84" i="1" s="1"/>
  <c r="C83" i="1"/>
  <c r="Q83" i="1" s="1"/>
  <c r="C82" i="1"/>
  <c r="Q82" i="1" s="1"/>
  <c r="C81" i="1"/>
  <c r="Q81" i="1" s="1"/>
  <c r="C80" i="1"/>
  <c r="Q80" i="1" s="1"/>
  <c r="C79" i="1"/>
  <c r="Q79" i="1" s="1"/>
  <c r="C78" i="1"/>
  <c r="Q78" i="1" s="1"/>
  <c r="C77" i="1"/>
  <c r="Q77" i="1" s="1"/>
  <c r="C76" i="1"/>
  <c r="Q76" i="1" s="1"/>
  <c r="C75" i="1"/>
  <c r="Q75" i="1" s="1"/>
  <c r="C74" i="1"/>
  <c r="Q74" i="1" s="1"/>
  <c r="C73" i="1"/>
  <c r="Q73" i="1" s="1"/>
  <c r="C72" i="1"/>
  <c r="Q72" i="1" s="1"/>
  <c r="C71" i="1"/>
  <c r="Q71" i="1" s="1"/>
  <c r="C70" i="1"/>
  <c r="Q70" i="1" s="1"/>
  <c r="C69" i="1"/>
  <c r="Q69" i="1" s="1"/>
  <c r="C68" i="1"/>
  <c r="Q68" i="1" s="1"/>
  <c r="C67" i="1"/>
  <c r="Q67" i="1" s="1"/>
  <c r="C66" i="1"/>
  <c r="Q66" i="1" s="1"/>
  <c r="C65" i="1"/>
  <c r="Q65" i="1" s="1"/>
  <c r="C64" i="1"/>
  <c r="Q64" i="1" s="1"/>
  <c r="C63" i="1"/>
  <c r="Q63" i="1" s="1"/>
  <c r="C62" i="1"/>
  <c r="Q62" i="1" s="1"/>
  <c r="C61" i="1"/>
  <c r="Q61" i="1" s="1"/>
  <c r="C60" i="1"/>
  <c r="Q60" i="1" s="1"/>
  <c r="C59" i="1"/>
  <c r="Q59" i="1" s="1"/>
  <c r="C58" i="1"/>
  <c r="Q58" i="1" s="1"/>
  <c r="C57" i="1"/>
  <c r="Q57" i="1" s="1"/>
  <c r="C56" i="1"/>
  <c r="Q56" i="1" s="1"/>
  <c r="C55" i="1"/>
  <c r="Q55" i="1" s="1"/>
  <c r="C54" i="1"/>
  <c r="Q54" i="1" s="1"/>
  <c r="C53" i="1"/>
  <c r="Q53" i="1" s="1"/>
  <c r="C52" i="1"/>
  <c r="Q52" i="1" s="1"/>
  <c r="C51" i="1"/>
  <c r="Q51" i="1" s="1"/>
  <c r="C50" i="1"/>
  <c r="Q50" i="1" s="1"/>
  <c r="C49" i="1"/>
  <c r="Q49" i="1" s="1"/>
  <c r="C48" i="1"/>
  <c r="Q48" i="1" s="1"/>
  <c r="C47" i="1"/>
  <c r="Q47" i="1" s="1"/>
  <c r="C46" i="1"/>
  <c r="Q46" i="1" s="1"/>
  <c r="Q45" i="1"/>
  <c r="C45" i="1"/>
  <c r="C44" i="1"/>
  <c r="Q44" i="1" s="1"/>
  <c r="C43" i="1"/>
  <c r="Q43" i="1" s="1"/>
  <c r="C42" i="1"/>
  <c r="Q42" i="1" s="1"/>
  <c r="C41" i="1"/>
  <c r="Q41" i="1" s="1"/>
  <c r="C40" i="1"/>
  <c r="Q40" i="1" s="1"/>
  <c r="C39" i="1"/>
  <c r="Q39" i="1" s="1"/>
  <c r="Q38" i="1"/>
  <c r="C38" i="1"/>
  <c r="C37" i="1"/>
  <c r="Q37" i="1" s="1"/>
  <c r="C36" i="1"/>
  <c r="Q36" i="1" s="1"/>
  <c r="C35" i="1"/>
  <c r="Q35" i="1" s="1"/>
  <c r="C34" i="1"/>
  <c r="Q34" i="1" s="1"/>
  <c r="C33" i="1"/>
  <c r="Q33" i="1" s="1"/>
  <c r="C32" i="1"/>
  <c r="Q32" i="1" s="1"/>
  <c r="Q31" i="1"/>
  <c r="C31" i="1"/>
  <c r="C30" i="1"/>
  <c r="Q30" i="1" s="1"/>
  <c r="C29" i="1"/>
  <c r="Q29" i="1" s="1"/>
  <c r="C28" i="1"/>
  <c r="Q28" i="1" s="1"/>
  <c r="C27" i="1"/>
  <c r="Q27" i="1" s="1"/>
  <c r="C26" i="1"/>
  <c r="Q26" i="1" s="1"/>
  <c r="C25" i="1"/>
  <c r="Q25" i="1" s="1"/>
  <c r="C24" i="1"/>
  <c r="Q24" i="1" s="1"/>
  <c r="C23" i="1"/>
  <c r="Q23" i="1" s="1"/>
  <c r="C22" i="1"/>
  <c r="Q22" i="1" s="1"/>
  <c r="C21" i="1"/>
  <c r="Q21" i="1" s="1"/>
  <c r="C20" i="1"/>
  <c r="Q20" i="1" s="1"/>
  <c r="C19" i="1"/>
  <c r="Q19" i="1" s="1"/>
  <c r="C18" i="1"/>
  <c r="Q18" i="1" s="1"/>
  <c r="C17" i="1"/>
  <c r="Q17" i="1" s="1"/>
  <c r="C16" i="1"/>
  <c r="Q16" i="1" s="1"/>
  <c r="C15" i="1"/>
  <c r="Q15" i="1" s="1"/>
  <c r="C14" i="1"/>
  <c r="Q14" i="1" s="1"/>
  <c r="C13" i="1"/>
  <c r="Q13" i="1" s="1"/>
  <c r="C12" i="1"/>
  <c r="Q12" i="1" s="1"/>
  <c r="C11" i="1"/>
  <c r="Q11" i="1" s="1"/>
  <c r="C10" i="1"/>
  <c r="Q10" i="1" s="1"/>
  <c r="C9" i="1"/>
  <c r="Q9" i="1" s="1"/>
  <c r="C8" i="1"/>
  <c r="Q8" i="1" s="1"/>
  <c r="C7" i="1"/>
  <c r="Q7" i="1" s="1"/>
  <c r="C6" i="1"/>
  <c r="Q6" i="1" s="1"/>
  <c r="C5" i="1"/>
  <c r="Q5" i="1" s="1"/>
  <c r="C4" i="1"/>
  <c r="Q4" i="1" s="1"/>
  <c r="C3" i="1"/>
  <c r="Q3" i="1" s="1"/>
  <c r="C2" i="1"/>
  <c r="Q2" i="1" s="1"/>
</calcChain>
</file>

<file path=xl/sharedStrings.xml><?xml version="1.0" encoding="utf-8"?>
<sst xmlns="http://schemas.openxmlformats.org/spreadsheetml/2006/main" count="6677" uniqueCount="40">
  <si>
    <t>Critical</t>
  </si>
  <si>
    <t>Delivery Truck</t>
  </si>
  <si>
    <t>Corporate</t>
  </si>
  <si>
    <t>Furniture</t>
  </si>
  <si>
    <t>Jumbo Drum</t>
  </si>
  <si>
    <t>Regular Air</t>
  </si>
  <si>
    <t>Office Supplies</t>
  </si>
  <si>
    <t>Small Box</t>
  </si>
  <si>
    <t>Not Specified</t>
  </si>
  <si>
    <t>Express Air</t>
  </si>
  <si>
    <t>Large Box</t>
  </si>
  <si>
    <t>Technology</t>
  </si>
  <si>
    <t>Medium</t>
  </si>
  <si>
    <t>Small Business</t>
  </si>
  <si>
    <t>Wrap Bag</t>
  </si>
  <si>
    <t>Home Office</t>
  </si>
  <si>
    <t>Low</t>
  </si>
  <si>
    <t>High</t>
  </si>
  <si>
    <t>Medium Box</t>
  </si>
  <si>
    <t>Jumbo Box</t>
  </si>
  <si>
    <t>Small Pack</t>
  </si>
  <si>
    <t>Consumer</t>
  </si>
  <si>
    <t>Row ID</t>
  </si>
  <si>
    <t>Order ID</t>
  </si>
  <si>
    <t>Order Date</t>
  </si>
  <si>
    <t>Order Priority</t>
  </si>
  <si>
    <t>Order Quantity</t>
  </si>
  <si>
    <t>Sales</t>
  </si>
  <si>
    <t>Discount</t>
  </si>
  <si>
    <t>Product Base Margin</t>
  </si>
  <si>
    <t>Profit</t>
  </si>
  <si>
    <t>Unit Price</t>
  </si>
  <si>
    <t>Shipping Cost</t>
  </si>
  <si>
    <t>Ship Mode</t>
  </si>
  <si>
    <t>Customer Segment</t>
  </si>
  <si>
    <t>Product Category</t>
  </si>
  <si>
    <t>Product Container</t>
  </si>
  <si>
    <t>Ship Date</t>
  </si>
  <si>
    <t>India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</si>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</sst>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  <charset val="162"/>
    </font>
    <font>
      <b/>
      <sz val="12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0" xfId="0" quotePrefix="1" applyFont="1"/>
    <xf numFmtId="14" fontId="2" fillId="0" borderId="0" xfId="1" quotePrefix="1" applyNumberFormat="1" applyFont="1"/>
    <xf numFmtId="2" fontId="2" fillId="0" borderId="0" xfId="0" applyNumberFormat="1" applyFont="1"/>
    <xf numFmtId="0" fontId="2" fillId="0" borderId="0" xfId="1" applyNumberFormat="1" applyFont="1"/>
    <xf numFmtId="14" fontId="2" fillId="0" borderId="0" xfId="0" applyNumberFormat="1" applyFont="1"/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3" fillId="0" borderId="1" xfId="1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1"/>
  <sheetViews>
    <sheetView tabSelected="1" topLeftCell="E1" workbookViewId="0">
      <selection activeCell="J4" sqref="J4"/>
    </sheetView>
  </sheetViews>
  <sheetFormatPr defaultRowHeight="15.05" x14ac:dyDescent="0.3"/>
  <cols>
    <col min="3" max="3" width="10.77734375" bestFit="1" customWidth="1"/>
    <col min="4" max="4" width="11.88671875" bestFit="1" customWidth="1"/>
    <col min="5" max="5" width="9.77734375" customWidth="1"/>
    <col min="7" max="7" width="9.44140625" customWidth="1"/>
    <col min="8" max="9" width="8.88671875" customWidth="1"/>
    <col min="11" max="11" width="9.109375" customWidth="1"/>
    <col min="12" max="12" width="13.33203125" bestFit="1" customWidth="1"/>
    <col min="14" max="14" width="10" customWidth="1"/>
    <col min="15" max="15" width="9.6640625" customWidth="1"/>
    <col min="16" max="16" width="10.5546875" customWidth="1"/>
    <col min="17" max="17" width="10.77734375" bestFit="1" customWidth="1"/>
  </cols>
  <sheetData>
    <row r="1" spans="1:17" ht="55.5" customHeight="1" x14ac:dyDescent="0.3">
      <c r="A1" s="7" t="s">
        <v>22</v>
      </c>
      <c r="B1" s="7" t="s">
        <v>23</v>
      </c>
      <c r="C1" s="8" t="s">
        <v>24</v>
      </c>
      <c r="D1" s="8" t="s">
        <v>25</v>
      </c>
      <c r="E1" s="9" t="s">
        <v>26</v>
      </c>
      <c r="F1" s="8" t="s">
        <v>27</v>
      </c>
      <c r="G1" s="8" t="s">
        <v>28</v>
      </c>
      <c r="H1" s="9" t="s">
        <v>29</v>
      </c>
      <c r="I1" s="10" t="s">
        <v>30</v>
      </c>
      <c r="J1" s="11" t="s">
        <v>31</v>
      </c>
      <c r="K1" s="11" t="s">
        <v>32</v>
      </c>
      <c r="L1" s="8" t="s">
        <v>33</v>
      </c>
      <c r="M1" s="8" t="s">
        <v>39</v>
      </c>
      <c r="N1" s="8" t="s">
        <v>34</v>
      </c>
      <c r="O1" s="8" t="s">
        <v>35</v>
      </c>
      <c r="P1" s="8" t="s">
        <v>36</v>
      </c>
      <c r="Q1" s="8" t="s">
        <v>37</v>
      </c>
    </row>
    <row r="2" spans="1:17" ht="15.75" x14ac:dyDescent="0.3">
      <c r="A2" s="1">
        <v>6762</v>
      </c>
      <c r="B2" s="2">
        <v>48167</v>
      </c>
      <c r="C2" s="3">
        <f>DATE(2012,12,31)-1212</f>
        <v>40062</v>
      </c>
      <c r="D2" s="1" t="s">
        <v>0</v>
      </c>
      <c r="E2" s="2">
        <v>43</v>
      </c>
      <c r="F2" s="2">
        <v>5041.46</v>
      </c>
      <c r="G2" s="2">
        <v>0.06</v>
      </c>
      <c r="H2" s="2">
        <v>0.74</v>
      </c>
      <c r="I2" s="4">
        <v>-2136.66</v>
      </c>
      <c r="J2" s="5">
        <v>122.99</v>
      </c>
      <c r="K2" s="5">
        <v>70.2</v>
      </c>
      <c r="L2" s="1" t="s">
        <v>1</v>
      </c>
      <c r="M2" s="1" t="s">
        <v>38</v>
      </c>
      <c r="N2" s="1" t="s">
        <v>2</v>
      </c>
      <c r="O2" s="1" t="s">
        <v>3</v>
      </c>
      <c r="P2" s="1" t="s">
        <v>4</v>
      </c>
      <c r="Q2" s="6">
        <f>C2+3</f>
        <v>40065</v>
      </c>
    </row>
    <row r="3" spans="1:17" ht="15.75" x14ac:dyDescent="0.3">
      <c r="A3" s="1">
        <v>6763</v>
      </c>
      <c r="B3" s="2">
        <v>48167</v>
      </c>
      <c r="C3" s="3">
        <f>DATE(2012,12,31)-1212</f>
        <v>40062</v>
      </c>
      <c r="D3" s="1" t="s">
        <v>0</v>
      </c>
      <c r="E3" s="2">
        <v>45</v>
      </c>
      <c r="F3" s="2">
        <v>282.98</v>
      </c>
      <c r="G3" s="2">
        <v>0.06</v>
      </c>
      <c r="H3" s="2">
        <v>0.37</v>
      </c>
      <c r="I3" s="4">
        <v>-237.47</v>
      </c>
      <c r="J3" s="5">
        <v>6.48</v>
      </c>
      <c r="K3" s="5">
        <v>8.8800000000000008</v>
      </c>
      <c r="L3" s="1" t="s">
        <v>5</v>
      </c>
      <c r="M3" s="1" t="s">
        <v>38</v>
      </c>
      <c r="N3" s="1" t="s">
        <v>2</v>
      </c>
      <c r="O3" s="1" t="s">
        <v>6</v>
      </c>
      <c r="P3" s="1" t="s">
        <v>7</v>
      </c>
      <c r="Q3" s="6">
        <f>C3+1</f>
        <v>40063</v>
      </c>
    </row>
    <row r="4" spans="1:17" ht="15.75" x14ac:dyDescent="0.3">
      <c r="A4" s="1">
        <v>6764</v>
      </c>
      <c r="B4" s="2">
        <v>48167</v>
      </c>
      <c r="C4" s="3">
        <f>DATE(2012,12,31)-1212</f>
        <v>40062</v>
      </c>
      <c r="D4" s="1" t="s">
        <v>0</v>
      </c>
      <c r="E4" s="2">
        <v>27</v>
      </c>
      <c r="F4" s="2">
        <v>8817.7099999999991</v>
      </c>
      <c r="G4" s="2">
        <v>0.09</v>
      </c>
      <c r="H4" s="2"/>
      <c r="I4" s="4">
        <v>-2946.0509999999999</v>
      </c>
      <c r="J4" s="5">
        <v>349.45</v>
      </c>
      <c r="K4" s="5">
        <v>60</v>
      </c>
      <c r="L4" s="1" t="s">
        <v>1</v>
      </c>
      <c r="M4" s="1" t="s">
        <v>38</v>
      </c>
      <c r="N4" s="1" t="s">
        <v>2</v>
      </c>
      <c r="O4" s="1" t="s">
        <v>3</v>
      </c>
      <c r="P4" s="1" t="s">
        <v>4</v>
      </c>
      <c r="Q4" s="6">
        <f>C4+1</f>
        <v>40063</v>
      </c>
    </row>
    <row r="5" spans="1:17" ht="15.75" x14ac:dyDescent="0.3">
      <c r="A5" s="1">
        <v>6774</v>
      </c>
      <c r="B5" s="2">
        <v>48230</v>
      </c>
      <c r="C5" s="3">
        <f>DATE(2012,12,31)-1405</f>
        <v>39869</v>
      </c>
      <c r="D5" s="1" t="s">
        <v>8</v>
      </c>
      <c r="E5" s="2">
        <v>39</v>
      </c>
      <c r="F5" s="2">
        <v>1140.26</v>
      </c>
      <c r="G5" s="2">
        <v>0.04</v>
      </c>
      <c r="H5" s="2">
        <v>0.42</v>
      </c>
      <c r="I5" s="4">
        <v>387.2</v>
      </c>
      <c r="J5" s="5">
        <v>29.18</v>
      </c>
      <c r="K5" s="5">
        <v>8.5500000000000007</v>
      </c>
      <c r="L5" s="1" t="s">
        <v>9</v>
      </c>
      <c r="M5" s="1" t="s">
        <v>38</v>
      </c>
      <c r="N5" s="1" t="s">
        <v>2</v>
      </c>
      <c r="O5" s="1" t="s">
        <v>3</v>
      </c>
      <c r="P5" s="1" t="s">
        <v>7</v>
      </c>
      <c r="Q5" s="6">
        <f>C5+2</f>
        <v>39871</v>
      </c>
    </row>
    <row r="6" spans="1:17" ht="15.75" x14ac:dyDescent="0.3">
      <c r="A6" s="1">
        <v>6775</v>
      </c>
      <c r="B6" s="2">
        <v>48230</v>
      </c>
      <c r="C6" s="3">
        <f>DATE(2012,12,31)-1405</f>
        <v>39869</v>
      </c>
      <c r="D6" s="1" t="s">
        <v>8</v>
      </c>
      <c r="E6" s="2">
        <v>31</v>
      </c>
      <c r="F6" s="2">
        <v>2645.8</v>
      </c>
      <c r="G6" s="2">
        <v>0</v>
      </c>
      <c r="H6" s="2">
        <v>0.83</v>
      </c>
      <c r="I6" s="4">
        <v>-684.78</v>
      </c>
      <c r="J6" s="5">
        <v>80.98</v>
      </c>
      <c r="K6" s="5">
        <v>35</v>
      </c>
      <c r="L6" s="1" t="s">
        <v>5</v>
      </c>
      <c r="M6" s="1" t="s">
        <v>38</v>
      </c>
      <c r="N6" s="1" t="s">
        <v>2</v>
      </c>
      <c r="O6" s="1" t="s">
        <v>6</v>
      </c>
      <c r="P6" s="1" t="s">
        <v>10</v>
      </c>
      <c r="Q6" s="6">
        <f>C6+2</f>
        <v>39871</v>
      </c>
    </row>
    <row r="7" spans="1:17" ht="15.75" x14ac:dyDescent="0.3">
      <c r="A7" s="1">
        <v>6806</v>
      </c>
      <c r="B7" s="2">
        <v>48480</v>
      </c>
      <c r="C7" s="3">
        <f>DATE(2012,12,31)-1094</f>
        <v>40180</v>
      </c>
      <c r="D7" s="1" t="s">
        <v>0</v>
      </c>
      <c r="E7" s="2">
        <v>32</v>
      </c>
      <c r="F7" s="2">
        <v>11103.75</v>
      </c>
      <c r="G7" s="2">
        <v>0.1</v>
      </c>
      <c r="H7" s="2">
        <v>0.65</v>
      </c>
      <c r="I7" s="4">
        <v>-522.59</v>
      </c>
      <c r="J7" s="5">
        <v>370.98</v>
      </c>
      <c r="K7" s="5">
        <v>99</v>
      </c>
      <c r="L7" s="1" t="s">
        <v>1</v>
      </c>
      <c r="M7" s="1" t="s">
        <v>38</v>
      </c>
      <c r="N7" s="1" t="s">
        <v>2</v>
      </c>
      <c r="O7" s="1" t="s">
        <v>6</v>
      </c>
      <c r="P7" s="1" t="s">
        <v>4</v>
      </c>
      <c r="Q7" s="6">
        <f>C7+3</f>
        <v>40183</v>
      </c>
    </row>
    <row r="8" spans="1:17" ht="15.75" x14ac:dyDescent="0.3">
      <c r="A8" s="1">
        <v>6825</v>
      </c>
      <c r="B8" s="2">
        <v>48614</v>
      </c>
      <c r="C8" s="3">
        <f>DATE(2012,12,31)-214</f>
        <v>41060</v>
      </c>
      <c r="D8" s="1" t="s">
        <v>0</v>
      </c>
      <c r="E8" s="2">
        <v>46</v>
      </c>
      <c r="F8" s="2">
        <v>7965.9024999999992</v>
      </c>
      <c r="G8" s="2">
        <v>0.01</v>
      </c>
      <c r="H8" s="2">
        <v>0.6</v>
      </c>
      <c r="I8" s="4">
        <v>2311.9560000000001</v>
      </c>
      <c r="J8" s="5">
        <v>195.99</v>
      </c>
      <c r="K8" s="5">
        <v>8.99</v>
      </c>
      <c r="L8" s="1" t="s">
        <v>5</v>
      </c>
      <c r="M8" s="1" t="s">
        <v>38</v>
      </c>
      <c r="N8" s="1" t="s">
        <v>2</v>
      </c>
      <c r="O8" s="1" t="s">
        <v>11</v>
      </c>
      <c r="P8" s="1" t="s">
        <v>7</v>
      </c>
      <c r="Q8" s="6">
        <f>C8+0</f>
        <v>41060</v>
      </c>
    </row>
    <row r="9" spans="1:17" ht="15.75" x14ac:dyDescent="0.3">
      <c r="A9" s="1">
        <v>6844</v>
      </c>
      <c r="B9" s="2">
        <v>48772</v>
      </c>
      <c r="C9" s="3">
        <f>DATE(2012,12,31)-1329</f>
        <v>39945</v>
      </c>
      <c r="D9" s="1" t="s">
        <v>12</v>
      </c>
      <c r="E9" s="2">
        <v>44</v>
      </c>
      <c r="F9" s="2">
        <v>3202.25</v>
      </c>
      <c r="G9" s="2">
        <v>0.09</v>
      </c>
      <c r="H9" s="2">
        <v>0.43</v>
      </c>
      <c r="I9" s="4">
        <v>991.26</v>
      </c>
      <c r="J9" s="5">
        <v>78.69</v>
      </c>
      <c r="K9" s="5">
        <v>19.989999999999998</v>
      </c>
      <c r="L9" s="1" t="s">
        <v>5</v>
      </c>
      <c r="M9" s="1" t="s">
        <v>38</v>
      </c>
      <c r="N9" s="1" t="s">
        <v>13</v>
      </c>
      <c r="O9" s="1" t="s">
        <v>3</v>
      </c>
      <c r="P9" s="1" t="s">
        <v>7</v>
      </c>
      <c r="Q9" s="6">
        <f>C9+2</f>
        <v>39947</v>
      </c>
    </row>
    <row r="10" spans="1:17" ht="15.75" x14ac:dyDescent="0.3">
      <c r="A10" s="1">
        <v>6845</v>
      </c>
      <c r="B10" s="2">
        <v>48772</v>
      </c>
      <c r="C10" s="3">
        <f>DATE(2012,12,31)-1329</f>
        <v>39945</v>
      </c>
      <c r="D10" s="1" t="s">
        <v>12</v>
      </c>
      <c r="E10" s="2">
        <v>11</v>
      </c>
      <c r="F10" s="2">
        <v>81.25</v>
      </c>
      <c r="G10" s="2">
        <v>0.01</v>
      </c>
      <c r="H10" s="2">
        <v>0.37</v>
      </c>
      <c r="I10" s="4">
        <v>-44.54</v>
      </c>
      <c r="J10" s="5">
        <v>6.48</v>
      </c>
      <c r="K10" s="5">
        <v>7.86</v>
      </c>
      <c r="L10" s="1" t="s">
        <v>5</v>
      </c>
      <c r="M10" s="1" t="s">
        <v>38</v>
      </c>
      <c r="N10" s="1" t="s">
        <v>13</v>
      </c>
      <c r="O10" s="1" t="s">
        <v>6</v>
      </c>
      <c r="P10" s="1" t="s">
        <v>7</v>
      </c>
      <c r="Q10" s="6">
        <f>C10+1</f>
        <v>39946</v>
      </c>
    </row>
    <row r="11" spans="1:17" ht="15.75" x14ac:dyDescent="0.3">
      <c r="A11" s="1">
        <v>6846</v>
      </c>
      <c r="B11" s="2">
        <v>48772</v>
      </c>
      <c r="C11" s="3">
        <f>DATE(2012,12,31)-1329</f>
        <v>39945</v>
      </c>
      <c r="D11" s="1" t="s">
        <v>12</v>
      </c>
      <c r="E11" s="2">
        <v>18</v>
      </c>
      <c r="F11" s="2">
        <v>57.17</v>
      </c>
      <c r="G11" s="2">
        <v>0.08</v>
      </c>
      <c r="H11" s="2">
        <v>0.56000000000000005</v>
      </c>
      <c r="I11" s="4">
        <v>-24.03</v>
      </c>
      <c r="J11" s="5">
        <v>3.28</v>
      </c>
      <c r="K11" s="5">
        <v>2.31</v>
      </c>
      <c r="L11" s="1" t="s">
        <v>5</v>
      </c>
      <c r="M11" s="1" t="s">
        <v>38</v>
      </c>
      <c r="N11" s="1" t="s">
        <v>13</v>
      </c>
      <c r="O11" s="1" t="s">
        <v>6</v>
      </c>
      <c r="P11" s="1" t="s">
        <v>14</v>
      </c>
      <c r="Q11" s="6">
        <f>C11+1</f>
        <v>39946</v>
      </c>
    </row>
    <row r="12" spans="1:17" ht="15.75" x14ac:dyDescent="0.3">
      <c r="A12" s="1">
        <v>6847</v>
      </c>
      <c r="B12" s="2">
        <v>48772</v>
      </c>
      <c r="C12" s="3">
        <f>DATE(2012,12,31)-1329</f>
        <v>39945</v>
      </c>
      <c r="D12" s="1" t="s">
        <v>12</v>
      </c>
      <c r="E12" s="2">
        <v>12</v>
      </c>
      <c r="F12" s="2">
        <v>41.97</v>
      </c>
      <c r="G12" s="2">
        <v>0.05</v>
      </c>
      <c r="H12" s="2">
        <v>0.56000000000000005</v>
      </c>
      <c r="I12" s="4">
        <v>-37.03</v>
      </c>
      <c r="J12" s="5">
        <v>3.28</v>
      </c>
      <c r="K12" s="5">
        <v>4.2</v>
      </c>
      <c r="L12" s="1" t="s">
        <v>5</v>
      </c>
      <c r="M12" s="1" t="s">
        <v>38</v>
      </c>
      <c r="N12" s="1" t="s">
        <v>13</v>
      </c>
      <c r="O12" s="1" t="s">
        <v>6</v>
      </c>
      <c r="P12" s="1" t="s">
        <v>14</v>
      </c>
      <c r="Q12" s="6">
        <f>C12+1</f>
        <v>39946</v>
      </c>
    </row>
    <row r="13" spans="1:17" ht="15.75" x14ac:dyDescent="0.3">
      <c r="A13" s="1">
        <v>6848</v>
      </c>
      <c r="B13" s="2">
        <v>48772</v>
      </c>
      <c r="C13" s="3">
        <f>DATE(2012,12,31)-1329</f>
        <v>39945</v>
      </c>
      <c r="D13" s="1" t="s">
        <v>12</v>
      </c>
      <c r="E13" s="2">
        <v>10</v>
      </c>
      <c r="F13" s="2">
        <v>35.64</v>
      </c>
      <c r="G13" s="2">
        <v>0.05</v>
      </c>
      <c r="H13" s="2">
        <v>0.36</v>
      </c>
      <c r="I13" s="4">
        <v>-0.71</v>
      </c>
      <c r="J13" s="5">
        <v>3.58</v>
      </c>
      <c r="K13" s="5">
        <v>1.63</v>
      </c>
      <c r="L13" s="1" t="s">
        <v>5</v>
      </c>
      <c r="M13" s="1" t="s">
        <v>38</v>
      </c>
      <c r="N13" s="1" t="s">
        <v>13</v>
      </c>
      <c r="O13" s="1" t="s">
        <v>6</v>
      </c>
      <c r="P13" s="1" t="s">
        <v>14</v>
      </c>
      <c r="Q13" s="6">
        <f>C13+1</f>
        <v>39946</v>
      </c>
    </row>
    <row r="14" spans="1:17" ht="15.75" x14ac:dyDescent="0.3">
      <c r="A14" s="1">
        <v>6852</v>
      </c>
      <c r="B14" s="2">
        <v>48800</v>
      </c>
      <c r="C14" s="3">
        <f>DATE(2012,12,31)-801</f>
        <v>40473</v>
      </c>
      <c r="D14" s="1" t="s">
        <v>8</v>
      </c>
      <c r="E14" s="2">
        <v>8</v>
      </c>
      <c r="F14" s="2">
        <v>28761.52</v>
      </c>
      <c r="G14" s="2">
        <v>0.04</v>
      </c>
      <c r="H14" s="2">
        <v>0.37</v>
      </c>
      <c r="I14" s="4">
        <v>285.11300000000028</v>
      </c>
      <c r="J14" s="5">
        <v>3499.99</v>
      </c>
      <c r="K14" s="5">
        <v>24.49</v>
      </c>
      <c r="L14" s="1" t="s">
        <v>5</v>
      </c>
      <c r="M14" s="1" t="s">
        <v>38</v>
      </c>
      <c r="N14" s="1" t="s">
        <v>15</v>
      </c>
      <c r="O14" s="1" t="s">
        <v>11</v>
      </c>
      <c r="P14" s="1" t="s">
        <v>10</v>
      </c>
      <c r="Q14" s="6">
        <f>C14+1</f>
        <v>40474</v>
      </c>
    </row>
    <row r="15" spans="1:17" ht="15.75" x14ac:dyDescent="0.3">
      <c r="A15" s="1">
        <v>6867</v>
      </c>
      <c r="B15" s="2">
        <v>48931</v>
      </c>
      <c r="C15" s="3">
        <f>DATE(2012,12,31)-1293</f>
        <v>39981</v>
      </c>
      <c r="D15" s="1" t="s">
        <v>16</v>
      </c>
      <c r="E15" s="2">
        <v>33</v>
      </c>
      <c r="F15" s="2">
        <v>750.66</v>
      </c>
      <c r="G15" s="2">
        <v>0</v>
      </c>
      <c r="H15" s="2">
        <v>0.6</v>
      </c>
      <c r="I15" s="4">
        <v>120.05</v>
      </c>
      <c r="J15" s="5">
        <v>20.95</v>
      </c>
      <c r="K15" s="5">
        <v>4</v>
      </c>
      <c r="L15" s="1" t="s">
        <v>5</v>
      </c>
      <c r="M15" s="1" t="s">
        <v>38</v>
      </c>
      <c r="N15" s="1" t="s">
        <v>2</v>
      </c>
      <c r="O15" s="1" t="s">
        <v>11</v>
      </c>
      <c r="P15" s="1" t="s">
        <v>7</v>
      </c>
      <c r="Q15" s="6">
        <f>C15+7</f>
        <v>39988</v>
      </c>
    </row>
    <row r="16" spans="1:17" ht="15.75" x14ac:dyDescent="0.3">
      <c r="A16" s="1">
        <v>6868</v>
      </c>
      <c r="B16" s="2">
        <v>48931</v>
      </c>
      <c r="C16" s="3">
        <f>DATE(2012,12,31)-1293</f>
        <v>39981</v>
      </c>
      <c r="D16" s="1" t="s">
        <v>16</v>
      </c>
      <c r="E16" s="2">
        <v>8</v>
      </c>
      <c r="F16" s="2">
        <v>254.32</v>
      </c>
      <c r="G16" s="2">
        <v>0.01</v>
      </c>
      <c r="H16" s="2">
        <v>0.79</v>
      </c>
      <c r="I16" s="4">
        <v>-117.39</v>
      </c>
      <c r="J16" s="5">
        <v>30.98</v>
      </c>
      <c r="K16" s="5">
        <v>6.5</v>
      </c>
      <c r="L16" s="1" t="s">
        <v>5</v>
      </c>
      <c r="M16" s="1" t="s">
        <v>38</v>
      </c>
      <c r="N16" s="1" t="s">
        <v>2</v>
      </c>
      <c r="O16" s="1" t="s">
        <v>11</v>
      </c>
      <c r="P16" s="1" t="s">
        <v>7</v>
      </c>
      <c r="Q16" s="6">
        <f>C16+2</f>
        <v>39983</v>
      </c>
    </row>
    <row r="17" spans="1:17" ht="15.75" x14ac:dyDescent="0.3">
      <c r="A17" s="1">
        <v>6869</v>
      </c>
      <c r="B17" s="2">
        <v>48931</v>
      </c>
      <c r="C17" s="3">
        <f>DATE(2012,12,31)-1293</f>
        <v>39981</v>
      </c>
      <c r="D17" s="1" t="s">
        <v>16</v>
      </c>
      <c r="E17" s="2">
        <v>42</v>
      </c>
      <c r="F17" s="2">
        <v>2149.37</v>
      </c>
      <c r="G17" s="2">
        <v>0.03</v>
      </c>
      <c r="H17" s="2">
        <v>0.55000000000000004</v>
      </c>
      <c r="I17" s="4">
        <v>217.87</v>
      </c>
      <c r="J17" s="5">
        <v>51.75</v>
      </c>
      <c r="K17" s="5">
        <v>19.989999999999998</v>
      </c>
      <c r="L17" s="1" t="s">
        <v>5</v>
      </c>
      <c r="M17" s="1" t="s">
        <v>38</v>
      </c>
      <c r="N17" s="1" t="s">
        <v>2</v>
      </c>
      <c r="O17" s="1" t="s">
        <v>3</v>
      </c>
      <c r="P17" s="1" t="s">
        <v>7</v>
      </c>
      <c r="Q17" s="6">
        <f>C17+5</f>
        <v>39986</v>
      </c>
    </row>
    <row r="18" spans="1:17" ht="15.75" x14ac:dyDescent="0.3">
      <c r="A18" s="1">
        <v>6892</v>
      </c>
      <c r="B18" s="2">
        <v>49126</v>
      </c>
      <c r="C18" s="3">
        <f>DATE(2012,12,31)-540</f>
        <v>40734</v>
      </c>
      <c r="D18" s="1" t="s">
        <v>16</v>
      </c>
      <c r="E18" s="2">
        <v>33</v>
      </c>
      <c r="F18" s="2">
        <v>5661.08</v>
      </c>
      <c r="G18" s="2">
        <v>0</v>
      </c>
      <c r="H18" s="2">
        <v>0.62</v>
      </c>
      <c r="I18" s="4">
        <v>1055.47</v>
      </c>
      <c r="J18" s="5">
        <v>160.97999999999999</v>
      </c>
      <c r="K18" s="5">
        <v>30</v>
      </c>
      <c r="L18" s="1" t="s">
        <v>1</v>
      </c>
      <c r="M18" s="1" t="s">
        <v>38</v>
      </c>
      <c r="N18" s="1" t="s">
        <v>2</v>
      </c>
      <c r="O18" s="1" t="s">
        <v>3</v>
      </c>
      <c r="P18" s="1" t="s">
        <v>4</v>
      </c>
      <c r="Q18" s="6">
        <f>C18+7</f>
        <v>40741</v>
      </c>
    </row>
    <row r="19" spans="1:17" ht="15.75" x14ac:dyDescent="0.3">
      <c r="A19" s="1">
        <v>6908</v>
      </c>
      <c r="B19" s="2">
        <v>49283</v>
      </c>
      <c r="C19" s="3">
        <f>DATE(2012,12,31)-1116</f>
        <v>40158</v>
      </c>
      <c r="D19" s="1" t="s">
        <v>17</v>
      </c>
      <c r="E19" s="2">
        <v>25</v>
      </c>
      <c r="F19" s="2">
        <v>334.71</v>
      </c>
      <c r="G19" s="2">
        <v>0.01</v>
      </c>
      <c r="H19" s="2">
        <v>0.38</v>
      </c>
      <c r="I19" s="4">
        <v>31.74</v>
      </c>
      <c r="J19" s="5">
        <v>12.28</v>
      </c>
      <c r="K19" s="5">
        <v>6.47</v>
      </c>
      <c r="L19" s="1" t="s">
        <v>5</v>
      </c>
      <c r="M19" s="1" t="s">
        <v>38</v>
      </c>
      <c r="N19" s="1" t="s">
        <v>15</v>
      </c>
      <c r="O19" s="1" t="s">
        <v>6</v>
      </c>
      <c r="P19" s="1" t="s">
        <v>7</v>
      </c>
      <c r="Q19" s="6">
        <f>C19+1</f>
        <v>40159</v>
      </c>
    </row>
    <row r="20" spans="1:17" ht="15.75" x14ac:dyDescent="0.3">
      <c r="A20" s="1">
        <v>6927</v>
      </c>
      <c r="B20" s="2">
        <v>49441</v>
      </c>
      <c r="C20" s="3">
        <f>DATE(2012,12,31)-1191</f>
        <v>40083</v>
      </c>
      <c r="D20" s="1" t="s">
        <v>12</v>
      </c>
      <c r="E20" s="2">
        <v>49</v>
      </c>
      <c r="F20" s="2">
        <v>1981.26</v>
      </c>
      <c r="G20" s="2">
        <v>7.0000000000000007E-2</v>
      </c>
      <c r="H20" s="2">
        <v>0.76</v>
      </c>
      <c r="I20" s="4">
        <v>100.8</v>
      </c>
      <c r="J20" s="5">
        <v>41.32</v>
      </c>
      <c r="K20" s="5">
        <v>8.66</v>
      </c>
      <c r="L20" s="1" t="s">
        <v>9</v>
      </c>
      <c r="M20" s="1" t="s">
        <v>38</v>
      </c>
      <c r="N20" s="1" t="s">
        <v>15</v>
      </c>
      <c r="O20" s="1" t="s">
        <v>3</v>
      </c>
      <c r="P20" s="1" t="s">
        <v>18</v>
      </c>
      <c r="Q20" s="6">
        <f>C20+1</f>
        <v>40084</v>
      </c>
    </row>
    <row r="21" spans="1:17" ht="15.75" x14ac:dyDescent="0.3">
      <c r="A21" s="1">
        <v>6944</v>
      </c>
      <c r="B21" s="2">
        <v>49601</v>
      </c>
      <c r="C21" s="3">
        <f>DATE(2012,12,31)-705</f>
        <v>40569</v>
      </c>
      <c r="D21" s="1" t="s">
        <v>16</v>
      </c>
      <c r="E21" s="2">
        <v>15</v>
      </c>
      <c r="F21" s="2">
        <v>1756.46</v>
      </c>
      <c r="G21" s="2">
        <v>0.01</v>
      </c>
      <c r="H21" s="2">
        <v>0.69</v>
      </c>
      <c r="I21" s="4">
        <v>-101.19</v>
      </c>
      <c r="J21" s="5">
        <v>113.98</v>
      </c>
      <c r="K21" s="5">
        <v>30</v>
      </c>
      <c r="L21" s="1" t="s">
        <v>1</v>
      </c>
      <c r="M21" s="1" t="s">
        <v>38</v>
      </c>
      <c r="N21" s="1" t="s">
        <v>15</v>
      </c>
      <c r="O21" s="1" t="s">
        <v>3</v>
      </c>
      <c r="P21" s="1" t="s">
        <v>4</v>
      </c>
      <c r="Q21" s="6">
        <f>C21+7</f>
        <v>40576</v>
      </c>
    </row>
    <row r="22" spans="1:17" ht="15.75" x14ac:dyDescent="0.3">
      <c r="A22" s="1">
        <v>6960</v>
      </c>
      <c r="B22" s="2">
        <v>49763</v>
      </c>
      <c r="C22" s="3">
        <f>DATE(2012,12,31)-687</f>
        <v>40587</v>
      </c>
      <c r="D22" s="1" t="s">
        <v>0</v>
      </c>
      <c r="E22" s="2">
        <v>8</v>
      </c>
      <c r="F22" s="2">
        <v>49.04</v>
      </c>
      <c r="G22" s="2">
        <v>0.02</v>
      </c>
      <c r="H22" s="2">
        <v>0.38</v>
      </c>
      <c r="I22" s="4">
        <v>9.2899999999999991</v>
      </c>
      <c r="J22" s="5">
        <v>5.68</v>
      </c>
      <c r="K22" s="5">
        <v>1.39</v>
      </c>
      <c r="L22" s="1" t="s">
        <v>5</v>
      </c>
      <c r="M22" s="1" t="s">
        <v>38</v>
      </c>
      <c r="N22" s="1" t="s">
        <v>2</v>
      </c>
      <c r="O22" s="1" t="s">
        <v>6</v>
      </c>
      <c r="P22" s="1" t="s">
        <v>7</v>
      </c>
      <c r="Q22" s="6">
        <f>C22+1</f>
        <v>40588</v>
      </c>
    </row>
    <row r="23" spans="1:17" ht="15.75" x14ac:dyDescent="0.3">
      <c r="A23" s="1">
        <v>6961</v>
      </c>
      <c r="B23" s="2">
        <v>49763</v>
      </c>
      <c r="C23" s="3">
        <f>DATE(2012,12,31)-687</f>
        <v>40587</v>
      </c>
      <c r="D23" s="1" t="s">
        <v>0</v>
      </c>
      <c r="E23" s="2">
        <v>6</v>
      </c>
      <c r="F23" s="2">
        <v>2320.35</v>
      </c>
      <c r="G23" s="2">
        <v>0</v>
      </c>
      <c r="H23" s="2">
        <v>0.66</v>
      </c>
      <c r="I23" s="4">
        <v>-237.61799999999999</v>
      </c>
      <c r="J23" s="5">
        <v>348.21</v>
      </c>
      <c r="K23" s="5">
        <v>84.84</v>
      </c>
      <c r="L23" s="1" t="s">
        <v>1</v>
      </c>
      <c r="M23" s="1" t="s">
        <v>38</v>
      </c>
      <c r="N23" s="1" t="s">
        <v>2</v>
      </c>
      <c r="O23" s="1" t="s">
        <v>3</v>
      </c>
      <c r="P23" s="1" t="s">
        <v>19</v>
      </c>
      <c r="Q23" s="6">
        <f>C23+0</f>
        <v>40587</v>
      </c>
    </row>
    <row r="24" spans="1:17" ht="15.75" x14ac:dyDescent="0.3">
      <c r="A24" s="1">
        <v>6988</v>
      </c>
      <c r="B24" s="2">
        <v>49927</v>
      </c>
      <c r="C24" s="3">
        <f>DATE(2012,12,31)-164</f>
        <v>41110</v>
      </c>
      <c r="D24" s="1" t="s">
        <v>8</v>
      </c>
      <c r="E24" s="2">
        <v>26</v>
      </c>
      <c r="F24" s="2">
        <v>139.54</v>
      </c>
      <c r="G24" s="2">
        <v>0.01</v>
      </c>
      <c r="H24" s="2">
        <v>0.37</v>
      </c>
      <c r="I24" s="4">
        <v>-54.084499999999998</v>
      </c>
      <c r="J24" s="5">
        <v>4.9800000000000004</v>
      </c>
      <c r="K24" s="5">
        <v>4.95</v>
      </c>
      <c r="L24" s="1" t="s">
        <v>5</v>
      </c>
      <c r="M24" s="1" t="s">
        <v>38</v>
      </c>
      <c r="N24" s="1" t="s">
        <v>15</v>
      </c>
      <c r="O24" s="1" t="s">
        <v>6</v>
      </c>
      <c r="P24" s="1" t="s">
        <v>7</v>
      </c>
      <c r="Q24" s="6">
        <f>C24+0</f>
        <v>41110</v>
      </c>
    </row>
    <row r="25" spans="1:17" ht="15.75" x14ac:dyDescent="0.3">
      <c r="A25" s="1">
        <v>6989</v>
      </c>
      <c r="B25" s="2">
        <v>49927</v>
      </c>
      <c r="C25" s="3">
        <f>DATE(2012,12,31)-164</f>
        <v>41110</v>
      </c>
      <c r="D25" s="1" t="s">
        <v>8</v>
      </c>
      <c r="E25" s="2">
        <v>28</v>
      </c>
      <c r="F25" s="2">
        <v>199.52</v>
      </c>
      <c r="G25" s="2">
        <v>0.08</v>
      </c>
      <c r="H25" s="2">
        <v>0.42</v>
      </c>
      <c r="I25" s="4">
        <v>13.44</v>
      </c>
      <c r="J25" s="5">
        <v>7.59</v>
      </c>
      <c r="K25" s="5">
        <v>4</v>
      </c>
      <c r="L25" s="1" t="s">
        <v>5</v>
      </c>
      <c r="M25" s="1" t="s">
        <v>38</v>
      </c>
      <c r="N25" s="1" t="s">
        <v>15</v>
      </c>
      <c r="O25" s="1" t="s">
        <v>3</v>
      </c>
      <c r="P25" s="1" t="s">
        <v>14</v>
      </c>
      <c r="Q25" s="6">
        <f>C25+2</f>
        <v>41112</v>
      </c>
    </row>
    <row r="26" spans="1:17" ht="15.75" x14ac:dyDescent="0.3">
      <c r="A26" s="1">
        <v>6990</v>
      </c>
      <c r="B26" s="2">
        <v>49927</v>
      </c>
      <c r="C26" s="3">
        <f>DATE(2012,12,31)-164</f>
        <v>41110</v>
      </c>
      <c r="D26" s="1" t="s">
        <v>8</v>
      </c>
      <c r="E26" s="2">
        <v>39</v>
      </c>
      <c r="F26" s="2">
        <v>85.66</v>
      </c>
      <c r="G26" s="2">
        <v>0.04</v>
      </c>
      <c r="H26" s="2">
        <v>0.52</v>
      </c>
      <c r="I26" s="4">
        <v>6.67</v>
      </c>
      <c r="J26" s="5">
        <v>2.1800000000000002</v>
      </c>
      <c r="K26" s="5">
        <v>0.78</v>
      </c>
      <c r="L26" s="1" t="s">
        <v>5</v>
      </c>
      <c r="M26" s="1" t="s">
        <v>38</v>
      </c>
      <c r="N26" s="1" t="s">
        <v>15</v>
      </c>
      <c r="O26" s="1" t="s">
        <v>6</v>
      </c>
      <c r="P26" s="1" t="s">
        <v>14</v>
      </c>
      <c r="Q26" s="6">
        <f>C26+1</f>
        <v>41111</v>
      </c>
    </row>
    <row r="27" spans="1:17" ht="15.75" x14ac:dyDescent="0.3">
      <c r="A27" s="1">
        <v>7009</v>
      </c>
      <c r="B27" s="2">
        <v>50048</v>
      </c>
      <c r="C27" s="3">
        <f>DATE(2012,12,31)-1078</f>
        <v>40196</v>
      </c>
      <c r="D27" s="1" t="s">
        <v>17</v>
      </c>
      <c r="E27" s="2">
        <v>14</v>
      </c>
      <c r="F27" s="2">
        <v>35.479999999999997</v>
      </c>
      <c r="G27" s="2">
        <v>0.09</v>
      </c>
      <c r="H27" s="2">
        <v>0.59</v>
      </c>
      <c r="I27" s="4">
        <v>-9.19</v>
      </c>
      <c r="J27" s="5">
        <v>2.58</v>
      </c>
      <c r="K27" s="5">
        <v>1.3</v>
      </c>
      <c r="L27" s="1" t="s">
        <v>5</v>
      </c>
      <c r="M27" s="1" t="s">
        <v>38</v>
      </c>
      <c r="N27" s="1" t="s">
        <v>2</v>
      </c>
      <c r="O27" s="1" t="s">
        <v>6</v>
      </c>
      <c r="P27" s="1" t="s">
        <v>14</v>
      </c>
      <c r="Q27" s="6">
        <f>C27+2</f>
        <v>40198</v>
      </c>
    </row>
    <row r="28" spans="1:17" ht="15.75" x14ac:dyDescent="0.3">
      <c r="A28" s="1">
        <v>7010</v>
      </c>
      <c r="B28" s="2">
        <v>50048</v>
      </c>
      <c r="C28" s="3">
        <f>DATE(2012,12,31)-1078</f>
        <v>40196</v>
      </c>
      <c r="D28" s="1" t="s">
        <v>17</v>
      </c>
      <c r="E28" s="2">
        <v>1</v>
      </c>
      <c r="F28" s="2">
        <v>15</v>
      </c>
      <c r="G28" s="2">
        <v>0.05</v>
      </c>
      <c r="H28" s="2">
        <v>0.57999999999999996</v>
      </c>
      <c r="I28" s="4">
        <v>-11.02</v>
      </c>
      <c r="J28" s="5">
        <v>6.84</v>
      </c>
      <c r="K28" s="5">
        <v>8.3699999999999992</v>
      </c>
      <c r="L28" s="1" t="s">
        <v>5</v>
      </c>
      <c r="M28" s="1" t="s">
        <v>38</v>
      </c>
      <c r="N28" s="1" t="s">
        <v>2</v>
      </c>
      <c r="O28" s="1" t="s">
        <v>6</v>
      </c>
      <c r="P28" s="1" t="s">
        <v>20</v>
      </c>
      <c r="Q28" s="6">
        <f>C28+2</f>
        <v>40198</v>
      </c>
    </row>
    <row r="29" spans="1:17" ht="15.75" x14ac:dyDescent="0.3">
      <c r="A29" s="1">
        <v>7075</v>
      </c>
      <c r="B29" s="2">
        <v>50499</v>
      </c>
      <c r="C29" s="3">
        <f>DATE(2012,12,31)-446</f>
        <v>40828</v>
      </c>
      <c r="D29" s="1" t="s">
        <v>8</v>
      </c>
      <c r="E29" s="2">
        <v>18</v>
      </c>
      <c r="F29" s="2">
        <v>1758.41</v>
      </c>
      <c r="G29" s="2">
        <v>0.06</v>
      </c>
      <c r="H29" s="2">
        <v>0.56999999999999995</v>
      </c>
      <c r="I29" s="4">
        <v>238.52</v>
      </c>
      <c r="J29" s="5">
        <v>100.98</v>
      </c>
      <c r="K29" s="5">
        <v>15.66</v>
      </c>
      <c r="L29" s="1" t="s">
        <v>1</v>
      </c>
      <c r="M29" s="1" t="s">
        <v>38</v>
      </c>
      <c r="N29" s="1" t="s">
        <v>13</v>
      </c>
      <c r="O29" s="1" t="s">
        <v>6</v>
      </c>
      <c r="P29" s="1" t="s">
        <v>4</v>
      </c>
      <c r="Q29" s="6">
        <f>C29+1</f>
        <v>40829</v>
      </c>
    </row>
    <row r="30" spans="1:17" ht="15.75" x14ac:dyDescent="0.3">
      <c r="A30" s="1">
        <v>7152</v>
      </c>
      <c r="B30" s="2">
        <v>51041</v>
      </c>
      <c r="C30" s="3">
        <f>DATE(2012,12,31)-886</f>
        <v>40388</v>
      </c>
      <c r="D30" s="1" t="s">
        <v>17</v>
      </c>
      <c r="E30" s="2">
        <v>47</v>
      </c>
      <c r="F30" s="2">
        <v>2766.8179999999998</v>
      </c>
      <c r="G30" s="2">
        <v>0.03</v>
      </c>
      <c r="H30" s="2">
        <v>0.55000000000000004</v>
      </c>
      <c r="I30" s="4">
        <v>846.94500000000005</v>
      </c>
      <c r="J30" s="5">
        <v>65.989999999999995</v>
      </c>
      <c r="K30" s="5">
        <v>5.92</v>
      </c>
      <c r="L30" s="1" t="s">
        <v>5</v>
      </c>
      <c r="M30" s="1" t="s">
        <v>38</v>
      </c>
      <c r="N30" s="1" t="s">
        <v>15</v>
      </c>
      <c r="O30" s="1" t="s">
        <v>11</v>
      </c>
      <c r="P30" s="1" t="s">
        <v>7</v>
      </c>
      <c r="Q30" s="6">
        <f>C30+1</f>
        <v>40389</v>
      </c>
    </row>
    <row r="31" spans="1:17" ht="15.75" x14ac:dyDescent="0.3">
      <c r="A31" s="1">
        <v>7194</v>
      </c>
      <c r="B31" s="2">
        <v>51328</v>
      </c>
      <c r="C31" s="3">
        <f>DATE(2012,12,31)-797</f>
        <v>40477</v>
      </c>
      <c r="D31" s="1" t="s">
        <v>16</v>
      </c>
      <c r="E31" s="2">
        <v>38</v>
      </c>
      <c r="F31" s="2">
        <v>689.67</v>
      </c>
      <c r="G31" s="2">
        <v>7.0000000000000007E-2</v>
      </c>
      <c r="H31" s="2">
        <v>0.47</v>
      </c>
      <c r="I31" s="4">
        <v>51.47</v>
      </c>
      <c r="J31" s="5">
        <v>18.7</v>
      </c>
      <c r="K31" s="5">
        <v>8.99</v>
      </c>
      <c r="L31" s="1" t="s">
        <v>5</v>
      </c>
      <c r="M31" s="1" t="s">
        <v>38</v>
      </c>
      <c r="N31" s="1" t="s">
        <v>21</v>
      </c>
      <c r="O31" s="1" t="s">
        <v>3</v>
      </c>
      <c r="P31" s="1" t="s">
        <v>20</v>
      </c>
      <c r="Q31" s="6">
        <f>C31+5</f>
        <v>40482</v>
      </c>
    </row>
    <row r="32" spans="1:17" ht="15.75" x14ac:dyDescent="0.3">
      <c r="A32" s="1">
        <v>7195</v>
      </c>
      <c r="B32" s="2">
        <v>51333</v>
      </c>
      <c r="C32" s="3">
        <f>DATE(2012,12,31)-88</f>
        <v>41186</v>
      </c>
      <c r="D32" s="1" t="s">
        <v>8</v>
      </c>
      <c r="E32" s="2">
        <v>30</v>
      </c>
      <c r="F32" s="2">
        <v>2219.79</v>
      </c>
      <c r="G32" s="2">
        <v>0.1</v>
      </c>
      <c r="H32" s="2">
        <v>0.37</v>
      </c>
      <c r="I32" s="4">
        <v>-9.4481999999999999</v>
      </c>
      <c r="J32" s="5">
        <v>80.97</v>
      </c>
      <c r="K32" s="5">
        <v>33.6</v>
      </c>
      <c r="L32" s="1" t="s">
        <v>1</v>
      </c>
      <c r="M32" s="1" t="s">
        <v>38</v>
      </c>
      <c r="N32" s="1" t="s">
        <v>2</v>
      </c>
      <c r="O32" s="1" t="s">
        <v>11</v>
      </c>
      <c r="P32" s="1" t="s">
        <v>4</v>
      </c>
      <c r="Q32" s="6">
        <f>C32+2</f>
        <v>41188</v>
      </c>
    </row>
    <row r="33" spans="1:17" ht="15.75" x14ac:dyDescent="0.3">
      <c r="A33" s="1">
        <v>7196</v>
      </c>
      <c r="B33" s="2">
        <v>51333</v>
      </c>
      <c r="C33" s="3">
        <f>DATE(2012,12,31)-88</f>
        <v>41186</v>
      </c>
      <c r="D33" s="1" t="s">
        <v>8</v>
      </c>
      <c r="E33" s="2">
        <v>25</v>
      </c>
      <c r="F33" s="2">
        <v>237.36</v>
      </c>
      <c r="G33" s="2">
        <v>7.0000000000000007E-2</v>
      </c>
      <c r="H33" s="2">
        <v>0.4</v>
      </c>
      <c r="I33" s="4">
        <v>-117.86</v>
      </c>
      <c r="J33" s="5">
        <v>9.06</v>
      </c>
      <c r="K33" s="5">
        <v>9.86</v>
      </c>
      <c r="L33" s="1" t="s">
        <v>5</v>
      </c>
      <c r="M33" s="1" t="s">
        <v>38</v>
      </c>
      <c r="N33" s="1" t="s">
        <v>2</v>
      </c>
      <c r="O33" s="1" t="s">
        <v>6</v>
      </c>
      <c r="P33" s="1" t="s">
        <v>7</v>
      </c>
      <c r="Q33" s="6">
        <f>C33+2</f>
        <v>41188</v>
      </c>
    </row>
    <row r="34" spans="1:17" ht="15.75" x14ac:dyDescent="0.3">
      <c r="A34" s="1">
        <v>7201</v>
      </c>
      <c r="B34" s="2">
        <v>51365</v>
      </c>
      <c r="C34" s="3">
        <f>DATE(2012,12,31)-146</f>
        <v>41128</v>
      </c>
      <c r="D34" s="1" t="s">
        <v>17</v>
      </c>
      <c r="E34" s="2">
        <v>35</v>
      </c>
      <c r="F34" s="2">
        <v>195.23</v>
      </c>
      <c r="G34" s="2">
        <v>0.08</v>
      </c>
      <c r="H34" s="2">
        <v>0.41</v>
      </c>
      <c r="I34" s="4">
        <v>-72.459999999999994</v>
      </c>
      <c r="J34" s="5">
        <v>5.89</v>
      </c>
      <c r="K34" s="5">
        <v>5.57</v>
      </c>
      <c r="L34" s="1" t="s">
        <v>5</v>
      </c>
      <c r="M34" s="1" t="s">
        <v>38</v>
      </c>
      <c r="N34" s="1" t="s">
        <v>2</v>
      </c>
      <c r="O34" s="1" t="s">
        <v>3</v>
      </c>
      <c r="P34" s="1" t="s">
        <v>7</v>
      </c>
      <c r="Q34" s="6">
        <f>C34+2</f>
        <v>41130</v>
      </c>
    </row>
    <row r="35" spans="1:17" ht="15.75" x14ac:dyDescent="0.3">
      <c r="A35" s="1">
        <v>7202</v>
      </c>
      <c r="B35" s="2">
        <v>51365</v>
      </c>
      <c r="C35" s="3">
        <f>DATE(2012,12,31)-146</f>
        <v>41128</v>
      </c>
      <c r="D35" s="1" t="s">
        <v>17</v>
      </c>
      <c r="E35" s="2">
        <v>35</v>
      </c>
      <c r="F35" s="2">
        <v>4051.8</v>
      </c>
      <c r="G35" s="2">
        <v>0.1</v>
      </c>
      <c r="H35" s="2">
        <v>0.63</v>
      </c>
      <c r="I35" s="4">
        <v>-684.072</v>
      </c>
      <c r="J35" s="5">
        <v>124.49</v>
      </c>
      <c r="K35" s="5">
        <v>51.94</v>
      </c>
      <c r="L35" s="1" t="s">
        <v>1</v>
      </c>
      <c r="M35" s="1" t="s">
        <v>38</v>
      </c>
      <c r="N35" s="1" t="s">
        <v>2</v>
      </c>
      <c r="O35" s="1" t="s">
        <v>3</v>
      </c>
      <c r="P35" s="1" t="s">
        <v>19</v>
      </c>
      <c r="Q35" s="6">
        <f>C35+1</f>
        <v>41129</v>
      </c>
    </row>
    <row r="36" spans="1:17" ht="15.75" x14ac:dyDescent="0.3">
      <c r="A36" s="1">
        <v>7253</v>
      </c>
      <c r="B36" s="2">
        <v>51777</v>
      </c>
      <c r="C36" s="3">
        <f>DATE(2012,12,31)-681</f>
        <v>40593</v>
      </c>
      <c r="D36" s="1" t="s">
        <v>12</v>
      </c>
      <c r="E36" s="2">
        <v>4</v>
      </c>
      <c r="F36" s="2">
        <v>3465.97</v>
      </c>
      <c r="G36" s="2">
        <v>0.08</v>
      </c>
      <c r="H36" s="2">
        <v>0.38</v>
      </c>
      <c r="I36" s="4">
        <v>194.31850000000003</v>
      </c>
      <c r="J36" s="5">
        <v>896.99</v>
      </c>
      <c r="K36" s="5">
        <v>19.989999999999998</v>
      </c>
      <c r="L36" s="1" t="s">
        <v>5</v>
      </c>
      <c r="M36" s="1" t="s">
        <v>38</v>
      </c>
      <c r="N36" s="1" t="s">
        <v>13</v>
      </c>
      <c r="O36" s="1" t="s">
        <v>6</v>
      </c>
      <c r="P36" s="1" t="s">
        <v>7</v>
      </c>
      <c r="Q36" s="6">
        <f>C36+1</f>
        <v>40594</v>
      </c>
    </row>
    <row r="37" spans="1:17" ht="15.75" x14ac:dyDescent="0.3">
      <c r="A37" s="1">
        <v>7254</v>
      </c>
      <c r="B37" s="2">
        <v>51777</v>
      </c>
      <c r="C37" s="3">
        <f>DATE(2012,12,31)-681</f>
        <v>40593</v>
      </c>
      <c r="D37" s="1" t="s">
        <v>12</v>
      </c>
      <c r="E37" s="2">
        <v>13</v>
      </c>
      <c r="F37" s="2">
        <v>1307.8800000000001</v>
      </c>
      <c r="G37" s="2">
        <v>0.06</v>
      </c>
      <c r="H37" s="2">
        <v>0.46</v>
      </c>
      <c r="I37" s="4">
        <v>206.86</v>
      </c>
      <c r="J37" s="5">
        <v>100.97</v>
      </c>
      <c r="K37" s="5">
        <v>7.18</v>
      </c>
      <c r="L37" s="1" t="s">
        <v>5</v>
      </c>
      <c r="M37" s="1" t="s">
        <v>38</v>
      </c>
      <c r="N37" s="1" t="s">
        <v>13</v>
      </c>
      <c r="O37" s="1" t="s">
        <v>11</v>
      </c>
      <c r="P37" s="1" t="s">
        <v>7</v>
      </c>
      <c r="Q37" s="6">
        <f>C37+2</f>
        <v>40595</v>
      </c>
    </row>
    <row r="38" spans="1:17" ht="15.75" x14ac:dyDescent="0.3">
      <c r="A38" s="1">
        <v>7263</v>
      </c>
      <c r="B38" s="2">
        <v>51814</v>
      </c>
      <c r="C38" s="3">
        <f>DATE(2012,12,31)-829</f>
        <v>40445</v>
      </c>
      <c r="D38" s="1" t="s">
        <v>0</v>
      </c>
      <c r="E38" s="2">
        <v>13</v>
      </c>
      <c r="F38" s="2">
        <v>104.51</v>
      </c>
      <c r="G38" s="2">
        <v>0.04</v>
      </c>
      <c r="H38" s="2">
        <v>0.35</v>
      </c>
      <c r="I38" s="4">
        <v>-9.2805</v>
      </c>
      <c r="J38" s="5">
        <v>7.84</v>
      </c>
      <c r="K38" s="5">
        <v>4.71</v>
      </c>
      <c r="L38" s="1" t="s">
        <v>5</v>
      </c>
      <c r="M38" s="1" t="s">
        <v>38</v>
      </c>
      <c r="N38" s="1" t="s">
        <v>15</v>
      </c>
      <c r="O38" s="1" t="s">
        <v>6</v>
      </c>
      <c r="P38" s="1" t="s">
        <v>7</v>
      </c>
      <c r="Q38" s="6">
        <f>C38+2</f>
        <v>40447</v>
      </c>
    </row>
    <row r="39" spans="1:17" ht="15.75" x14ac:dyDescent="0.3">
      <c r="A39" s="1">
        <v>7290</v>
      </c>
      <c r="B39" s="2">
        <v>51975</v>
      </c>
      <c r="C39" s="3">
        <f>DATE(2012,12,31)-1109</f>
        <v>40165</v>
      </c>
      <c r="D39" s="1" t="s">
        <v>16</v>
      </c>
      <c r="E39" s="2">
        <v>12</v>
      </c>
      <c r="F39" s="2">
        <v>1064.7864999999999</v>
      </c>
      <c r="G39" s="2">
        <v>0.1</v>
      </c>
      <c r="H39" s="2">
        <v>0.57999999999999996</v>
      </c>
      <c r="I39" s="4">
        <v>-181.005</v>
      </c>
      <c r="J39" s="5">
        <v>115.99</v>
      </c>
      <c r="K39" s="5">
        <v>2.5</v>
      </c>
      <c r="L39" s="1" t="s">
        <v>5</v>
      </c>
      <c r="M39" s="1" t="s">
        <v>38</v>
      </c>
      <c r="N39" s="1" t="s">
        <v>15</v>
      </c>
      <c r="O39" s="1" t="s">
        <v>11</v>
      </c>
      <c r="P39" s="1" t="s">
        <v>7</v>
      </c>
      <c r="Q39" s="6">
        <f>C39+4</f>
        <v>40169</v>
      </c>
    </row>
    <row r="40" spans="1:17" ht="15.75" x14ac:dyDescent="0.3">
      <c r="A40" s="1">
        <v>7328</v>
      </c>
      <c r="B40" s="2">
        <v>52225</v>
      </c>
      <c r="C40" s="3">
        <f>DATE(2012,12,31)-263</f>
        <v>41011</v>
      </c>
      <c r="D40" s="1" t="s">
        <v>0</v>
      </c>
      <c r="E40" s="2">
        <v>10</v>
      </c>
      <c r="F40" s="2">
        <v>131.09</v>
      </c>
      <c r="G40" s="2">
        <v>0.01</v>
      </c>
      <c r="H40" s="2">
        <v>0.55000000000000004</v>
      </c>
      <c r="I40" s="4">
        <v>10.94</v>
      </c>
      <c r="J40" s="5">
        <v>12.22</v>
      </c>
      <c r="K40" s="5">
        <v>2.85</v>
      </c>
      <c r="L40" s="1" t="s">
        <v>5</v>
      </c>
      <c r="M40" s="1" t="s">
        <v>38</v>
      </c>
      <c r="N40" s="1" t="s">
        <v>2</v>
      </c>
      <c r="O40" s="1" t="s">
        <v>3</v>
      </c>
      <c r="P40" s="1" t="s">
        <v>20</v>
      </c>
      <c r="Q40" s="6">
        <f>C40+1</f>
        <v>41012</v>
      </c>
    </row>
    <row r="41" spans="1:17" ht="15.75" x14ac:dyDescent="0.3">
      <c r="A41" s="1">
        <v>7329</v>
      </c>
      <c r="B41" s="2">
        <v>52225</v>
      </c>
      <c r="C41" s="3">
        <f>DATE(2012,12,31)-263</f>
        <v>41011</v>
      </c>
      <c r="D41" s="1" t="s">
        <v>0</v>
      </c>
      <c r="E41" s="2">
        <v>33</v>
      </c>
      <c r="F41" s="2">
        <v>1817.9</v>
      </c>
      <c r="G41" s="2">
        <v>0.06</v>
      </c>
      <c r="H41" s="2">
        <v>0.36</v>
      </c>
      <c r="I41" s="4">
        <v>700.31</v>
      </c>
      <c r="J41" s="5">
        <v>54.96</v>
      </c>
      <c r="K41" s="5">
        <v>10.75</v>
      </c>
      <c r="L41" s="1" t="s">
        <v>5</v>
      </c>
      <c r="M41" s="1" t="s">
        <v>38</v>
      </c>
      <c r="N41" s="1" t="s">
        <v>2</v>
      </c>
      <c r="O41" s="1" t="s">
        <v>6</v>
      </c>
      <c r="P41" s="1" t="s">
        <v>7</v>
      </c>
      <c r="Q41" s="6">
        <f>C41+1</f>
        <v>41012</v>
      </c>
    </row>
    <row r="42" spans="1:17" ht="15.75" x14ac:dyDescent="0.3">
      <c r="A42" s="1">
        <v>7366</v>
      </c>
      <c r="B42" s="2">
        <v>52487</v>
      </c>
      <c r="C42" s="3">
        <f>DATE(2012,12,31)-1309</f>
        <v>39965</v>
      </c>
      <c r="D42" s="1" t="s">
        <v>0</v>
      </c>
      <c r="E42" s="2">
        <v>17</v>
      </c>
      <c r="F42" s="2">
        <v>124.06</v>
      </c>
      <c r="G42" s="2">
        <v>0.09</v>
      </c>
      <c r="H42" s="2">
        <v>0.38</v>
      </c>
      <c r="I42" s="4">
        <v>15.74</v>
      </c>
      <c r="J42" s="5">
        <v>7.78</v>
      </c>
      <c r="K42" s="5">
        <v>2.5</v>
      </c>
      <c r="L42" s="1" t="s">
        <v>5</v>
      </c>
      <c r="M42" s="1" t="s">
        <v>38</v>
      </c>
      <c r="N42" s="1" t="s">
        <v>2</v>
      </c>
      <c r="O42" s="1" t="s">
        <v>6</v>
      </c>
      <c r="P42" s="1" t="s">
        <v>7</v>
      </c>
      <c r="Q42" s="6">
        <f>C42+1</f>
        <v>39966</v>
      </c>
    </row>
    <row r="43" spans="1:17" ht="15.75" x14ac:dyDescent="0.3">
      <c r="A43" s="1">
        <v>7410</v>
      </c>
      <c r="B43" s="2">
        <v>52868</v>
      </c>
      <c r="C43" s="3">
        <f>DATE(2012,12,31)-684</f>
        <v>40590</v>
      </c>
      <c r="D43" s="1" t="s">
        <v>16</v>
      </c>
      <c r="E43" s="2">
        <v>19</v>
      </c>
      <c r="F43" s="2">
        <v>138.05000000000001</v>
      </c>
      <c r="G43" s="2">
        <v>0.09</v>
      </c>
      <c r="H43" s="2">
        <v>0.69</v>
      </c>
      <c r="I43" s="4">
        <v>-100.49</v>
      </c>
      <c r="J43" s="5">
        <v>7.37</v>
      </c>
      <c r="K43" s="5">
        <v>5.53</v>
      </c>
      <c r="L43" s="1" t="s">
        <v>5</v>
      </c>
      <c r="M43" s="1" t="s">
        <v>38</v>
      </c>
      <c r="N43" s="1" t="s">
        <v>2</v>
      </c>
      <c r="O43" s="1" t="s">
        <v>11</v>
      </c>
      <c r="P43" s="1" t="s">
        <v>20</v>
      </c>
      <c r="Q43" s="6">
        <f>C43+2</f>
        <v>40592</v>
      </c>
    </row>
    <row r="44" spans="1:17" ht="15.75" x14ac:dyDescent="0.3">
      <c r="A44" s="1">
        <v>7459</v>
      </c>
      <c r="B44" s="2">
        <v>53221</v>
      </c>
      <c r="C44" s="3">
        <f>DATE(2012,12,31)-309</f>
        <v>40965</v>
      </c>
      <c r="D44" s="1" t="s">
        <v>8</v>
      </c>
      <c r="E44" s="2">
        <v>29</v>
      </c>
      <c r="F44" s="2">
        <v>433.44</v>
      </c>
      <c r="G44" s="2">
        <v>0.1</v>
      </c>
      <c r="H44" s="2">
        <v>0.46</v>
      </c>
      <c r="I44" s="4">
        <v>147.46</v>
      </c>
      <c r="J44" s="5">
        <v>15.68</v>
      </c>
      <c r="K44" s="5">
        <v>3.73</v>
      </c>
      <c r="L44" s="1" t="s">
        <v>5</v>
      </c>
      <c r="M44" s="1" t="s">
        <v>38</v>
      </c>
      <c r="N44" s="1" t="s">
        <v>2</v>
      </c>
      <c r="O44" s="1" t="s">
        <v>3</v>
      </c>
      <c r="P44" s="1" t="s">
        <v>20</v>
      </c>
      <c r="Q44" s="6">
        <f>C44+1</f>
        <v>40966</v>
      </c>
    </row>
    <row r="45" spans="1:17" ht="15.75" x14ac:dyDescent="0.3">
      <c r="A45" s="1">
        <v>7509</v>
      </c>
      <c r="B45" s="2">
        <v>53600</v>
      </c>
      <c r="C45" s="3">
        <f>DATE(2012,12,31)-174</f>
        <v>41100</v>
      </c>
      <c r="D45" s="1" t="s">
        <v>12</v>
      </c>
      <c r="E45" s="2">
        <v>8</v>
      </c>
      <c r="F45" s="2">
        <v>55.59</v>
      </c>
      <c r="G45" s="2">
        <v>0.03</v>
      </c>
      <c r="H45" s="2">
        <v>0.36</v>
      </c>
      <c r="I45" s="4">
        <v>-17.951499999999999</v>
      </c>
      <c r="J45" s="5">
        <v>5.18</v>
      </c>
      <c r="K45" s="5">
        <v>5.74</v>
      </c>
      <c r="L45" s="1" t="s">
        <v>9</v>
      </c>
      <c r="M45" s="1" t="s">
        <v>38</v>
      </c>
      <c r="N45" s="1" t="s">
        <v>13</v>
      </c>
      <c r="O45" s="1" t="s">
        <v>6</v>
      </c>
      <c r="P45" s="1" t="s">
        <v>7</v>
      </c>
      <c r="Q45" s="6">
        <f>C45+1</f>
        <v>41101</v>
      </c>
    </row>
    <row r="46" spans="1:17" ht="15.75" x14ac:dyDescent="0.3">
      <c r="A46" s="1">
        <v>7515</v>
      </c>
      <c r="B46" s="2">
        <v>53667</v>
      </c>
      <c r="C46" s="3">
        <f>DATE(2012,12,31)-228</f>
        <v>41046</v>
      </c>
      <c r="D46" s="1" t="s">
        <v>12</v>
      </c>
      <c r="E46" s="2">
        <v>33</v>
      </c>
      <c r="F46" s="2">
        <v>112.36</v>
      </c>
      <c r="G46" s="2">
        <v>0.08</v>
      </c>
      <c r="H46" s="2">
        <v>0.4</v>
      </c>
      <c r="I46" s="4">
        <v>-159.73500000000001</v>
      </c>
      <c r="J46" s="5">
        <v>3.36</v>
      </c>
      <c r="K46" s="5">
        <v>6.27</v>
      </c>
      <c r="L46" s="1" t="s">
        <v>5</v>
      </c>
      <c r="M46" s="1" t="s">
        <v>38</v>
      </c>
      <c r="N46" s="1" t="s">
        <v>21</v>
      </c>
      <c r="O46" s="1" t="s">
        <v>6</v>
      </c>
      <c r="P46" s="1" t="s">
        <v>7</v>
      </c>
      <c r="Q46" s="6">
        <f>C46+2</f>
        <v>41048</v>
      </c>
    </row>
    <row r="47" spans="1:17" ht="15.75" x14ac:dyDescent="0.3">
      <c r="A47" s="1">
        <v>7516</v>
      </c>
      <c r="B47" s="2">
        <v>53667</v>
      </c>
      <c r="C47" s="3">
        <f>DATE(2012,12,31)-228</f>
        <v>41046</v>
      </c>
      <c r="D47" s="1" t="s">
        <v>12</v>
      </c>
      <c r="E47" s="2">
        <v>16</v>
      </c>
      <c r="F47" s="2">
        <v>481.04900000000004</v>
      </c>
      <c r="G47" s="2">
        <v>0.09</v>
      </c>
      <c r="H47" s="2">
        <v>0.55000000000000004</v>
      </c>
      <c r="I47" s="4">
        <v>46.512</v>
      </c>
      <c r="J47" s="5">
        <v>35.99</v>
      </c>
      <c r="K47" s="5">
        <v>1.1000000000000001</v>
      </c>
      <c r="L47" s="1" t="s">
        <v>5</v>
      </c>
      <c r="M47" s="1" t="s">
        <v>38</v>
      </c>
      <c r="N47" s="1" t="s">
        <v>21</v>
      </c>
      <c r="O47" s="1" t="s">
        <v>11</v>
      </c>
      <c r="P47" s="1" t="s">
        <v>7</v>
      </c>
      <c r="Q47" s="6">
        <f>C47+2</f>
        <v>41048</v>
      </c>
    </row>
    <row r="48" spans="1:17" ht="15.75" x14ac:dyDescent="0.3">
      <c r="A48" s="1">
        <v>7535</v>
      </c>
      <c r="B48" s="2">
        <v>53891</v>
      </c>
      <c r="C48" s="3">
        <f>DATE(2012,12,31)-1439</f>
        <v>39835</v>
      </c>
      <c r="D48" s="1" t="s">
        <v>17</v>
      </c>
      <c r="E48" s="2">
        <v>36</v>
      </c>
      <c r="F48" s="2">
        <v>562.79999999999995</v>
      </c>
      <c r="G48" s="2">
        <v>0.02</v>
      </c>
      <c r="H48" s="2">
        <v>0.36</v>
      </c>
      <c r="I48" s="4">
        <v>-17.445499999999999</v>
      </c>
      <c r="J48" s="5">
        <v>15.22</v>
      </c>
      <c r="K48" s="5">
        <v>9.73</v>
      </c>
      <c r="L48" s="1" t="s">
        <v>5</v>
      </c>
      <c r="M48" s="1" t="s">
        <v>38</v>
      </c>
      <c r="N48" s="1" t="s">
        <v>15</v>
      </c>
      <c r="O48" s="1" t="s">
        <v>6</v>
      </c>
      <c r="P48" s="1" t="s">
        <v>7</v>
      </c>
      <c r="Q48" s="6">
        <f>C48+0</f>
        <v>39835</v>
      </c>
    </row>
    <row r="49" spans="1:17" ht="15.75" x14ac:dyDescent="0.3">
      <c r="A49" s="1">
        <v>7545</v>
      </c>
      <c r="B49" s="2">
        <v>53955</v>
      </c>
      <c r="C49" s="3">
        <f>DATE(2012,12,31)-668</f>
        <v>40606</v>
      </c>
      <c r="D49" s="1" t="s">
        <v>0</v>
      </c>
      <c r="E49" s="2">
        <v>43</v>
      </c>
      <c r="F49" s="2">
        <v>5544.99</v>
      </c>
      <c r="G49" s="2">
        <v>0.04</v>
      </c>
      <c r="H49" s="2">
        <v>0.78</v>
      </c>
      <c r="I49" s="4">
        <v>-3404.24</v>
      </c>
      <c r="J49" s="5">
        <v>130.97999999999999</v>
      </c>
      <c r="K49" s="5">
        <v>130</v>
      </c>
      <c r="L49" s="1" t="s">
        <v>1</v>
      </c>
      <c r="M49" s="1" t="s">
        <v>38</v>
      </c>
      <c r="N49" s="1" t="s">
        <v>15</v>
      </c>
      <c r="O49" s="1" t="s">
        <v>3</v>
      </c>
      <c r="P49" s="1" t="s">
        <v>4</v>
      </c>
      <c r="Q49" s="6">
        <f>C49+2</f>
        <v>40608</v>
      </c>
    </row>
    <row r="50" spans="1:17" ht="15.75" x14ac:dyDescent="0.3">
      <c r="A50" s="1">
        <v>7569</v>
      </c>
      <c r="B50" s="2">
        <v>54150</v>
      </c>
      <c r="C50" s="3">
        <f>DATE(2012,12,31)-558</f>
        <v>40716</v>
      </c>
      <c r="D50" s="1" t="s">
        <v>0</v>
      </c>
      <c r="E50" s="2">
        <v>12</v>
      </c>
      <c r="F50" s="2">
        <v>2011.6355000000001</v>
      </c>
      <c r="G50" s="2">
        <v>0.01</v>
      </c>
      <c r="H50" s="2">
        <v>0.59</v>
      </c>
      <c r="I50" s="4">
        <v>-53.691000000000003</v>
      </c>
      <c r="J50" s="5">
        <v>195.99</v>
      </c>
      <c r="K50" s="5">
        <v>3.99</v>
      </c>
      <c r="L50" s="1" t="s">
        <v>9</v>
      </c>
      <c r="M50" s="1" t="s">
        <v>38</v>
      </c>
      <c r="N50" s="1" t="s">
        <v>2</v>
      </c>
      <c r="O50" s="1" t="s">
        <v>11</v>
      </c>
      <c r="P50" s="1" t="s">
        <v>7</v>
      </c>
      <c r="Q50" s="6">
        <f>C50+0</f>
        <v>40716</v>
      </c>
    </row>
    <row r="51" spans="1:17" ht="15.75" x14ac:dyDescent="0.3">
      <c r="A51" s="1">
        <v>7742</v>
      </c>
      <c r="B51" s="2">
        <v>55429</v>
      </c>
      <c r="C51" s="3">
        <f>DATE(2012,12,31)-1281</f>
        <v>39993</v>
      </c>
      <c r="D51" s="1" t="s">
        <v>17</v>
      </c>
      <c r="E51" s="2">
        <v>43</v>
      </c>
      <c r="F51" s="2">
        <v>260.58999999999997</v>
      </c>
      <c r="G51" s="2">
        <v>0.09</v>
      </c>
      <c r="H51" s="2">
        <v>0.37</v>
      </c>
      <c r="I51" s="4">
        <v>-157.76</v>
      </c>
      <c r="J51" s="5">
        <v>6.48</v>
      </c>
      <c r="K51" s="5">
        <v>7.03</v>
      </c>
      <c r="L51" s="1" t="s">
        <v>5</v>
      </c>
      <c r="M51" s="1" t="s">
        <v>38</v>
      </c>
      <c r="N51" s="1" t="s">
        <v>21</v>
      </c>
      <c r="O51" s="1" t="s">
        <v>6</v>
      </c>
      <c r="P51" s="1" t="s">
        <v>7</v>
      </c>
      <c r="Q51" s="6">
        <f>C51+2</f>
        <v>39995</v>
      </c>
    </row>
    <row r="52" spans="1:17" ht="15.75" x14ac:dyDescent="0.3">
      <c r="A52" s="1">
        <v>7751</v>
      </c>
      <c r="B52" s="2">
        <v>55462</v>
      </c>
      <c r="C52" s="3">
        <f>DATE(2012,12,31)-279</f>
        <v>40995</v>
      </c>
      <c r="D52" s="1" t="s">
        <v>12</v>
      </c>
      <c r="E52" s="2">
        <v>13</v>
      </c>
      <c r="F52" s="2">
        <v>75.27</v>
      </c>
      <c r="G52" s="2">
        <v>0.06</v>
      </c>
      <c r="H52" s="2">
        <v>0.37</v>
      </c>
      <c r="I52" s="4">
        <v>-1.84</v>
      </c>
      <c r="J52" s="5">
        <v>5.58</v>
      </c>
      <c r="K52" s="5">
        <v>2.99</v>
      </c>
      <c r="L52" s="1" t="s">
        <v>5</v>
      </c>
      <c r="M52" s="1" t="s">
        <v>38</v>
      </c>
      <c r="N52" s="1" t="s">
        <v>15</v>
      </c>
      <c r="O52" s="1" t="s">
        <v>6</v>
      </c>
      <c r="P52" s="1" t="s">
        <v>7</v>
      </c>
      <c r="Q52" s="6">
        <f>C52+2</f>
        <v>40997</v>
      </c>
    </row>
    <row r="53" spans="1:17" ht="15.75" x14ac:dyDescent="0.3">
      <c r="A53" s="1">
        <v>7752</v>
      </c>
      <c r="B53" s="2">
        <v>55462</v>
      </c>
      <c r="C53" s="3">
        <f>DATE(2012,12,31)-279</f>
        <v>40995</v>
      </c>
      <c r="D53" s="1" t="s">
        <v>12</v>
      </c>
      <c r="E53" s="2">
        <v>31</v>
      </c>
      <c r="F53" s="2">
        <v>1184.53</v>
      </c>
      <c r="G53" s="2">
        <v>0.05</v>
      </c>
      <c r="H53" s="2">
        <v>0.67</v>
      </c>
      <c r="I53" s="4">
        <v>-26.49</v>
      </c>
      <c r="J53" s="5">
        <v>39.979999999999997</v>
      </c>
      <c r="K53" s="5">
        <v>7.12</v>
      </c>
      <c r="L53" s="1" t="s">
        <v>5</v>
      </c>
      <c r="M53" s="1" t="s">
        <v>38</v>
      </c>
      <c r="N53" s="1" t="s">
        <v>15</v>
      </c>
      <c r="O53" s="1" t="s">
        <v>11</v>
      </c>
      <c r="P53" s="1" t="s">
        <v>7</v>
      </c>
      <c r="Q53" s="6">
        <f>C53+1</f>
        <v>40996</v>
      </c>
    </row>
    <row r="54" spans="1:17" ht="15.75" x14ac:dyDescent="0.3">
      <c r="A54" s="1">
        <v>7753</v>
      </c>
      <c r="B54" s="2">
        <v>55462</v>
      </c>
      <c r="C54" s="3">
        <f>DATE(2012,12,31)-279</f>
        <v>40995</v>
      </c>
      <c r="D54" s="1" t="s">
        <v>12</v>
      </c>
      <c r="E54" s="2">
        <v>35</v>
      </c>
      <c r="F54" s="2">
        <v>3683.73</v>
      </c>
      <c r="G54" s="2">
        <v>0.09</v>
      </c>
      <c r="H54" s="2">
        <v>0.59</v>
      </c>
      <c r="I54" s="4">
        <v>708.75900000000001</v>
      </c>
      <c r="J54" s="5">
        <v>125.99</v>
      </c>
      <c r="K54" s="5">
        <v>8.99</v>
      </c>
      <c r="L54" s="1" t="s">
        <v>5</v>
      </c>
      <c r="M54" s="1" t="s">
        <v>38</v>
      </c>
      <c r="N54" s="1" t="s">
        <v>15</v>
      </c>
      <c r="O54" s="1" t="s">
        <v>11</v>
      </c>
      <c r="P54" s="1" t="s">
        <v>7</v>
      </c>
      <c r="Q54" s="6">
        <f>C54+1</f>
        <v>40996</v>
      </c>
    </row>
    <row r="55" spans="1:17" ht="15.75" x14ac:dyDescent="0.3">
      <c r="A55" s="1">
        <v>7793</v>
      </c>
      <c r="B55" s="2">
        <v>55749</v>
      </c>
      <c r="C55" s="3">
        <f>DATE(2012,12,31)-242</f>
        <v>41032</v>
      </c>
      <c r="D55" s="1" t="s">
        <v>0</v>
      </c>
      <c r="E55" s="2">
        <v>42</v>
      </c>
      <c r="F55" s="2">
        <v>364.8</v>
      </c>
      <c r="G55" s="2">
        <v>0.01</v>
      </c>
      <c r="H55" s="2">
        <v>0.38</v>
      </c>
      <c r="I55" s="4">
        <v>149.44999999999999</v>
      </c>
      <c r="J55" s="5">
        <v>8.74</v>
      </c>
      <c r="K55" s="5">
        <v>1.39</v>
      </c>
      <c r="L55" s="1" t="s">
        <v>5</v>
      </c>
      <c r="M55" s="1" t="s">
        <v>38</v>
      </c>
      <c r="N55" s="1" t="s">
        <v>2</v>
      </c>
      <c r="O55" s="1" t="s">
        <v>6</v>
      </c>
      <c r="P55" s="1" t="s">
        <v>7</v>
      </c>
      <c r="Q55" s="6">
        <f>C55+1</f>
        <v>41033</v>
      </c>
    </row>
    <row r="56" spans="1:17" ht="15.75" x14ac:dyDescent="0.3">
      <c r="A56" s="1">
        <v>7809</v>
      </c>
      <c r="B56" s="2">
        <v>55873</v>
      </c>
      <c r="C56" s="3">
        <f>DATE(2012,12,31)-408</f>
        <v>40866</v>
      </c>
      <c r="D56" s="1" t="s">
        <v>16</v>
      </c>
      <c r="E56" s="2">
        <v>48</v>
      </c>
      <c r="F56" s="2">
        <v>15602.93</v>
      </c>
      <c r="G56" s="2">
        <v>0</v>
      </c>
      <c r="H56" s="2">
        <v>0.56000000000000005</v>
      </c>
      <c r="I56" s="4">
        <v>4875.8900000000003</v>
      </c>
      <c r="J56" s="5">
        <v>306.14</v>
      </c>
      <c r="K56" s="5">
        <v>26.53</v>
      </c>
      <c r="L56" s="1" t="s">
        <v>1</v>
      </c>
      <c r="M56" s="1" t="s">
        <v>38</v>
      </c>
      <c r="N56" s="1" t="s">
        <v>2</v>
      </c>
      <c r="O56" s="1" t="s">
        <v>11</v>
      </c>
      <c r="P56" s="1" t="s">
        <v>4</v>
      </c>
      <c r="Q56" s="6">
        <f>C56+7</f>
        <v>40873</v>
      </c>
    </row>
    <row r="57" spans="1:17" ht="15.75" x14ac:dyDescent="0.3">
      <c r="A57" s="1">
        <v>7852</v>
      </c>
      <c r="B57" s="2">
        <v>56135</v>
      </c>
      <c r="C57" s="3">
        <f>DATE(2012,12,31)-779</f>
        <v>40495</v>
      </c>
      <c r="D57" s="1" t="s">
        <v>12</v>
      </c>
      <c r="E57" s="2">
        <v>8</v>
      </c>
      <c r="F57" s="2">
        <v>1118.82</v>
      </c>
      <c r="G57" s="2">
        <v>0.04</v>
      </c>
      <c r="H57" s="2">
        <v>0.77</v>
      </c>
      <c r="I57" s="4">
        <v>-320.3</v>
      </c>
      <c r="J57" s="5">
        <v>140.97999999999999</v>
      </c>
      <c r="K57" s="5">
        <v>36.090000000000003</v>
      </c>
      <c r="L57" s="1" t="s">
        <v>1</v>
      </c>
      <c r="M57" s="1" t="s">
        <v>38</v>
      </c>
      <c r="N57" s="1" t="s">
        <v>2</v>
      </c>
      <c r="O57" s="1" t="s">
        <v>3</v>
      </c>
      <c r="P57" s="1" t="s">
        <v>19</v>
      </c>
      <c r="Q57" s="6">
        <f>C57+2</f>
        <v>40497</v>
      </c>
    </row>
    <row r="58" spans="1:17" ht="15.75" x14ac:dyDescent="0.3">
      <c r="A58" s="1">
        <v>7853</v>
      </c>
      <c r="B58" s="2">
        <v>56135</v>
      </c>
      <c r="C58" s="3">
        <f>DATE(2012,12,31)-779</f>
        <v>40495</v>
      </c>
      <c r="D58" s="1" t="s">
        <v>12</v>
      </c>
      <c r="E58" s="2">
        <v>48</v>
      </c>
      <c r="F58" s="2">
        <v>79.75</v>
      </c>
      <c r="G58" s="2">
        <v>0.1</v>
      </c>
      <c r="H58" s="2">
        <v>0.49</v>
      </c>
      <c r="I58" s="4">
        <v>-41.32</v>
      </c>
      <c r="J58" s="5">
        <v>1.81</v>
      </c>
      <c r="K58" s="5">
        <v>1.56</v>
      </c>
      <c r="L58" s="1" t="s">
        <v>5</v>
      </c>
      <c r="M58" s="1" t="s">
        <v>38</v>
      </c>
      <c r="N58" s="1" t="s">
        <v>2</v>
      </c>
      <c r="O58" s="1" t="s">
        <v>6</v>
      </c>
      <c r="P58" s="1" t="s">
        <v>14</v>
      </c>
      <c r="Q58" s="6">
        <f>C58+1</f>
        <v>40496</v>
      </c>
    </row>
    <row r="59" spans="1:17" ht="15.75" x14ac:dyDescent="0.3">
      <c r="A59" s="1">
        <v>7934</v>
      </c>
      <c r="B59" s="2">
        <v>56708</v>
      </c>
      <c r="C59" s="3">
        <f>DATE(2012,12,31)-29</f>
        <v>41245</v>
      </c>
      <c r="D59" s="1" t="s">
        <v>8</v>
      </c>
      <c r="E59" s="2">
        <v>36</v>
      </c>
      <c r="F59" s="2">
        <v>10006.280000000001</v>
      </c>
      <c r="G59" s="2">
        <v>0.1</v>
      </c>
      <c r="H59" s="2">
        <v>0.78</v>
      </c>
      <c r="I59" s="4">
        <v>-760.97699999999998</v>
      </c>
      <c r="J59" s="5">
        <v>286.85000000000002</v>
      </c>
      <c r="K59" s="5">
        <v>61.76</v>
      </c>
      <c r="L59" s="1" t="s">
        <v>1</v>
      </c>
      <c r="M59" s="1" t="s">
        <v>38</v>
      </c>
      <c r="N59" s="1" t="s">
        <v>2</v>
      </c>
      <c r="O59" s="1" t="s">
        <v>3</v>
      </c>
      <c r="P59" s="1" t="s">
        <v>19</v>
      </c>
      <c r="Q59" s="6">
        <f>C59+0</f>
        <v>41245</v>
      </c>
    </row>
    <row r="60" spans="1:17" ht="15.75" x14ac:dyDescent="0.3">
      <c r="A60" s="1">
        <v>7935</v>
      </c>
      <c r="B60" s="2">
        <v>56708</v>
      </c>
      <c r="C60" s="3">
        <f>DATE(2012,12,31)-29</f>
        <v>41245</v>
      </c>
      <c r="D60" s="1" t="s">
        <v>8</v>
      </c>
      <c r="E60" s="2">
        <v>36</v>
      </c>
      <c r="F60" s="2">
        <v>407.17</v>
      </c>
      <c r="G60" s="2">
        <v>0.04</v>
      </c>
      <c r="H60" s="2">
        <v>0.35</v>
      </c>
      <c r="I60" s="4">
        <v>-12.82</v>
      </c>
      <c r="J60" s="5">
        <v>11.58</v>
      </c>
      <c r="K60" s="5">
        <v>6.97</v>
      </c>
      <c r="L60" s="1" t="s">
        <v>5</v>
      </c>
      <c r="M60" s="1" t="s">
        <v>38</v>
      </c>
      <c r="N60" s="1" t="s">
        <v>2</v>
      </c>
      <c r="O60" s="1" t="s">
        <v>6</v>
      </c>
      <c r="P60" s="1" t="s">
        <v>7</v>
      </c>
      <c r="Q60" s="6">
        <f>C60+3</f>
        <v>41248</v>
      </c>
    </row>
    <row r="61" spans="1:17" ht="15.75" x14ac:dyDescent="0.3">
      <c r="A61" s="1">
        <v>8120</v>
      </c>
      <c r="B61" s="2">
        <v>57986</v>
      </c>
      <c r="C61" s="3">
        <f>DATE(2012,12,31)-794</f>
        <v>40480</v>
      </c>
      <c r="D61" s="1" t="s">
        <v>17</v>
      </c>
      <c r="E61" s="2">
        <v>14</v>
      </c>
      <c r="F61" s="2">
        <v>199.93</v>
      </c>
      <c r="G61" s="2">
        <v>0.1</v>
      </c>
      <c r="H61" s="2">
        <v>0.43</v>
      </c>
      <c r="I61" s="4">
        <v>-105.33</v>
      </c>
      <c r="J61" s="5">
        <v>14.81</v>
      </c>
      <c r="K61" s="5">
        <v>13.32</v>
      </c>
      <c r="L61" s="1" t="s">
        <v>5</v>
      </c>
      <c r="M61" s="1" t="s">
        <v>38</v>
      </c>
      <c r="N61" s="1" t="s">
        <v>13</v>
      </c>
      <c r="O61" s="1" t="s">
        <v>6</v>
      </c>
      <c r="P61" s="1" t="s">
        <v>7</v>
      </c>
      <c r="Q61" s="6">
        <f>C61+0</f>
        <v>40480</v>
      </c>
    </row>
    <row r="62" spans="1:17" ht="15.75" x14ac:dyDescent="0.3">
      <c r="A62" s="1">
        <v>8155</v>
      </c>
      <c r="B62" s="2">
        <v>58310</v>
      </c>
      <c r="C62" s="3">
        <f>DATE(2012,12,31)-1407</f>
        <v>39867</v>
      </c>
      <c r="D62" s="1" t="s">
        <v>0</v>
      </c>
      <c r="E62" s="2">
        <v>22</v>
      </c>
      <c r="F62" s="2">
        <v>834.81</v>
      </c>
      <c r="G62" s="2">
        <v>0.03</v>
      </c>
      <c r="H62" s="2">
        <v>0.56999999999999995</v>
      </c>
      <c r="I62" s="4">
        <v>1.98</v>
      </c>
      <c r="J62" s="5">
        <v>37.76</v>
      </c>
      <c r="K62" s="5">
        <v>12.9</v>
      </c>
      <c r="L62" s="1" t="s">
        <v>5</v>
      </c>
      <c r="M62" s="1" t="s">
        <v>38</v>
      </c>
      <c r="N62" s="1" t="s">
        <v>15</v>
      </c>
      <c r="O62" s="1" t="s">
        <v>6</v>
      </c>
      <c r="P62" s="1" t="s">
        <v>7</v>
      </c>
      <c r="Q62" s="6">
        <f>C62+1</f>
        <v>39868</v>
      </c>
    </row>
    <row r="63" spans="1:17" ht="15.75" x14ac:dyDescent="0.3">
      <c r="A63" s="1">
        <v>8215</v>
      </c>
      <c r="B63" s="2">
        <v>58725</v>
      </c>
      <c r="C63" s="3">
        <f>DATE(2012,12,31)-956</f>
        <v>40318</v>
      </c>
      <c r="D63" s="1" t="s">
        <v>8</v>
      </c>
      <c r="E63" s="2">
        <v>39</v>
      </c>
      <c r="F63" s="2">
        <v>335.35</v>
      </c>
      <c r="G63" s="2">
        <v>0.05</v>
      </c>
      <c r="H63" s="2">
        <v>0.38</v>
      </c>
      <c r="I63" s="4">
        <v>-134.97</v>
      </c>
      <c r="J63" s="5">
        <v>8.74</v>
      </c>
      <c r="K63" s="5">
        <v>8.2899999999999991</v>
      </c>
      <c r="L63" s="1" t="s">
        <v>5</v>
      </c>
      <c r="M63" s="1" t="s">
        <v>38</v>
      </c>
      <c r="N63" s="1" t="s">
        <v>2</v>
      </c>
      <c r="O63" s="1" t="s">
        <v>6</v>
      </c>
      <c r="P63" s="1" t="s">
        <v>7</v>
      </c>
      <c r="Q63" s="6">
        <f>C63+1</f>
        <v>40319</v>
      </c>
    </row>
    <row r="64" spans="1:17" ht="15.75" x14ac:dyDescent="0.3">
      <c r="A64" s="1">
        <v>142</v>
      </c>
      <c r="B64" s="2">
        <v>902</v>
      </c>
      <c r="C64" s="3">
        <f>DATE(2012,12,31)-1254</f>
        <v>40020</v>
      </c>
      <c r="D64" s="1" t="s">
        <v>8</v>
      </c>
      <c r="E64" s="2">
        <v>10</v>
      </c>
      <c r="F64" s="2">
        <v>1925.83</v>
      </c>
      <c r="G64" s="2">
        <v>0.09</v>
      </c>
      <c r="H64" s="2">
        <v>0.55000000000000004</v>
      </c>
      <c r="I64" s="4">
        <v>359.83</v>
      </c>
      <c r="J64" s="5">
        <v>207.48</v>
      </c>
      <c r="K64" s="5">
        <v>0.99</v>
      </c>
      <c r="L64" s="1" t="s">
        <v>5</v>
      </c>
      <c r="M64" s="1" t="s">
        <v>38</v>
      </c>
      <c r="N64" s="1" t="s">
        <v>2</v>
      </c>
      <c r="O64" s="1" t="s">
        <v>6</v>
      </c>
      <c r="P64" s="1" t="s">
        <v>7</v>
      </c>
      <c r="Q64" s="6">
        <f>C64+3</f>
        <v>40023</v>
      </c>
    </row>
    <row r="65" spans="1:17" ht="15.75" x14ac:dyDescent="0.3">
      <c r="A65" s="1">
        <v>309</v>
      </c>
      <c r="B65" s="2">
        <v>2147</v>
      </c>
      <c r="C65" s="3">
        <f>DATE(2012,12,31)-117</f>
        <v>41157</v>
      </c>
      <c r="D65" s="1" t="s">
        <v>8</v>
      </c>
      <c r="E65" s="2">
        <v>15</v>
      </c>
      <c r="F65" s="2">
        <v>605.1</v>
      </c>
      <c r="G65" s="2">
        <v>0.04</v>
      </c>
      <c r="H65" s="2">
        <v>0.56999999999999995</v>
      </c>
      <c r="I65" s="4">
        <v>92.81</v>
      </c>
      <c r="J65" s="5">
        <v>40.98</v>
      </c>
      <c r="K65" s="5">
        <v>5.33</v>
      </c>
      <c r="L65" s="1" t="s">
        <v>9</v>
      </c>
      <c r="M65" s="1" t="s">
        <v>38</v>
      </c>
      <c r="N65" s="1" t="s">
        <v>15</v>
      </c>
      <c r="O65" s="1" t="s">
        <v>6</v>
      </c>
      <c r="P65" s="1" t="s">
        <v>7</v>
      </c>
      <c r="Q65" s="6">
        <f>C65+2</f>
        <v>41159</v>
      </c>
    </row>
    <row r="66" spans="1:17" ht="15.75" x14ac:dyDescent="0.3">
      <c r="A66" s="1">
        <v>338</v>
      </c>
      <c r="B66" s="2">
        <v>2306</v>
      </c>
      <c r="C66" s="3">
        <f>DATE(2012,12,31)-525</f>
        <v>40749</v>
      </c>
      <c r="D66" s="1" t="s">
        <v>17</v>
      </c>
      <c r="E66" s="2">
        <v>15</v>
      </c>
      <c r="F66" s="2">
        <v>113.5</v>
      </c>
      <c r="G66" s="2">
        <v>0.05</v>
      </c>
      <c r="H66" s="2">
        <v>0.4</v>
      </c>
      <c r="I66" s="4">
        <v>-46.344999999999999</v>
      </c>
      <c r="J66" s="5">
        <v>7.45</v>
      </c>
      <c r="K66" s="5">
        <v>6.28</v>
      </c>
      <c r="L66" s="1" t="s">
        <v>5</v>
      </c>
      <c r="M66" s="1" t="s">
        <v>38</v>
      </c>
      <c r="N66" s="1" t="s">
        <v>2</v>
      </c>
      <c r="O66" s="1" t="s">
        <v>6</v>
      </c>
      <c r="P66" s="1" t="s">
        <v>7</v>
      </c>
      <c r="Q66" s="6">
        <f>C66+2</f>
        <v>40751</v>
      </c>
    </row>
    <row r="67" spans="1:17" ht="15.75" x14ac:dyDescent="0.3">
      <c r="A67" s="1">
        <v>422</v>
      </c>
      <c r="B67" s="2">
        <v>2823</v>
      </c>
      <c r="C67" s="3">
        <f>DATE(2012,12,31)-480</f>
        <v>40794</v>
      </c>
      <c r="D67" s="1" t="s">
        <v>17</v>
      </c>
      <c r="E67" s="2">
        <v>17</v>
      </c>
      <c r="F67" s="2">
        <v>357.43</v>
      </c>
      <c r="G67" s="2">
        <v>0.08</v>
      </c>
      <c r="H67" s="2">
        <v>0.78</v>
      </c>
      <c r="I67" s="4">
        <v>-135.97999999999999</v>
      </c>
      <c r="J67" s="5">
        <v>20.97</v>
      </c>
      <c r="K67" s="5">
        <v>6.5</v>
      </c>
      <c r="L67" s="1" t="s">
        <v>5</v>
      </c>
      <c r="M67" s="1" t="s">
        <v>38</v>
      </c>
      <c r="N67" s="1" t="s">
        <v>15</v>
      </c>
      <c r="O67" s="1" t="s">
        <v>11</v>
      </c>
      <c r="P67" s="1" t="s">
        <v>7</v>
      </c>
      <c r="Q67" s="6">
        <f>C67+1</f>
        <v>40795</v>
      </c>
    </row>
    <row r="68" spans="1:17" ht="15.75" x14ac:dyDescent="0.3">
      <c r="A68" s="1">
        <v>423</v>
      </c>
      <c r="B68" s="2">
        <v>2823</v>
      </c>
      <c r="C68" s="3">
        <f>DATE(2012,12,31)-480</f>
        <v>40794</v>
      </c>
      <c r="D68" s="1" t="s">
        <v>17</v>
      </c>
      <c r="E68" s="2">
        <v>21</v>
      </c>
      <c r="F68" s="2">
        <v>4754.08</v>
      </c>
      <c r="G68" s="2">
        <v>0</v>
      </c>
      <c r="H68" s="2">
        <v>0.72</v>
      </c>
      <c r="I68" s="4">
        <v>299.88</v>
      </c>
      <c r="J68" s="5">
        <v>225.02</v>
      </c>
      <c r="K68" s="5">
        <v>28.66</v>
      </c>
      <c r="L68" s="1" t="s">
        <v>1</v>
      </c>
      <c r="M68" s="1" t="s">
        <v>38</v>
      </c>
      <c r="N68" s="1" t="s">
        <v>15</v>
      </c>
      <c r="O68" s="1" t="s">
        <v>6</v>
      </c>
      <c r="P68" s="1" t="s">
        <v>4</v>
      </c>
      <c r="Q68" s="6">
        <f>C68+1</f>
        <v>40795</v>
      </c>
    </row>
    <row r="69" spans="1:17" ht="15.75" x14ac:dyDescent="0.3">
      <c r="A69" s="1">
        <v>460</v>
      </c>
      <c r="B69" s="2">
        <v>3110</v>
      </c>
      <c r="C69" s="3">
        <f>DATE(2012,12,31)-1111</f>
        <v>40163</v>
      </c>
      <c r="D69" s="1" t="s">
        <v>17</v>
      </c>
      <c r="E69" s="2">
        <v>13</v>
      </c>
      <c r="F69" s="2">
        <v>1601.32</v>
      </c>
      <c r="G69" s="2">
        <v>0.04</v>
      </c>
      <c r="H69" s="2">
        <v>0.36</v>
      </c>
      <c r="I69" s="4">
        <v>377.81</v>
      </c>
      <c r="J69" s="5">
        <v>119.99</v>
      </c>
      <c r="K69" s="5">
        <v>14</v>
      </c>
      <c r="L69" s="1" t="s">
        <v>1</v>
      </c>
      <c r="M69" s="1" t="s">
        <v>38</v>
      </c>
      <c r="N69" s="1" t="s">
        <v>2</v>
      </c>
      <c r="O69" s="1" t="s">
        <v>11</v>
      </c>
      <c r="P69" s="1" t="s">
        <v>4</v>
      </c>
      <c r="Q69" s="6">
        <f>C69+2</f>
        <v>40165</v>
      </c>
    </row>
    <row r="70" spans="1:17" ht="15.75" x14ac:dyDescent="0.3">
      <c r="A70" s="1">
        <v>503</v>
      </c>
      <c r="B70" s="2">
        <v>3463</v>
      </c>
      <c r="C70" s="3">
        <f>DATE(2012,12,31)-867</f>
        <v>40407</v>
      </c>
      <c r="D70" s="1" t="s">
        <v>0</v>
      </c>
      <c r="E70" s="2">
        <v>43</v>
      </c>
      <c r="F70" s="2">
        <v>264.75</v>
      </c>
      <c r="G70" s="2">
        <v>0.08</v>
      </c>
      <c r="H70" s="2">
        <v>0.37</v>
      </c>
      <c r="I70" s="4">
        <v>-212.51</v>
      </c>
      <c r="J70" s="5">
        <v>6.48</v>
      </c>
      <c r="K70" s="5">
        <v>8.4</v>
      </c>
      <c r="L70" s="1" t="s">
        <v>5</v>
      </c>
      <c r="M70" s="1" t="s">
        <v>38</v>
      </c>
      <c r="N70" s="1" t="s">
        <v>21</v>
      </c>
      <c r="O70" s="1" t="s">
        <v>6</v>
      </c>
      <c r="P70" s="1" t="s">
        <v>7</v>
      </c>
      <c r="Q70" s="6">
        <f>C70+1</f>
        <v>40408</v>
      </c>
    </row>
    <row r="71" spans="1:17" ht="15.75" x14ac:dyDescent="0.3">
      <c r="A71" s="1">
        <v>591</v>
      </c>
      <c r="B71" s="2">
        <v>4034</v>
      </c>
      <c r="C71" s="3">
        <f>DATE(2012,12,31)-779</f>
        <v>40495</v>
      </c>
      <c r="D71" s="1" t="s">
        <v>8</v>
      </c>
      <c r="E71" s="2">
        <v>44</v>
      </c>
      <c r="F71" s="2">
        <v>3367.24</v>
      </c>
      <c r="G71" s="2">
        <v>7.0000000000000007E-2</v>
      </c>
      <c r="H71" s="2">
        <v>0.74</v>
      </c>
      <c r="I71" s="4">
        <v>-1183.69</v>
      </c>
      <c r="J71" s="5">
        <v>79.52</v>
      </c>
      <c r="K71" s="5">
        <v>48.2</v>
      </c>
      <c r="L71" s="1" t="s">
        <v>5</v>
      </c>
      <c r="M71" s="1" t="s">
        <v>38</v>
      </c>
      <c r="N71" s="1" t="s">
        <v>13</v>
      </c>
      <c r="O71" s="1" t="s">
        <v>3</v>
      </c>
      <c r="P71" s="1" t="s">
        <v>18</v>
      </c>
      <c r="Q71" s="6">
        <f>C71+1</f>
        <v>40496</v>
      </c>
    </row>
    <row r="72" spans="1:17" ht="15.75" x14ac:dyDescent="0.3">
      <c r="A72" s="1">
        <v>592</v>
      </c>
      <c r="B72" s="2">
        <v>4034</v>
      </c>
      <c r="C72" s="3">
        <f>DATE(2012,12,31)-779</f>
        <v>40495</v>
      </c>
      <c r="D72" s="1" t="s">
        <v>8</v>
      </c>
      <c r="E72" s="2">
        <v>37</v>
      </c>
      <c r="F72" s="2">
        <v>5723.24</v>
      </c>
      <c r="G72" s="2">
        <v>0</v>
      </c>
      <c r="H72" s="2">
        <v>0.69</v>
      </c>
      <c r="I72" s="4">
        <v>-194.96700000000001</v>
      </c>
      <c r="J72" s="5">
        <v>145.97999999999999</v>
      </c>
      <c r="K72" s="5">
        <v>51.92</v>
      </c>
      <c r="L72" s="1" t="s">
        <v>1</v>
      </c>
      <c r="M72" s="1" t="s">
        <v>38</v>
      </c>
      <c r="N72" s="1" t="s">
        <v>13</v>
      </c>
      <c r="O72" s="1" t="s">
        <v>3</v>
      </c>
      <c r="P72" s="1" t="s">
        <v>19</v>
      </c>
      <c r="Q72" s="6">
        <f>C72+1</f>
        <v>40496</v>
      </c>
    </row>
    <row r="73" spans="1:17" ht="15.75" x14ac:dyDescent="0.3">
      <c r="A73" s="1">
        <v>593</v>
      </c>
      <c r="B73" s="2">
        <v>4037</v>
      </c>
      <c r="C73" s="3">
        <f>DATE(2012,12,31)-1014</f>
        <v>40260</v>
      </c>
      <c r="D73" s="1" t="s">
        <v>17</v>
      </c>
      <c r="E73" s="2">
        <v>27</v>
      </c>
      <c r="F73" s="2">
        <v>188.07</v>
      </c>
      <c r="G73" s="2">
        <v>0</v>
      </c>
      <c r="H73" s="2">
        <v>0.37</v>
      </c>
      <c r="I73" s="4">
        <v>-101.85</v>
      </c>
      <c r="J73" s="5">
        <v>6.48</v>
      </c>
      <c r="K73" s="5">
        <v>7.86</v>
      </c>
      <c r="L73" s="1" t="s">
        <v>5</v>
      </c>
      <c r="M73" s="1" t="s">
        <v>38</v>
      </c>
      <c r="N73" s="1" t="s">
        <v>2</v>
      </c>
      <c r="O73" s="1" t="s">
        <v>6</v>
      </c>
      <c r="P73" s="1" t="s">
        <v>7</v>
      </c>
      <c r="Q73" s="6">
        <f>C73+1</f>
        <v>40261</v>
      </c>
    </row>
    <row r="74" spans="1:17" ht="15.75" x14ac:dyDescent="0.3">
      <c r="A74" s="1">
        <v>775</v>
      </c>
      <c r="B74" s="2">
        <v>5538</v>
      </c>
      <c r="C74" s="3">
        <f>DATE(2012,12,31)-738</f>
        <v>40536</v>
      </c>
      <c r="D74" s="1" t="s">
        <v>0</v>
      </c>
      <c r="E74" s="2">
        <v>43</v>
      </c>
      <c r="F74" s="2">
        <v>1281.28</v>
      </c>
      <c r="G74" s="2">
        <v>0.05</v>
      </c>
      <c r="H74" s="2">
        <v>0.37</v>
      </c>
      <c r="I74" s="4">
        <v>415.85400000000004</v>
      </c>
      <c r="J74" s="5">
        <v>29.17</v>
      </c>
      <c r="K74" s="5">
        <v>6.27</v>
      </c>
      <c r="L74" s="1" t="s">
        <v>5</v>
      </c>
      <c r="M74" s="1" t="s">
        <v>38</v>
      </c>
      <c r="N74" s="1" t="s">
        <v>21</v>
      </c>
      <c r="O74" s="1" t="s">
        <v>6</v>
      </c>
      <c r="P74" s="1" t="s">
        <v>7</v>
      </c>
      <c r="Q74" s="6">
        <f>C74+2</f>
        <v>40538</v>
      </c>
    </row>
    <row r="75" spans="1:17" ht="15.75" x14ac:dyDescent="0.3">
      <c r="A75" s="1">
        <v>776</v>
      </c>
      <c r="B75" s="2">
        <v>5538</v>
      </c>
      <c r="C75" s="3">
        <f>DATE(2012,12,31)-738</f>
        <v>40536</v>
      </c>
      <c r="D75" s="1" t="s">
        <v>0</v>
      </c>
      <c r="E75" s="2">
        <v>13</v>
      </c>
      <c r="F75" s="2">
        <v>1940.31</v>
      </c>
      <c r="G75" s="2">
        <v>0.03</v>
      </c>
      <c r="H75" s="2">
        <v>0.71</v>
      </c>
      <c r="I75" s="4">
        <v>-668.18700000000001</v>
      </c>
      <c r="J75" s="5">
        <v>146.05000000000001</v>
      </c>
      <c r="K75" s="5">
        <v>80.2</v>
      </c>
      <c r="L75" s="1" t="s">
        <v>1</v>
      </c>
      <c r="M75" s="1" t="s">
        <v>38</v>
      </c>
      <c r="N75" s="1" t="s">
        <v>21</v>
      </c>
      <c r="O75" s="1" t="s">
        <v>3</v>
      </c>
      <c r="P75" s="1" t="s">
        <v>19</v>
      </c>
      <c r="Q75" s="6">
        <f>C75+1</f>
        <v>40537</v>
      </c>
    </row>
    <row r="76" spans="1:17" ht="15.75" x14ac:dyDescent="0.3">
      <c r="A76" s="1">
        <v>777</v>
      </c>
      <c r="B76" s="2">
        <v>5538</v>
      </c>
      <c r="C76" s="3">
        <f>DATE(2012,12,31)-738</f>
        <v>40536</v>
      </c>
      <c r="D76" s="1" t="s">
        <v>0</v>
      </c>
      <c r="E76" s="2">
        <v>4</v>
      </c>
      <c r="F76" s="2">
        <v>430.84800000000001</v>
      </c>
      <c r="G76" s="2">
        <v>0.06</v>
      </c>
      <c r="H76" s="2">
        <v>0.6</v>
      </c>
      <c r="I76" s="4">
        <v>-492.76700000000005</v>
      </c>
      <c r="J76" s="5">
        <v>125.99</v>
      </c>
      <c r="K76" s="5">
        <v>5.63</v>
      </c>
      <c r="L76" s="1" t="s">
        <v>5</v>
      </c>
      <c r="M76" s="1" t="s">
        <v>38</v>
      </c>
      <c r="N76" s="1" t="s">
        <v>21</v>
      </c>
      <c r="O76" s="1" t="s">
        <v>11</v>
      </c>
      <c r="P76" s="1" t="s">
        <v>7</v>
      </c>
      <c r="Q76" s="6">
        <f>C76+3</f>
        <v>40539</v>
      </c>
    </row>
    <row r="77" spans="1:17" ht="15.75" x14ac:dyDescent="0.3">
      <c r="A77" s="1">
        <v>814</v>
      </c>
      <c r="B77" s="2">
        <v>5863</v>
      </c>
      <c r="C77" s="3">
        <f>DATE(2012,12,31)-771</f>
        <v>40503</v>
      </c>
      <c r="D77" s="1" t="s">
        <v>12</v>
      </c>
      <c r="E77" s="2">
        <v>40</v>
      </c>
      <c r="F77" s="2">
        <v>933.21</v>
      </c>
      <c r="G77" s="2">
        <v>0.05</v>
      </c>
      <c r="H77" s="2">
        <v>0.51</v>
      </c>
      <c r="I77" s="4">
        <v>207.18</v>
      </c>
      <c r="J77" s="5">
        <v>22.98</v>
      </c>
      <c r="K77" s="5">
        <v>7.58</v>
      </c>
      <c r="L77" s="1" t="s">
        <v>5</v>
      </c>
      <c r="M77" s="1" t="s">
        <v>38</v>
      </c>
      <c r="N77" s="1" t="s">
        <v>2</v>
      </c>
      <c r="O77" s="1" t="s">
        <v>3</v>
      </c>
      <c r="P77" s="1" t="s">
        <v>7</v>
      </c>
      <c r="Q77" s="6">
        <f>C77+1</f>
        <v>40504</v>
      </c>
    </row>
    <row r="78" spans="1:17" ht="15.75" x14ac:dyDescent="0.3">
      <c r="A78" s="1">
        <v>997</v>
      </c>
      <c r="B78" s="2">
        <v>7175</v>
      </c>
      <c r="C78" s="3">
        <f>DATE(2012,12,31)-1058</f>
        <v>40216</v>
      </c>
      <c r="D78" s="1" t="s">
        <v>0</v>
      </c>
      <c r="E78" s="2">
        <v>10</v>
      </c>
      <c r="F78" s="2">
        <v>748.25</v>
      </c>
      <c r="G78" s="2">
        <v>0.05</v>
      </c>
      <c r="H78" s="2">
        <v>0.6</v>
      </c>
      <c r="I78" s="4">
        <v>-86.99</v>
      </c>
      <c r="J78" s="5">
        <v>70.98</v>
      </c>
      <c r="K78" s="5">
        <v>26.74</v>
      </c>
      <c r="L78" s="1" t="s">
        <v>1</v>
      </c>
      <c r="M78" s="1" t="s">
        <v>38</v>
      </c>
      <c r="N78" s="1" t="s">
        <v>2</v>
      </c>
      <c r="O78" s="1" t="s">
        <v>3</v>
      </c>
      <c r="P78" s="1" t="s">
        <v>19</v>
      </c>
      <c r="Q78" s="6">
        <f>C78+2</f>
        <v>40218</v>
      </c>
    </row>
    <row r="79" spans="1:17" ht="15.75" x14ac:dyDescent="0.3">
      <c r="A79" s="1">
        <v>1008</v>
      </c>
      <c r="B79" s="2">
        <v>7364</v>
      </c>
      <c r="C79" s="3">
        <f>DATE(2012,12,31)-1333</f>
        <v>39941</v>
      </c>
      <c r="D79" s="1" t="s">
        <v>17</v>
      </c>
      <c r="E79" s="2">
        <v>15</v>
      </c>
      <c r="F79" s="2">
        <v>260.39</v>
      </c>
      <c r="G79" s="2">
        <v>0.09</v>
      </c>
      <c r="H79" s="2">
        <v>0.35</v>
      </c>
      <c r="I79" s="4">
        <v>-48.57</v>
      </c>
      <c r="J79" s="5">
        <v>16.98</v>
      </c>
      <c r="K79" s="5">
        <v>12.39</v>
      </c>
      <c r="L79" s="1" t="s">
        <v>5</v>
      </c>
      <c r="M79" s="1" t="s">
        <v>38</v>
      </c>
      <c r="N79" s="1" t="s">
        <v>2</v>
      </c>
      <c r="O79" s="1" t="s">
        <v>6</v>
      </c>
      <c r="P79" s="1" t="s">
        <v>7</v>
      </c>
      <c r="Q79" s="6">
        <f>C79+2</f>
        <v>39943</v>
      </c>
    </row>
    <row r="80" spans="1:17" ht="15.75" x14ac:dyDescent="0.3">
      <c r="A80" s="1">
        <v>1068</v>
      </c>
      <c r="B80" s="2">
        <v>7878</v>
      </c>
      <c r="C80" s="3">
        <f>DATE(2012,12,31)-610</f>
        <v>40664</v>
      </c>
      <c r="D80" s="1" t="s">
        <v>0</v>
      </c>
      <c r="E80" s="2">
        <v>50</v>
      </c>
      <c r="F80" s="2">
        <v>3904.12</v>
      </c>
      <c r="G80" s="2">
        <v>7.0000000000000007E-2</v>
      </c>
      <c r="H80" s="2">
        <v>0.6</v>
      </c>
      <c r="I80" s="4">
        <v>-1508.46</v>
      </c>
      <c r="J80" s="5">
        <v>81.94</v>
      </c>
      <c r="K80" s="5">
        <v>55.81</v>
      </c>
      <c r="L80" s="1" t="s">
        <v>1</v>
      </c>
      <c r="M80" s="1" t="s">
        <v>38</v>
      </c>
      <c r="N80" s="1" t="s">
        <v>2</v>
      </c>
      <c r="O80" s="1" t="s">
        <v>3</v>
      </c>
      <c r="P80" s="1" t="s">
        <v>19</v>
      </c>
      <c r="Q80" s="6">
        <f>C80+5</f>
        <v>40669</v>
      </c>
    </row>
    <row r="81" spans="1:17" ht="15.75" x14ac:dyDescent="0.3">
      <c r="A81" s="1">
        <v>1069</v>
      </c>
      <c r="B81" s="2">
        <v>7878</v>
      </c>
      <c r="C81" s="3">
        <f>DATE(2012,12,31)-610</f>
        <v>40664</v>
      </c>
      <c r="D81" s="1" t="s">
        <v>0</v>
      </c>
      <c r="E81" s="2">
        <v>41</v>
      </c>
      <c r="F81" s="2">
        <v>343.64</v>
      </c>
      <c r="G81" s="2">
        <v>0.06</v>
      </c>
      <c r="H81" s="2">
        <v>0.49</v>
      </c>
      <c r="I81" s="4">
        <v>13.29</v>
      </c>
      <c r="J81" s="5">
        <v>8.57</v>
      </c>
      <c r="K81" s="5">
        <v>3.44</v>
      </c>
      <c r="L81" s="1" t="s">
        <v>5</v>
      </c>
      <c r="M81" s="1" t="s">
        <v>38</v>
      </c>
      <c r="N81" s="1" t="s">
        <v>2</v>
      </c>
      <c r="O81" s="1" t="s">
        <v>3</v>
      </c>
      <c r="P81" s="1" t="s">
        <v>20</v>
      </c>
      <c r="Q81" s="6">
        <f>C81+2</f>
        <v>40666</v>
      </c>
    </row>
    <row r="82" spans="1:17" ht="15.75" x14ac:dyDescent="0.3">
      <c r="A82" s="1">
        <v>1070</v>
      </c>
      <c r="B82" s="2">
        <v>7878</v>
      </c>
      <c r="C82" s="3">
        <f>DATE(2012,12,31)-610</f>
        <v>40664</v>
      </c>
      <c r="D82" s="1" t="s">
        <v>16</v>
      </c>
      <c r="E82" s="2">
        <v>42</v>
      </c>
      <c r="F82" s="2">
        <v>256.64</v>
      </c>
      <c r="G82" s="2">
        <v>0.03</v>
      </c>
      <c r="H82" s="2">
        <v>0.54</v>
      </c>
      <c r="I82" s="4">
        <v>-28.29</v>
      </c>
      <c r="J82" s="5">
        <v>5.81</v>
      </c>
      <c r="K82" s="5">
        <v>3.37</v>
      </c>
      <c r="L82" s="1" t="s">
        <v>5</v>
      </c>
      <c r="M82" s="1" t="s">
        <v>38</v>
      </c>
      <c r="N82" s="1" t="s">
        <v>2</v>
      </c>
      <c r="O82" s="1" t="s">
        <v>6</v>
      </c>
      <c r="P82" s="1" t="s">
        <v>14</v>
      </c>
      <c r="Q82" s="6">
        <f>C82+7</f>
        <v>40671</v>
      </c>
    </row>
    <row r="83" spans="1:17" ht="15.75" x14ac:dyDescent="0.3">
      <c r="A83" s="1">
        <v>1171</v>
      </c>
      <c r="B83" s="2">
        <v>8551</v>
      </c>
      <c r="C83" s="3">
        <f>DATE(2012,12,31)-1251</f>
        <v>40023</v>
      </c>
      <c r="D83" s="1" t="s">
        <v>0</v>
      </c>
      <c r="E83" s="2">
        <v>25</v>
      </c>
      <c r="F83" s="2">
        <v>185.64</v>
      </c>
      <c r="G83" s="2">
        <v>0.1</v>
      </c>
      <c r="H83" s="2">
        <v>0.4</v>
      </c>
      <c r="I83" s="4">
        <v>-69.873999999999995</v>
      </c>
      <c r="J83" s="5">
        <v>7.45</v>
      </c>
      <c r="K83" s="5">
        <v>6.28</v>
      </c>
      <c r="L83" s="1" t="s">
        <v>5</v>
      </c>
      <c r="M83" s="1" t="s">
        <v>38</v>
      </c>
      <c r="N83" s="1" t="s">
        <v>2</v>
      </c>
      <c r="O83" s="1" t="s">
        <v>6</v>
      </c>
      <c r="P83" s="1" t="s">
        <v>7</v>
      </c>
      <c r="Q83" s="6">
        <f>C83+3</f>
        <v>40026</v>
      </c>
    </row>
    <row r="84" spans="1:17" ht="15.75" x14ac:dyDescent="0.3">
      <c r="A84" s="1">
        <v>1172</v>
      </c>
      <c r="B84" s="2">
        <v>8551</v>
      </c>
      <c r="C84" s="3">
        <f>DATE(2012,12,31)-1251</f>
        <v>40023</v>
      </c>
      <c r="D84" s="1" t="s">
        <v>0</v>
      </c>
      <c r="E84" s="2">
        <v>34</v>
      </c>
      <c r="F84" s="2">
        <v>225.98</v>
      </c>
      <c r="G84" s="2">
        <v>0.01</v>
      </c>
      <c r="H84" s="2">
        <v>0.37</v>
      </c>
      <c r="I84" s="4">
        <v>-135.74</v>
      </c>
      <c r="J84" s="5">
        <v>6.48</v>
      </c>
      <c r="K84" s="5">
        <v>7.86</v>
      </c>
      <c r="L84" s="1" t="s">
        <v>5</v>
      </c>
      <c r="M84" s="1" t="s">
        <v>38</v>
      </c>
      <c r="N84" s="1" t="s">
        <v>2</v>
      </c>
      <c r="O84" s="1" t="s">
        <v>6</v>
      </c>
      <c r="P84" s="1" t="s">
        <v>7</v>
      </c>
      <c r="Q84" s="6">
        <f>C84+2</f>
        <v>40025</v>
      </c>
    </row>
    <row r="85" spans="1:17" ht="15.75" x14ac:dyDescent="0.3">
      <c r="A85" s="1">
        <v>1207</v>
      </c>
      <c r="B85" s="2">
        <v>8834</v>
      </c>
      <c r="C85" s="3">
        <f>DATE(2012,12,31)-784</f>
        <v>40490</v>
      </c>
      <c r="D85" s="1" t="s">
        <v>17</v>
      </c>
      <c r="E85" s="2">
        <v>1</v>
      </c>
      <c r="F85" s="2">
        <v>16.73</v>
      </c>
      <c r="G85" s="2">
        <v>0.08</v>
      </c>
      <c r="H85" s="2">
        <v>0.48</v>
      </c>
      <c r="I85" s="4">
        <v>-6.96</v>
      </c>
      <c r="J85" s="5">
        <v>12.64</v>
      </c>
      <c r="K85" s="5">
        <v>4.9800000000000004</v>
      </c>
      <c r="L85" s="1" t="s">
        <v>5</v>
      </c>
      <c r="M85" s="1" t="s">
        <v>38</v>
      </c>
      <c r="N85" s="1" t="s">
        <v>21</v>
      </c>
      <c r="O85" s="1" t="s">
        <v>3</v>
      </c>
      <c r="P85" s="1" t="s">
        <v>20</v>
      </c>
      <c r="Q85" s="6">
        <f>C85+1</f>
        <v>40491</v>
      </c>
    </row>
    <row r="86" spans="1:17" ht="15.75" x14ac:dyDescent="0.3">
      <c r="A86" s="1">
        <v>1261</v>
      </c>
      <c r="B86" s="2">
        <v>9155</v>
      </c>
      <c r="C86" s="3">
        <f>DATE(2012,12,31)-123</f>
        <v>41151</v>
      </c>
      <c r="D86" s="1" t="s">
        <v>0</v>
      </c>
      <c r="E86" s="2">
        <v>17</v>
      </c>
      <c r="F86" s="2">
        <v>518.79999999999995</v>
      </c>
      <c r="G86" s="2">
        <v>0.1</v>
      </c>
      <c r="H86" s="2">
        <v>0.37</v>
      </c>
      <c r="I86" s="4">
        <v>54.629499999999993</v>
      </c>
      <c r="J86" s="5">
        <v>30.98</v>
      </c>
      <c r="K86" s="5">
        <v>11.63</v>
      </c>
      <c r="L86" s="1" t="s">
        <v>5</v>
      </c>
      <c r="M86" s="1" t="s">
        <v>38</v>
      </c>
      <c r="N86" s="1" t="s">
        <v>21</v>
      </c>
      <c r="O86" s="1" t="s">
        <v>6</v>
      </c>
      <c r="P86" s="1" t="s">
        <v>7</v>
      </c>
      <c r="Q86" s="6">
        <f>C86+1</f>
        <v>41152</v>
      </c>
    </row>
    <row r="87" spans="1:17" ht="15.75" x14ac:dyDescent="0.3">
      <c r="A87" s="1">
        <v>1325</v>
      </c>
      <c r="B87" s="2">
        <v>9668</v>
      </c>
      <c r="C87" s="3">
        <f>DATE(2012,12,31)-1212</f>
        <v>40062</v>
      </c>
      <c r="D87" s="1" t="s">
        <v>16</v>
      </c>
      <c r="E87" s="2">
        <v>10</v>
      </c>
      <c r="F87" s="2">
        <v>42.67</v>
      </c>
      <c r="G87" s="2">
        <v>0.06</v>
      </c>
      <c r="H87" s="2">
        <v>0.37</v>
      </c>
      <c r="I87" s="4">
        <v>-12.719000000000001</v>
      </c>
      <c r="J87" s="5">
        <v>4.18</v>
      </c>
      <c r="K87" s="5">
        <v>2.99</v>
      </c>
      <c r="L87" s="1" t="s">
        <v>5</v>
      </c>
      <c r="M87" s="1" t="s">
        <v>38</v>
      </c>
      <c r="N87" s="1" t="s">
        <v>13</v>
      </c>
      <c r="O87" s="1" t="s">
        <v>6</v>
      </c>
      <c r="P87" s="1" t="s">
        <v>7</v>
      </c>
      <c r="Q87" s="6">
        <f>C87+2</f>
        <v>40064</v>
      </c>
    </row>
    <row r="88" spans="1:17" ht="15.75" x14ac:dyDescent="0.3">
      <c r="A88" s="1">
        <v>1408</v>
      </c>
      <c r="B88" s="2">
        <v>10242</v>
      </c>
      <c r="C88" s="3">
        <f>DATE(2012,12,31)-750</f>
        <v>40524</v>
      </c>
      <c r="D88" s="1" t="s">
        <v>12</v>
      </c>
      <c r="E88" s="2">
        <v>32</v>
      </c>
      <c r="F88" s="2">
        <v>690.88</v>
      </c>
      <c r="G88" s="2">
        <v>0.08</v>
      </c>
      <c r="H88" s="2">
        <v>0.51</v>
      </c>
      <c r="I88" s="4">
        <v>119.25</v>
      </c>
      <c r="J88" s="5">
        <v>22.98</v>
      </c>
      <c r="K88" s="5">
        <v>7.58</v>
      </c>
      <c r="L88" s="1" t="s">
        <v>5</v>
      </c>
      <c r="M88" s="1" t="s">
        <v>38</v>
      </c>
      <c r="N88" s="1" t="s">
        <v>15</v>
      </c>
      <c r="O88" s="1" t="s">
        <v>3</v>
      </c>
      <c r="P88" s="1" t="s">
        <v>7</v>
      </c>
      <c r="Q88" s="6">
        <f>C88+1</f>
        <v>40525</v>
      </c>
    </row>
    <row r="89" spans="1:17" ht="15.75" x14ac:dyDescent="0.3">
      <c r="A89" s="1">
        <v>1711</v>
      </c>
      <c r="B89" s="2">
        <v>12292</v>
      </c>
      <c r="C89" s="3">
        <f>DATE(2012,12,31)-212</f>
        <v>41062</v>
      </c>
      <c r="D89" s="1" t="s">
        <v>8</v>
      </c>
      <c r="E89" s="2">
        <v>32</v>
      </c>
      <c r="F89" s="2">
        <v>824.24</v>
      </c>
      <c r="G89" s="2">
        <v>0.1</v>
      </c>
      <c r="H89" s="2">
        <v>0.75</v>
      </c>
      <c r="I89" s="4">
        <v>-127.23</v>
      </c>
      <c r="J89" s="5">
        <v>26.31</v>
      </c>
      <c r="K89" s="5">
        <v>5.89</v>
      </c>
      <c r="L89" s="1" t="s">
        <v>5</v>
      </c>
      <c r="M89" s="1" t="s">
        <v>38</v>
      </c>
      <c r="N89" s="1" t="s">
        <v>21</v>
      </c>
      <c r="O89" s="1" t="s">
        <v>11</v>
      </c>
      <c r="P89" s="1" t="s">
        <v>7</v>
      </c>
      <c r="Q89" s="6">
        <f>C89+0</f>
        <v>41062</v>
      </c>
    </row>
    <row r="90" spans="1:17" ht="15.75" x14ac:dyDescent="0.3">
      <c r="A90" s="1">
        <v>2035</v>
      </c>
      <c r="B90" s="2">
        <v>14503</v>
      </c>
      <c r="C90" s="3">
        <f>DATE(2012,12,31)-695</f>
        <v>40579</v>
      </c>
      <c r="D90" s="1" t="s">
        <v>8</v>
      </c>
      <c r="E90" s="2">
        <v>14</v>
      </c>
      <c r="F90" s="2">
        <v>438.47</v>
      </c>
      <c r="G90" s="2">
        <v>0.02</v>
      </c>
      <c r="H90" s="2">
        <v>0.35</v>
      </c>
      <c r="I90" s="4">
        <v>157.88749999999999</v>
      </c>
      <c r="J90" s="5">
        <v>30.56</v>
      </c>
      <c r="K90" s="5">
        <v>2.99</v>
      </c>
      <c r="L90" s="1" t="s">
        <v>9</v>
      </c>
      <c r="M90" s="1" t="s">
        <v>38</v>
      </c>
      <c r="N90" s="1" t="s">
        <v>2</v>
      </c>
      <c r="O90" s="1" t="s">
        <v>6</v>
      </c>
      <c r="P90" s="1" t="s">
        <v>7</v>
      </c>
      <c r="Q90" s="6">
        <f>C90+1</f>
        <v>40580</v>
      </c>
    </row>
    <row r="91" spans="1:17" ht="15.75" x14ac:dyDescent="0.3">
      <c r="A91" s="1">
        <v>2118</v>
      </c>
      <c r="B91" s="2">
        <v>15109</v>
      </c>
      <c r="C91" s="3">
        <f>DATE(2012,12,31)-748</f>
        <v>40526</v>
      </c>
      <c r="D91" s="1" t="s">
        <v>8</v>
      </c>
      <c r="E91" s="2">
        <v>11</v>
      </c>
      <c r="F91" s="2">
        <v>230.72</v>
      </c>
      <c r="G91" s="2">
        <v>0.08</v>
      </c>
      <c r="H91" s="2">
        <v>0.65</v>
      </c>
      <c r="I91" s="4">
        <v>-68.760000000000005</v>
      </c>
      <c r="J91" s="5">
        <v>20.95</v>
      </c>
      <c r="K91" s="5">
        <v>5.99</v>
      </c>
      <c r="L91" s="1" t="s">
        <v>5</v>
      </c>
      <c r="M91" s="1" t="s">
        <v>38</v>
      </c>
      <c r="N91" s="1" t="s">
        <v>15</v>
      </c>
      <c r="O91" s="1" t="s">
        <v>11</v>
      </c>
      <c r="P91" s="1" t="s">
        <v>7</v>
      </c>
      <c r="Q91" s="6">
        <f>C91+3</f>
        <v>40529</v>
      </c>
    </row>
    <row r="92" spans="1:17" ht="15.75" x14ac:dyDescent="0.3">
      <c r="A92" s="1">
        <v>2119</v>
      </c>
      <c r="B92" s="2">
        <v>15109</v>
      </c>
      <c r="C92" s="3">
        <f>DATE(2012,12,31)-748</f>
        <v>40526</v>
      </c>
      <c r="D92" s="1" t="s">
        <v>8</v>
      </c>
      <c r="E92" s="2">
        <v>45</v>
      </c>
      <c r="F92" s="2">
        <v>293.47000000000003</v>
      </c>
      <c r="G92" s="2">
        <v>0.06</v>
      </c>
      <c r="H92" s="2">
        <v>0.37</v>
      </c>
      <c r="I92" s="4">
        <v>-205.38</v>
      </c>
      <c r="J92" s="5">
        <v>6.48</v>
      </c>
      <c r="K92" s="5">
        <v>8.4</v>
      </c>
      <c r="L92" s="1" t="s">
        <v>5</v>
      </c>
      <c r="M92" s="1" t="s">
        <v>38</v>
      </c>
      <c r="N92" s="1" t="s">
        <v>15</v>
      </c>
      <c r="O92" s="1" t="s">
        <v>6</v>
      </c>
      <c r="P92" s="1" t="s">
        <v>7</v>
      </c>
      <c r="Q92" s="6">
        <f>C92+2</f>
        <v>40528</v>
      </c>
    </row>
    <row r="93" spans="1:17" ht="15.75" x14ac:dyDescent="0.3">
      <c r="A93" s="1">
        <v>2120</v>
      </c>
      <c r="B93" s="2">
        <v>15109</v>
      </c>
      <c r="C93" s="3">
        <f>DATE(2012,12,31)-748</f>
        <v>40526</v>
      </c>
      <c r="D93" s="1" t="s">
        <v>8</v>
      </c>
      <c r="E93" s="2">
        <v>33</v>
      </c>
      <c r="F93" s="2">
        <v>88.7</v>
      </c>
      <c r="G93" s="2">
        <v>0.06</v>
      </c>
      <c r="H93" s="2">
        <v>0.44</v>
      </c>
      <c r="I93" s="4">
        <v>-89.13</v>
      </c>
      <c r="J93" s="5">
        <v>2.52</v>
      </c>
      <c r="K93" s="5">
        <v>4.28</v>
      </c>
      <c r="L93" s="1" t="s">
        <v>5</v>
      </c>
      <c r="M93" s="1" t="s">
        <v>38</v>
      </c>
      <c r="N93" s="1" t="s">
        <v>15</v>
      </c>
      <c r="O93" s="1" t="s">
        <v>6</v>
      </c>
      <c r="P93" s="1" t="s">
        <v>14</v>
      </c>
      <c r="Q93" s="6">
        <f>C93+2</f>
        <v>40528</v>
      </c>
    </row>
    <row r="94" spans="1:17" ht="15.75" x14ac:dyDescent="0.3">
      <c r="A94" s="1">
        <v>2121</v>
      </c>
      <c r="B94" s="2">
        <v>15109</v>
      </c>
      <c r="C94" s="3">
        <f>DATE(2012,12,31)-748</f>
        <v>40526</v>
      </c>
      <c r="D94" s="1" t="s">
        <v>8</v>
      </c>
      <c r="E94" s="2">
        <v>23</v>
      </c>
      <c r="F94" s="2">
        <v>262.77999999999997</v>
      </c>
      <c r="G94" s="2">
        <v>0.04</v>
      </c>
      <c r="H94" s="2">
        <v>0.56999999999999995</v>
      </c>
      <c r="I94" s="4">
        <v>19.36</v>
      </c>
      <c r="J94" s="5">
        <v>10.98</v>
      </c>
      <c r="K94" s="5">
        <v>3.37</v>
      </c>
      <c r="L94" s="1" t="s">
        <v>5</v>
      </c>
      <c r="M94" s="1" t="s">
        <v>38</v>
      </c>
      <c r="N94" s="1" t="s">
        <v>15</v>
      </c>
      <c r="O94" s="1" t="s">
        <v>6</v>
      </c>
      <c r="P94" s="1" t="s">
        <v>20</v>
      </c>
      <c r="Q94" s="6">
        <f>C94+1</f>
        <v>40527</v>
      </c>
    </row>
    <row r="95" spans="1:17" ht="15.75" x14ac:dyDescent="0.3">
      <c r="A95" s="1">
        <v>2122</v>
      </c>
      <c r="B95" s="2">
        <v>15109</v>
      </c>
      <c r="C95" s="3">
        <f>DATE(2012,12,31)-748</f>
        <v>40526</v>
      </c>
      <c r="D95" s="1" t="s">
        <v>8</v>
      </c>
      <c r="E95" s="2">
        <v>10</v>
      </c>
      <c r="F95" s="2">
        <v>142.15</v>
      </c>
      <c r="G95" s="2">
        <v>0.09</v>
      </c>
      <c r="H95" s="2">
        <v>0.56000000000000005</v>
      </c>
      <c r="I95" s="4">
        <v>-58.18</v>
      </c>
      <c r="J95" s="5">
        <v>14.03</v>
      </c>
      <c r="K95" s="5">
        <v>9.3699999999999992</v>
      </c>
      <c r="L95" s="1" t="s">
        <v>5</v>
      </c>
      <c r="M95" s="1" t="s">
        <v>38</v>
      </c>
      <c r="N95" s="1" t="s">
        <v>15</v>
      </c>
      <c r="O95" s="1" t="s">
        <v>6</v>
      </c>
      <c r="P95" s="1" t="s">
        <v>7</v>
      </c>
      <c r="Q95" s="6">
        <f>C95+2</f>
        <v>40528</v>
      </c>
    </row>
    <row r="96" spans="1:17" ht="15.75" x14ac:dyDescent="0.3">
      <c r="A96" s="1">
        <v>2126</v>
      </c>
      <c r="B96" s="2">
        <v>15142</v>
      </c>
      <c r="C96" s="3">
        <f>DATE(2012,12,31)-271</f>
        <v>41003</v>
      </c>
      <c r="D96" s="1" t="s">
        <v>8</v>
      </c>
      <c r="E96" s="2">
        <v>21</v>
      </c>
      <c r="F96" s="2">
        <v>330.22</v>
      </c>
      <c r="G96" s="2">
        <v>7.0000000000000007E-2</v>
      </c>
      <c r="H96" s="2">
        <v>0.36</v>
      </c>
      <c r="I96" s="4">
        <v>-51.715499999999999</v>
      </c>
      <c r="J96" s="5">
        <v>15.28</v>
      </c>
      <c r="K96" s="5">
        <v>10.91</v>
      </c>
      <c r="L96" s="1" t="s">
        <v>5</v>
      </c>
      <c r="M96" s="1" t="s">
        <v>38</v>
      </c>
      <c r="N96" s="1" t="s">
        <v>2</v>
      </c>
      <c r="O96" s="1" t="s">
        <v>6</v>
      </c>
      <c r="P96" s="1" t="s">
        <v>7</v>
      </c>
      <c r="Q96" s="6">
        <f>C96+2</f>
        <v>41005</v>
      </c>
    </row>
    <row r="97" spans="1:17" ht="15.75" x14ac:dyDescent="0.3">
      <c r="A97" s="1">
        <v>2146</v>
      </c>
      <c r="B97" s="2">
        <v>15332</v>
      </c>
      <c r="C97" s="3">
        <f>DATE(2012,12,31)-946</f>
        <v>40328</v>
      </c>
      <c r="D97" s="1" t="s">
        <v>8</v>
      </c>
      <c r="E97" s="2">
        <v>6</v>
      </c>
      <c r="F97" s="2">
        <v>321.70999999999998</v>
      </c>
      <c r="G97" s="2">
        <v>0.1</v>
      </c>
      <c r="H97" s="2">
        <v>0.39</v>
      </c>
      <c r="I97" s="4">
        <v>-2.7254999999999887</v>
      </c>
      <c r="J97" s="5">
        <v>52.4</v>
      </c>
      <c r="K97" s="5">
        <v>16.11</v>
      </c>
      <c r="L97" s="1" t="s">
        <v>5</v>
      </c>
      <c r="M97" s="1" t="s">
        <v>38</v>
      </c>
      <c r="N97" s="1" t="s">
        <v>15</v>
      </c>
      <c r="O97" s="1" t="s">
        <v>6</v>
      </c>
      <c r="P97" s="1" t="s">
        <v>7</v>
      </c>
      <c r="Q97" s="6">
        <f>C97+2</f>
        <v>40330</v>
      </c>
    </row>
    <row r="98" spans="1:17" ht="15.75" x14ac:dyDescent="0.3">
      <c r="A98" s="1">
        <v>2199</v>
      </c>
      <c r="B98" s="2">
        <v>15872</v>
      </c>
      <c r="C98" s="3">
        <f>DATE(2012,12,31)-62</f>
        <v>41212</v>
      </c>
      <c r="D98" s="1" t="s">
        <v>8</v>
      </c>
      <c r="E98" s="2">
        <v>48</v>
      </c>
      <c r="F98" s="2">
        <v>5198.12</v>
      </c>
      <c r="G98" s="2">
        <v>0.01</v>
      </c>
      <c r="H98" s="2">
        <v>0.56999999999999995</v>
      </c>
      <c r="I98" s="4">
        <v>1481.67</v>
      </c>
      <c r="J98" s="5">
        <v>100.98</v>
      </c>
      <c r="K98" s="5">
        <v>15.66</v>
      </c>
      <c r="L98" s="1" t="s">
        <v>1</v>
      </c>
      <c r="M98" s="1" t="s">
        <v>38</v>
      </c>
      <c r="N98" s="1" t="s">
        <v>2</v>
      </c>
      <c r="O98" s="1" t="s">
        <v>6</v>
      </c>
      <c r="P98" s="1" t="s">
        <v>4</v>
      </c>
      <c r="Q98" s="6">
        <f>C98+0</f>
        <v>41212</v>
      </c>
    </row>
    <row r="99" spans="1:17" ht="15.75" x14ac:dyDescent="0.3">
      <c r="A99" s="1">
        <v>2200</v>
      </c>
      <c r="B99" s="2">
        <v>15872</v>
      </c>
      <c r="C99" s="3">
        <f>DATE(2012,12,31)-62</f>
        <v>41212</v>
      </c>
      <c r="D99" s="1" t="s">
        <v>8</v>
      </c>
      <c r="E99" s="2">
        <v>23</v>
      </c>
      <c r="F99" s="2">
        <v>188.53</v>
      </c>
      <c r="G99" s="2">
        <v>0</v>
      </c>
      <c r="H99" s="2">
        <v>0.38</v>
      </c>
      <c r="I99" s="4">
        <v>-27.49</v>
      </c>
      <c r="J99" s="5">
        <v>7.35</v>
      </c>
      <c r="K99" s="5">
        <v>5.96</v>
      </c>
      <c r="L99" s="1" t="s">
        <v>5</v>
      </c>
      <c r="M99" s="1" t="s">
        <v>38</v>
      </c>
      <c r="N99" s="1" t="s">
        <v>2</v>
      </c>
      <c r="O99" s="1" t="s">
        <v>6</v>
      </c>
      <c r="P99" s="1" t="s">
        <v>7</v>
      </c>
      <c r="Q99" s="6">
        <f>C99+2</f>
        <v>41214</v>
      </c>
    </row>
    <row r="100" spans="1:17" ht="15.75" x14ac:dyDescent="0.3">
      <c r="A100" s="1">
        <v>2201</v>
      </c>
      <c r="B100" s="2">
        <v>15872</v>
      </c>
      <c r="C100" s="3">
        <f>DATE(2012,12,31)-62</f>
        <v>41212</v>
      </c>
      <c r="D100" s="1" t="s">
        <v>8</v>
      </c>
      <c r="E100" s="2">
        <v>19</v>
      </c>
      <c r="F100" s="2">
        <v>718.41</v>
      </c>
      <c r="G100" s="2">
        <v>0.1</v>
      </c>
      <c r="H100" s="2">
        <v>0.36</v>
      </c>
      <c r="I100" s="4">
        <v>23.94</v>
      </c>
      <c r="J100" s="5">
        <v>40.99</v>
      </c>
      <c r="K100" s="5">
        <v>17.48</v>
      </c>
      <c r="L100" s="1" t="s">
        <v>5</v>
      </c>
      <c r="M100" s="1" t="s">
        <v>38</v>
      </c>
      <c r="N100" s="1" t="s">
        <v>2</v>
      </c>
      <c r="O100" s="1" t="s">
        <v>6</v>
      </c>
      <c r="P100" s="1" t="s">
        <v>7</v>
      </c>
      <c r="Q100" s="6">
        <f>C100+1</f>
        <v>41213</v>
      </c>
    </row>
    <row r="101" spans="1:17" ht="15.75" x14ac:dyDescent="0.3">
      <c r="A101" s="1">
        <v>2216</v>
      </c>
      <c r="B101" s="2">
        <v>16032</v>
      </c>
      <c r="C101" s="3">
        <f>DATE(2012,12,31)-1122</f>
        <v>40152</v>
      </c>
      <c r="D101" s="1" t="s">
        <v>16</v>
      </c>
      <c r="E101" s="2">
        <v>35</v>
      </c>
      <c r="F101" s="2">
        <v>436.98</v>
      </c>
      <c r="G101" s="2">
        <v>7.0000000000000007E-2</v>
      </c>
      <c r="H101" s="2">
        <v>0.48</v>
      </c>
      <c r="I101" s="4">
        <v>75.61</v>
      </c>
      <c r="J101" s="5">
        <v>12.64</v>
      </c>
      <c r="K101" s="5">
        <v>4.9800000000000004</v>
      </c>
      <c r="L101" s="1" t="s">
        <v>5</v>
      </c>
      <c r="M101" s="1" t="s">
        <v>38</v>
      </c>
      <c r="N101" s="1" t="s">
        <v>15</v>
      </c>
      <c r="O101" s="1" t="s">
        <v>3</v>
      </c>
      <c r="P101" s="1" t="s">
        <v>20</v>
      </c>
      <c r="Q101" s="6">
        <f>C101+7</f>
        <v>40159</v>
      </c>
    </row>
    <row r="102" spans="1:17" ht="15.75" x14ac:dyDescent="0.3">
      <c r="A102" s="1">
        <v>2242</v>
      </c>
      <c r="B102" s="2">
        <v>16165</v>
      </c>
      <c r="C102" s="3">
        <f>DATE(2012,12,31)-893</f>
        <v>40381</v>
      </c>
      <c r="D102" s="1" t="s">
        <v>8</v>
      </c>
      <c r="E102" s="2">
        <v>4</v>
      </c>
      <c r="F102" s="2">
        <v>136.68</v>
      </c>
      <c r="G102" s="2">
        <v>0.01</v>
      </c>
      <c r="H102" s="2">
        <v>0.75</v>
      </c>
      <c r="I102" s="4">
        <v>-125.16</v>
      </c>
      <c r="J102" s="5">
        <v>30.73</v>
      </c>
      <c r="K102" s="5">
        <v>4</v>
      </c>
      <c r="L102" s="1" t="s">
        <v>9</v>
      </c>
      <c r="M102" s="1" t="s">
        <v>38</v>
      </c>
      <c r="N102" s="1" t="s">
        <v>13</v>
      </c>
      <c r="O102" s="1" t="s">
        <v>11</v>
      </c>
      <c r="P102" s="1" t="s">
        <v>7</v>
      </c>
      <c r="Q102" s="6">
        <f>C102+2</f>
        <v>40383</v>
      </c>
    </row>
    <row r="103" spans="1:17" ht="15.75" x14ac:dyDescent="0.3">
      <c r="A103" s="1">
        <v>2243</v>
      </c>
      <c r="B103" s="2">
        <v>16165</v>
      </c>
      <c r="C103" s="3">
        <f>DATE(2012,12,31)-893</f>
        <v>40381</v>
      </c>
      <c r="D103" s="1" t="s">
        <v>8</v>
      </c>
      <c r="E103" s="2">
        <v>24</v>
      </c>
      <c r="F103" s="2">
        <v>1452.48</v>
      </c>
      <c r="G103" s="2">
        <v>7.0000000000000007E-2</v>
      </c>
      <c r="H103" s="2">
        <v>0.63</v>
      </c>
      <c r="I103" s="4">
        <v>376.52</v>
      </c>
      <c r="J103" s="5">
        <v>62.18</v>
      </c>
      <c r="K103" s="5">
        <v>10.84</v>
      </c>
      <c r="L103" s="1" t="s">
        <v>9</v>
      </c>
      <c r="M103" s="1" t="s">
        <v>38</v>
      </c>
      <c r="N103" s="1" t="s">
        <v>13</v>
      </c>
      <c r="O103" s="1" t="s">
        <v>3</v>
      </c>
      <c r="P103" s="1" t="s">
        <v>18</v>
      </c>
      <c r="Q103" s="6">
        <f>C103+1</f>
        <v>40382</v>
      </c>
    </row>
    <row r="104" spans="1:17" ht="15.75" x14ac:dyDescent="0.3">
      <c r="A104" s="1">
        <v>2244</v>
      </c>
      <c r="B104" s="2">
        <v>16165</v>
      </c>
      <c r="C104" s="3">
        <f>DATE(2012,12,31)-893</f>
        <v>40381</v>
      </c>
      <c r="D104" s="1" t="s">
        <v>8</v>
      </c>
      <c r="E104" s="2">
        <v>19</v>
      </c>
      <c r="F104" s="2">
        <v>3555.29</v>
      </c>
      <c r="G104" s="2">
        <v>0.09</v>
      </c>
      <c r="H104" s="2">
        <v>0.71</v>
      </c>
      <c r="I104" s="4">
        <v>183.28</v>
      </c>
      <c r="J104" s="5">
        <v>193.17</v>
      </c>
      <c r="K104" s="5">
        <v>19.989999999999998</v>
      </c>
      <c r="L104" s="1" t="s">
        <v>9</v>
      </c>
      <c r="M104" s="1" t="s">
        <v>38</v>
      </c>
      <c r="N104" s="1" t="s">
        <v>13</v>
      </c>
      <c r="O104" s="1" t="s">
        <v>6</v>
      </c>
      <c r="P104" s="1" t="s">
        <v>7</v>
      </c>
      <c r="Q104" s="6">
        <f>C104+0</f>
        <v>40381</v>
      </c>
    </row>
    <row r="105" spans="1:17" ht="15.75" x14ac:dyDescent="0.3">
      <c r="A105" s="1">
        <v>2426</v>
      </c>
      <c r="B105" s="2">
        <v>17632</v>
      </c>
      <c r="C105" s="3">
        <f>DATE(2012,12,31)-1044</f>
        <v>40230</v>
      </c>
      <c r="D105" s="1" t="s">
        <v>12</v>
      </c>
      <c r="E105" s="2">
        <v>38</v>
      </c>
      <c r="F105" s="2">
        <v>71.12</v>
      </c>
      <c r="G105" s="2">
        <v>0.1</v>
      </c>
      <c r="H105" s="2">
        <v>0.83</v>
      </c>
      <c r="I105" s="4">
        <v>-21.89</v>
      </c>
      <c r="J105" s="5">
        <v>1.98</v>
      </c>
      <c r="K105" s="5">
        <v>0.7</v>
      </c>
      <c r="L105" s="1" t="s">
        <v>5</v>
      </c>
      <c r="M105" s="1" t="s">
        <v>38</v>
      </c>
      <c r="N105" s="1" t="s">
        <v>2</v>
      </c>
      <c r="O105" s="1" t="s">
        <v>6</v>
      </c>
      <c r="P105" s="1" t="s">
        <v>14</v>
      </c>
      <c r="Q105" s="6">
        <f>C105+1</f>
        <v>40231</v>
      </c>
    </row>
    <row r="106" spans="1:17" ht="15.75" x14ac:dyDescent="0.3">
      <c r="A106" s="1">
        <v>2691</v>
      </c>
      <c r="B106" s="2">
        <v>19492</v>
      </c>
      <c r="C106" s="3">
        <f>DATE(2012,12,31)-750</f>
        <v>40524</v>
      </c>
      <c r="D106" s="1" t="s">
        <v>17</v>
      </c>
      <c r="E106" s="2">
        <v>9</v>
      </c>
      <c r="F106" s="2">
        <v>691.09</v>
      </c>
      <c r="G106" s="2">
        <v>0.08</v>
      </c>
      <c r="H106" s="2">
        <v>0.43</v>
      </c>
      <c r="I106" s="4">
        <v>364.03</v>
      </c>
      <c r="J106" s="5">
        <v>78.69</v>
      </c>
      <c r="K106" s="5">
        <v>19.989999999999998</v>
      </c>
      <c r="L106" s="1" t="s">
        <v>5</v>
      </c>
      <c r="M106" s="1" t="s">
        <v>38</v>
      </c>
      <c r="N106" s="1" t="s">
        <v>13</v>
      </c>
      <c r="O106" s="1" t="s">
        <v>3</v>
      </c>
      <c r="P106" s="1" t="s">
        <v>7</v>
      </c>
      <c r="Q106" s="6">
        <f>C106+2</f>
        <v>40526</v>
      </c>
    </row>
    <row r="107" spans="1:17" ht="15.75" x14ac:dyDescent="0.3">
      <c r="A107" s="1">
        <v>2692</v>
      </c>
      <c r="B107" s="2">
        <v>19492</v>
      </c>
      <c r="C107" s="3">
        <f>DATE(2012,12,31)-750</f>
        <v>40524</v>
      </c>
      <c r="D107" s="1" t="s">
        <v>17</v>
      </c>
      <c r="E107" s="2">
        <v>33</v>
      </c>
      <c r="F107" s="2">
        <v>713.7</v>
      </c>
      <c r="G107" s="2">
        <v>0.02</v>
      </c>
      <c r="H107" s="2">
        <v>0.55000000000000004</v>
      </c>
      <c r="I107" s="4">
        <v>176.09</v>
      </c>
      <c r="J107" s="5">
        <v>21.98</v>
      </c>
      <c r="K107" s="5">
        <v>2.87</v>
      </c>
      <c r="L107" s="1" t="s">
        <v>5</v>
      </c>
      <c r="M107" s="1" t="s">
        <v>38</v>
      </c>
      <c r="N107" s="1" t="s">
        <v>13</v>
      </c>
      <c r="O107" s="1" t="s">
        <v>6</v>
      </c>
      <c r="P107" s="1" t="s">
        <v>20</v>
      </c>
      <c r="Q107" s="6">
        <f>C107+1</f>
        <v>40525</v>
      </c>
    </row>
    <row r="108" spans="1:17" ht="15.75" x14ac:dyDescent="0.3">
      <c r="A108" s="1">
        <v>2786</v>
      </c>
      <c r="B108" s="2">
        <v>20102</v>
      </c>
      <c r="C108" s="3">
        <f>DATE(2012,12,31)-575</f>
        <v>40699</v>
      </c>
      <c r="D108" s="1" t="s">
        <v>17</v>
      </c>
      <c r="E108" s="2">
        <v>15</v>
      </c>
      <c r="F108" s="2">
        <v>333.3</v>
      </c>
      <c r="G108" s="2">
        <v>0.03</v>
      </c>
      <c r="H108" s="2">
        <v>0.43</v>
      </c>
      <c r="I108" s="4">
        <v>71.040000000000006</v>
      </c>
      <c r="J108" s="5">
        <v>22.24</v>
      </c>
      <c r="K108" s="5">
        <v>1.99</v>
      </c>
      <c r="L108" s="1" t="s">
        <v>5</v>
      </c>
      <c r="M108" s="1" t="s">
        <v>38</v>
      </c>
      <c r="N108" s="1" t="s">
        <v>13</v>
      </c>
      <c r="O108" s="1" t="s">
        <v>11</v>
      </c>
      <c r="P108" s="1" t="s">
        <v>20</v>
      </c>
      <c r="Q108" s="6">
        <f>C108+1</f>
        <v>40700</v>
      </c>
    </row>
    <row r="109" spans="1:17" ht="15.75" x14ac:dyDescent="0.3">
      <c r="A109" s="1">
        <v>3050</v>
      </c>
      <c r="B109" s="2">
        <v>21863</v>
      </c>
      <c r="C109" s="3">
        <f>DATE(2012,12,31)-771</f>
        <v>40503</v>
      </c>
      <c r="D109" s="1" t="s">
        <v>8</v>
      </c>
      <c r="E109" s="2">
        <v>27</v>
      </c>
      <c r="F109" s="2">
        <v>85.77</v>
      </c>
      <c r="G109" s="2">
        <v>0.03</v>
      </c>
      <c r="H109" s="2">
        <v>0.36</v>
      </c>
      <c r="I109" s="4">
        <v>-102.01649999999999</v>
      </c>
      <c r="J109" s="5">
        <v>2.84</v>
      </c>
      <c r="K109" s="5">
        <v>5.44</v>
      </c>
      <c r="L109" s="1" t="s">
        <v>5</v>
      </c>
      <c r="M109" s="1" t="s">
        <v>38</v>
      </c>
      <c r="N109" s="1" t="s">
        <v>13</v>
      </c>
      <c r="O109" s="1" t="s">
        <v>6</v>
      </c>
      <c r="P109" s="1" t="s">
        <v>7</v>
      </c>
      <c r="Q109" s="6">
        <f>C109+1</f>
        <v>40504</v>
      </c>
    </row>
    <row r="110" spans="1:17" ht="15.75" x14ac:dyDescent="0.3">
      <c r="A110" s="1">
        <v>3051</v>
      </c>
      <c r="B110" s="2">
        <v>21863</v>
      </c>
      <c r="C110" s="3">
        <f>DATE(2012,12,31)-771</f>
        <v>40503</v>
      </c>
      <c r="D110" s="1" t="s">
        <v>8</v>
      </c>
      <c r="E110" s="2">
        <v>13</v>
      </c>
      <c r="F110" s="2">
        <v>149.31</v>
      </c>
      <c r="G110" s="2">
        <v>0</v>
      </c>
      <c r="H110" s="2">
        <v>0.36</v>
      </c>
      <c r="I110" s="4">
        <v>7.7690000000000001</v>
      </c>
      <c r="J110" s="5">
        <v>10.98</v>
      </c>
      <c r="K110" s="5">
        <v>5.14</v>
      </c>
      <c r="L110" s="1" t="s">
        <v>5</v>
      </c>
      <c r="M110" s="1" t="s">
        <v>38</v>
      </c>
      <c r="N110" s="1" t="s">
        <v>13</v>
      </c>
      <c r="O110" s="1" t="s">
        <v>6</v>
      </c>
      <c r="P110" s="1" t="s">
        <v>7</v>
      </c>
      <c r="Q110" s="6">
        <f>C110+1</f>
        <v>40504</v>
      </c>
    </row>
    <row r="111" spans="1:17" ht="15.75" x14ac:dyDescent="0.3">
      <c r="A111" s="1">
        <v>3058</v>
      </c>
      <c r="B111" s="2">
        <v>21894</v>
      </c>
      <c r="C111" s="3">
        <f>DATE(2012,12,31)-379</f>
        <v>40895</v>
      </c>
      <c r="D111" s="1" t="s">
        <v>0</v>
      </c>
      <c r="E111" s="2">
        <v>6</v>
      </c>
      <c r="F111" s="2">
        <v>54.3</v>
      </c>
      <c r="G111" s="2">
        <v>0.1</v>
      </c>
      <c r="H111" s="2">
        <v>0.37</v>
      </c>
      <c r="I111" s="4">
        <v>1.27</v>
      </c>
      <c r="J111" s="5">
        <v>9.68</v>
      </c>
      <c r="K111" s="5">
        <v>2.0299999999999998</v>
      </c>
      <c r="L111" s="1" t="s">
        <v>5</v>
      </c>
      <c r="M111" s="1" t="s">
        <v>38</v>
      </c>
      <c r="N111" s="1" t="s">
        <v>21</v>
      </c>
      <c r="O111" s="1" t="s">
        <v>6</v>
      </c>
      <c r="P111" s="1" t="s">
        <v>14</v>
      </c>
      <c r="Q111" s="6">
        <f>C111+2</f>
        <v>40897</v>
      </c>
    </row>
    <row r="112" spans="1:17" ht="15.75" x14ac:dyDescent="0.3">
      <c r="A112" s="1">
        <v>3072</v>
      </c>
      <c r="B112" s="2">
        <v>22022</v>
      </c>
      <c r="C112" s="3">
        <f>DATE(2012,12,31)-1003</f>
        <v>40271</v>
      </c>
      <c r="D112" s="1" t="s">
        <v>0</v>
      </c>
      <c r="E112" s="2">
        <v>1</v>
      </c>
      <c r="F112" s="2">
        <v>1409.86</v>
      </c>
      <c r="G112" s="2">
        <v>7.0000000000000007E-2</v>
      </c>
      <c r="H112" s="2">
        <v>0.56999999999999995</v>
      </c>
      <c r="I112" s="4">
        <v>-3461.1210000000001</v>
      </c>
      <c r="J112" s="5">
        <v>1500.97</v>
      </c>
      <c r="K112" s="5">
        <v>29.7</v>
      </c>
      <c r="L112" s="1" t="s">
        <v>1</v>
      </c>
      <c r="M112" s="1" t="s">
        <v>38</v>
      </c>
      <c r="N112" s="1" t="s">
        <v>13</v>
      </c>
      <c r="O112" s="1" t="s">
        <v>11</v>
      </c>
      <c r="P112" s="1" t="s">
        <v>4</v>
      </c>
      <c r="Q112" s="6">
        <f>C112+1</f>
        <v>40272</v>
      </c>
    </row>
    <row r="113" spans="1:17" ht="15.75" x14ac:dyDescent="0.3">
      <c r="A113" s="1">
        <v>3159</v>
      </c>
      <c r="B113" s="2">
        <v>22663</v>
      </c>
      <c r="C113" s="3">
        <f>DATE(2012,12,31)-355</f>
        <v>40919</v>
      </c>
      <c r="D113" s="1" t="s">
        <v>16</v>
      </c>
      <c r="E113" s="2">
        <v>35</v>
      </c>
      <c r="F113" s="2">
        <v>9843.11</v>
      </c>
      <c r="G113" s="2">
        <v>7.0000000000000007E-2</v>
      </c>
      <c r="H113" s="2">
        <v>0.78</v>
      </c>
      <c r="I113" s="4">
        <v>-384.6</v>
      </c>
      <c r="J113" s="5">
        <v>280.98</v>
      </c>
      <c r="K113" s="5">
        <v>57</v>
      </c>
      <c r="L113" s="1" t="s">
        <v>1</v>
      </c>
      <c r="M113" s="1" t="s">
        <v>38</v>
      </c>
      <c r="N113" s="1" t="s">
        <v>2</v>
      </c>
      <c r="O113" s="1" t="s">
        <v>3</v>
      </c>
      <c r="P113" s="1" t="s">
        <v>4</v>
      </c>
      <c r="Q113" s="6">
        <f>C113+0</f>
        <v>40919</v>
      </c>
    </row>
    <row r="114" spans="1:17" ht="15.75" x14ac:dyDescent="0.3">
      <c r="A114" s="1">
        <v>3160</v>
      </c>
      <c r="B114" s="2">
        <v>22663</v>
      </c>
      <c r="C114" s="3">
        <f>DATE(2012,12,31)-355</f>
        <v>40919</v>
      </c>
      <c r="D114" s="1" t="s">
        <v>16</v>
      </c>
      <c r="E114" s="2">
        <v>15</v>
      </c>
      <c r="F114" s="2">
        <v>7190.06</v>
      </c>
      <c r="G114" s="2">
        <v>0.08</v>
      </c>
      <c r="H114" s="2">
        <v>0.38</v>
      </c>
      <c r="I114" s="4">
        <v>1908.45</v>
      </c>
      <c r="J114" s="5">
        <v>500.98</v>
      </c>
      <c r="K114" s="5">
        <v>28.14</v>
      </c>
      <c r="L114" s="1" t="s">
        <v>1</v>
      </c>
      <c r="M114" s="1" t="s">
        <v>38</v>
      </c>
      <c r="N114" s="1" t="s">
        <v>2</v>
      </c>
      <c r="O114" s="1" t="s">
        <v>11</v>
      </c>
      <c r="P114" s="1" t="s">
        <v>4</v>
      </c>
      <c r="Q114" s="6">
        <f>C114+5</f>
        <v>40924</v>
      </c>
    </row>
    <row r="115" spans="1:17" ht="15.75" x14ac:dyDescent="0.3">
      <c r="A115" s="1">
        <v>3317</v>
      </c>
      <c r="B115" s="2">
        <v>23713</v>
      </c>
      <c r="C115" s="3">
        <f>DATE(2012,12,31)-33</f>
        <v>41241</v>
      </c>
      <c r="D115" s="1" t="s">
        <v>8</v>
      </c>
      <c r="E115" s="2">
        <v>38</v>
      </c>
      <c r="F115" s="2">
        <v>3701.5204999999996</v>
      </c>
      <c r="G115" s="2">
        <v>0.05</v>
      </c>
      <c r="H115" s="2">
        <v>0.57999999999999996</v>
      </c>
      <c r="I115" s="4">
        <v>894.06</v>
      </c>
      <c r="J115" s="5">
        <v>115.99</v>
      </c>
      <c r="K115" s="5">
        <v>5.92</v>
      </c>
      <c r="L115" s="1" t="s">
        <v>5</v>
      </c>
      <c r="M115" s="1" t="s">
        <v>38</v>
      </c>
      <c r="N115" s="1" t="s">
        <v>21</v>
      </c>
      <c r="O115" s="1" t="s">
        <v>11</v>
      </c>
      <c r="P115" s="1" t="s">
        <v>7</v>
      </c>
      <c r="Q115" s="6">
        <f>C115+3</f>
        <v>41244</v>
      </c>
    </row>
    <row r="116" spans="1:17" ht="15.75" x14ac:dyDescent="0.3">
      <c r="A116" s="1">
        <v>3411</v>
      </c>
      <c r="B116" s="2">
        <v>24358</v>
      </c>
      <c r="C116" s="3">
        <f>DATE(2012,12,31)-1325</f>
        <v>39949</v>
      </c>
      <c r="D116" s="1" t="s">
        <v>0</v>
      </c>
      <c r="E116" s="2">
        <v>27</v>
      </c>
      <c r="F116" s="2">
        <v>7333.45</v>
      </c>
      <c r="G116" s="2">
        <v>7.0000000000000007E-2</v>
      </c>
      <c r="H116" s="2">
        <v>0.8</v>
      </c>
      <c r="I116" s="4">
        <v>-207.28</v>
      </c>
      <c r="J116" s="5">
        <v>279.48</v>
      </c>
      <c r="K116" s="5">
        <v>35</v>
      </c>
      <c r="L116" s="1" t="s">
        <v>5</v>
      </c>
      <c r="M116" s="1" t="s">
        <v>38</v>
      </c>
      <c r="N116" s="1" t="s">
        <v>13</v>
      </c>
      <c r="O116" s="1" t="s">
        <v>6</v>
      </c>
      <c r="P116" s="1" t="s">
        <v>10</v>
      </c>
      <c r="Q116" s="6">
        <f>C116+0</f>
        <v>39949</v>
      </c>
    </row>
    <row r="117" spans="1:17" ht="15.75" x14ac:dyDescent="0.3">
      <c r="A117" s="1">
        <v>3415</v>
      </c>
      <c r="B117" s="2">
        <v>24386</v>
      </c>
      <c r="C117" s="3">
        <f>DATE(2012,12,31)-188</f>
        <v>41086</v>
      </c>
      <c r="D117" s="1" t="s">
        <v>17</v>
      </c>
      <c r="E117" s="2">
        <v>41</v>
      </c>
      <c r="F117" s="2">
        <v>4256.51</v>
      </c>
      <c r="G117" s="2">
        <v>0.03</v>
      </c>
      <c r="H117" s="2">
        <v>0.46</v>
      </c>
      <c r="I117" s="4">
        <v>1653.96</v>
      </c>
      <c r="J117" s="5">
        <v>100.97</v>
      </c>
      <c r="K117" s="5">
        <v>7.18</v>
      </c>
      <c r="L117" s="1" t="s">
        <v>5</v>
      </c>
      <c r="M117" s="1" t="s">
        <v>38</v>
      </c>
      <c r="N117" s="1" t="s">
        <v>2</v>
      </c>
      <c r="O117" s="1" t="s">
        <v>11</v>
      </c>
      <c r="P117" s="1" t="s">
        <v>7</v>
      </c>
      <c r="Q117" s="6">
        <f>C117+2</f>
        <v>41088</v>
      </c>
    </row>
    <row r="118" spans="1:17" ht="15.75" x14ac:dyDescent="0.3">
      <c r="A118" s="1">
        <v>3416</v>
      </c>
      <c r="B118" s="2">
        <v>24386</v>
      </c>
      <c r="C118" s="3">
        <f>DATE(2012,12,31)-188</f>
        <v>41086</v>
      </c>
      <c r="D118" s="1" t="s">
        <v>17</v>
      </c>
      <c r="E118" s="2">
        <v>12</v>
      </c>
      <c r="F118" s="2">
        <v>503.08</v>
      </c>
      <c r="G118" s="2">
        <v>0.01</v>
      </c>
      <c r="H118" s="2">
        <v>0.74</v>
      </c>
      <c r="I118" s="4">
        <v>-102.74</v>
      </c>
      <c r="J118" s="5">
        <v>40.98</v>
      </c>
      <c r="K118" s="5">
        <v>6.5</v>
      </c>
      <c r="L118" s="1" t="s">
        <v>5</v>
      </c>
      <c r="M118" s="1" t="s">
        <v>38</v>
      </c>
      <c r="N118" s="1" t="s">
        <v>2</v>
      </c>
      <c r="O118" s="1" t="s">
        <v>11</v>
      </c>
      <c r="P118" s="1" t="s">
        <v>7</v>
      </c>
      <c r="Q118" s="6">
        <f>C118+2</f>
        <v>41088</v>
      </c>
    </row>
    <row r="119" spans="1:17" ht="15.75" x14ac:dyDescent="0.3">
      <c r="A119" s="1">
        <v>3417</v>
      </c>
      <c r="B119" s="2">
        <v>24386</v>
      </c>
      <c r="C119" s="3">
        <f>DATE(2012,12,31)-188</f>
        <v>41086</v>
      </c>
      <c r="D119" s="1" t="s">
        <v>17</v>
      </c>
      <c r="E119" s="2">
        <v>15</v>
      </c>
      <c r="F119" s="2">
        <v>76.94</v>
      </c>
      <c r="G119" s="2">
        <v>0</v>
      </c>
      <c r="H119" s="2">
        <v>0.39</v>
      </c>
      <c r="I119" s="4">
        <v>29.67</v>
      </c>
      <c r="J119" s="5">
        <v>4.13</v>
      </c>
      <c r="K119" s="5">
        <v>0.99</v>
      </c>
      <c r="L119" s="1" t="s">
        <v>9</v>
      </c>
      <c r="M119" s="1" t="s">
        <v>38</v>
      </c>
      <c r="N119" s="1" t="s">
        <v>2</v>
      </c>
      <c r="O119" s="1" t="s">
        <v>6</v>
      </c>
      <c r="P119" s="1" t="s">
        <v>7</v>
      </c>
      <c r="Q119" s="6">
        <f>C119+1</f>
        <v>41087</v>
      </c>
    </row>
    <row r="120" spans="1:17" ht="15.75" x14ac:dyDescent="0.3">
      <c r="A120" s="1">
        <v>3494</v>
      </c>
      <c r="B120" s="2">
        <v>24899</v>
      </c>
      <c r="C120" s="3">
        <f>DATE(2012,12,31)-499</f>
        <v>40775</v>
      </c>
      <c r="D120" s="1" t="s">
        <v>8</v>
      </c>
      <c r="E120" s="2">
        <v>37</v>
      </c>
      <c r="F120" s="2">
        <v>252.99</v>
      </c>
      <c r="G120" s="2">
        <v>0.08</v>
      </c>
      <c r="H120" s="2">
        <v>0.47</v>
      </c>
      <c r="I120" s="4">
        <v>28.76</v>
      </c>
      <c r="J120" s="5">
        <v>7.08</v>
      </c>
      <c r="K120" s="5">
        <v>2.35</v>
      </c>
      <c r="L120" s="1" t="s">
        <v>5</v>
      </c>
      <c r="M120" s="1" t="s">
        <v>38</v>
      </c>
      <c r="N120" s="1" t="s">
        <v>15</v>
      </c>
      <c r="O120" s="1" t="s">
        <v>6</v>
      </c>
      <c r="P120" s="1" t="s">
        <v>14</v>
      </c>
      <c r="Q120" s="6">
        <f>C120+2</f>
        <v>40777</v>
      </c>
    </row>
    <row r="121" spans="1:17" ht="15.75" x14ac:dyDescent="0.3">
      <c r="A121" s="1">
        <v>3571</v>
      </c>
      <c r="B121" s="2">
        <v>25473</v>
      </c>
      <c r="C121" s="3">
        <f>DATE(2012,12,31)-78</f>
        <v>41196</v>
      </c>
      <c r="D121" s="1" t="s">
        <v>17</v>
      </c>
      <c r="E121" s="2">
        <v>36</v>
      </c>
      <c r="F121" s="2">
        <v>17304.849999999999</v>
      </c>
      <c r="G121" s="2">
        <v>0.05</v>
      </c>
      <c r="H121" s="2">
        <v>0.38</v>
      </c>
      <c r="I121" s="4">
        <v>7434.48</v>
      </c>
      <c r="J121" s="5">
        <v>500.98</v>
      </c>
      <c r="K121" s="5">
        <v>28.14</v>
      </c>
      <c r="L121" s="1" t="s">
        <v>1</v>
      </c>
      <c r="M121" s="1" t="s">
        <v>38</v>
      </c>
      <c r="N121" s="1" t="s">
        <v>2</v>
      </c>
      <c r="O121" s="1" t="s">
        <v>11</v>
      </c>
      <c r="P121" s="1" t="s">
        <v>4</v>
      </c>
      <c r="Q121" s="6">
        <f>C121+2</f>
        <v>41198</v>
      </c>
    </row>
    <row r="122" spans="1:17" ht="15.75" x14ac:dyDescent="0.3">
      <c r="A122" s="1">
        <v>3572</v>
      </c>
      <c r="B122" s="2">
        <v>25473</v>
      </c>
      <c r="C122" s="3">
        <f>DATE(2012,12,31)-78</f>
        <v>41196</v>
      </c>
      <c r="D122" s="1" t="s">
        <v>17</v>
      </c>
      <c r="E122" s="2">
        <v>20</v>
      </c>
      <c r="F122" s="2">
        <v>794.32</v>
      </c>
      <c r="G122" s="2">
        <v>0.08</v>
      </c>
      <c r="H122" s="2">
        <v>0.36</v>
      </c>
      <c r="I122" s="4">
        <v>67.61</v>
      </c>
      <c r="J122" s="5">
        <v>40.99</v>
      </c>
      <c r="K122" s="5">
        <v>17.48</v>
      </c>
      <c r="L122" s="1" t="s">
        <v>5</v>
      </c>
      <c r="M122" s="1" t="s">
        <v>38</v>
      </c>
      <c r="N122" s="1" t="s">
        <v>2</v>
      </c>
      <c r="O122" s="1" t="s">
        <v>6</v>
      </c>
      <c r="P122" s="1" t="s">
        <v>7</v>
      </c>
      <c r="Q122" s="6">
        <f>C122+3</f>
        <v>41199</v>
      </c>
    </row>
    <row r="123" spans="1:17" ht="15.75" x14ac:dyDescent="0.3">
      <c r="A123" s="1">
        <v>3596</v>
      </c>
      <c r="B123" s="2">
        <v>25638</v>
      </c>
      <c r="C123" s="3">
        <f>DATE(2012,12,31)-1243</f>
        <v>40031</v>
      </c>
      <c r="D123" s="1" t="s">
        <v>17</v>
      </c>
      <c r="E123" s="2">
        <v>31</v>
      </c>
      <c r="F123" s="2">
        <v>163.89</v>
      </c>
      <c r="G123" s="2">
        <v>0.02</v>
      </c>
      <c r="H123" s="2">
        <v>0.66</v>
      </c>
      <c r="I123" s="4">
        <v>-108.55</v>
      </c>
      <c r="J123" s="5">
        <v>4.8899999999999997</v>
      </c>
      <c r="K123" s="5">
        <v>4.93</v>
      </c>
      <c r="L123" s="1" t="s">
        <v>5</v>
      </c>
      <c r="M123" s="1" t="s">
        <v>38</v>
      </c>
      <c r="N123" s="1" t="s">
        <v>2</v>
      </c>
      <c r="O123" s="1" t="s">
        <v>11</v>
      </c>
      <c r="P123" s="1" t="s">
        <v>20</v>
      </c>
      <c r="Q123" s="6">
        <f>C123+1</f>
        <v>40032</v>
      </c>
    </row>
    <row r="124" spans="1:17" ht="15.75" x14ac:dyDescent="0.3">
      <c r="A124" s="1">
        <v>3597</v>
      </c>
      <c r="B124" s="2">
        <v>25638</v>
      </c>
      <c r="C124" s="3">
        <f>DATE(2012,12,31)-1243</f>
        <v>40031</v>
      </c>
      <c r="D124" s="1" t="s">
        <v>17</v>
      </c>
      <c r="E124" s="2">
        <v>12</v>
      </c>
      <c r="F124" s="2">
        <v>115.45</v>
      </c>
      <c r="G124" s="2">
        <v>7.0000000000000007E-2</v>
      </c>
      <c r="H124" s="2">
        <v>0.39</v>
      </c>
      <c r="I124" s="4">
        <v>23.53</v>
      </c>
      <c r="J124" s="5">
        <v>10.06</v>
      </c>
      <c r="K124" s="5">
        <v>2.06</v>
      </c>
      <c r="L124" s="1" t="s">
        <v>5</v>
      </c>
      <c r="M124" s="1" t="s">
        <v>38</v>
      </c>
      <c r="N124" s="1" t="s">
        <v>2</v>
      </c>
      <c r="O124" s="1" t="s">
        <v>6</v>
      </c>
      <c r="P124" s="1" t="s">
        <v>14</v>
      </c>
      <c r="Q124" s="6">
        <f>C124+1</f>
        <v>40032</v>
      </c>
    </row>
    <row r="125" spans="1:17" ht="15.75" x14ac:dyDescent="0.3">
      <c r="A125" s="1">
        <v>3638</v>
      </c>
      <c r="B125" s="2">
        <v>26016</v>
      </c>
      <c r="C125" s="3">
        <f>DATE(2012,12,31)-1181</f>
        <v>40093</v>
      </c>
      <c r="D125" s="1" t="s">
        <v>17</v>
      </c>
      <c r="E125" s="2">
        <v>2</v>
      </c>
      <c r="F125" s="2">
        <v>154.94</v>
      </c>
      <c r="G125" s="2">
        <v>0.09</v>
      </c>
      <c r="H125" s="2">
        <v>0.76</v>
      </c>
      <c r="I125" s="4">
        <v>-358.43</v>
      </c>
      <c r="J125" s="5">
        <v>77.510000000000005</v>
      </c>
      <c r="K125" s="5">
        <v>4</v>
      </c>
      <c r="L125" s="1" t="s">
        <v>5</v>
      </c>
      <c r="M125" s="1" t="s">
        <v>38</v>
      </c>
      <c r="N125" s="1" t="s">
        <v>21</v>
      </c>
      <c r="O125" s="1" t="s">
        <v>11</v>
      </c>
      <c r="P125" s="1" t="s">
        <v>7</v>
      </c>
      <c r="Q125" s="6">
        <f>C125+2</f>
        <v>40095</v>
      </c>
    </row>
    <row r="126" spans="1:17" ht="15.75" x14ac:dyDescent="0.3">
      <c r="A126" s="1">
        <v>3639</v>
      </c>
      <c r="B126" s="2">
        <v>26016</v>
      </c>
      <c r="C126" s="3">
        <f>DATE(2012,12,31)-1181</f>
        <v>40093</v>
      </c>
      <c r="D126" s="1" t="s">
        <v>17</v>
      </c>
      <c r="E126" s="2">
        <v>44</v>
      </c>
      <c r="F126" s="2">
        <v>1642.6420000000001</v>
      </c>
      <c r="G126" s="2">
        <v>0.08</v>
      </c>
      <c r="H126" s="2">
        <v>0.56000000000000005</v>
      </c>
      <c r="I126" s="4">
        <v>314.83799999999997</v>
      </c>
      <c r="J126" s="5">
        <v>45.99</v>
      </c>
      <c r="K126" s="5">
        <v>4.99</v>
      </c>
      <c r="L126" s="1" t="s">
        <v>9</v>
      </c>
      <c r="M126" s="1" t="s">
        <v>38</v>
      </c>
      <c r="N126" s="1" t="s">
        <v>21</v>
      </c>
      <c r="O126" s="1" t="s">
        <v>11</v>
      </c>
      <c r="P126" s="1" t="s">
        <v>7</v>
      </c>
      <c r="Q126" s="6">
        <f>C126+2</f>
        <v>40095</v>
      </c>
    </row>
    <row r="127" spans="1:17" ht="15.75" x14ac:dyDescent="0.3">
      <c r="A127" s="1">
        <v>3659</v>
      </c>
      <c r="B127" s="2">
        <v>26182</v>
      </c>
      <c r="C127" s="3">
        <f>DATE(2012,12,31)-1080</f>
        <v>40194</v>
      </c>
      <c r="D127" s="1" t="s">
        <v>8</v>
      </c>
      <c r="E127" s="2">
        <v>4</v>
      </c>
      <c r="F127" s="2">
        <v>770.76</v>
      </c>
      <c r="G127" s="2">
        <v>0.08</v>
      </c>
      <c r="H127" s="2">
        <v>0.57999999999999996</v>
      </c>
      <c r="I127" s="4">
        <v>-192.51</v>
      </c>
      <c r="J127" s="5">
        <v>200.98</v>
      </c>
      <c r="K127" s="5">
        <v>23.76</v>
      </c>
      <c r="L127" s="1" t="s">
        <v>1</v>
      </c>
      <c r="M127" s="1" t="s">
        <v>38</v>
      </c>
      <c r="N127" s="1" t="s">
        <v>2</v>
      </c>
      <c r="O127" s="1" t="s">
        <v>3</v>
      </c>
      <c r="P127" s="1" t="s">
        <v>4</v>
      </c>
      <c r="Q127" s="6">
        <f>C127+0</f>
        <v>40194</v>
      </c>
    </row>
    <row r="128" spans="1:17" ht="15.75" x14ac:dyDescent="0.3">
      <c r="A128" s="1">
        <v>3735</v>
      </c>
      <c r="B128" s="2">
        <v>26691</v>
      </c>
      <c r="C128" s="3">
        <f>DATE(2012,12,31)-150</f>
        <v>41124</v>
      </c>
      <c r="D128" s="1" t="s">
        <v>8</v>
      </c>
      <c r="E128" s="2">
        <v>37</v>
      </c>
      <c r="F128" s="2">
        <v>270.43</v>
      </c>
      <c r="G128" s="2">
        <v>7.0000000000000007E-2</v>
      </c>
      <c r="H128" s="2">
        <v>0.35</v>
      </c>
      <c r="I128" s="4">
        <v>-83.156500000000008</v>
      </c>
      <c r="J128" s="5">
        <v>7.68</v>
      </c>
      <c r="K128" s="5">
        <v>6.16</v>
      </c>
      <c r="L128" s="1" t="s">
        <v>5</v>
      </c>
      <c r="M128" s="1" t="s">
        <v>38</v>
      </c>
      <c r="N128" s="1" t="s">
        <v>2</v>
      </c>
      <c r="O128" s="1" t="s">
        <v>6</v>
      </c>
      <c r="P128" s="1" t="s">
        <v>7</v>
      </c>
      <c r="Q128" s="6">
        <f>C128+1</f>
        <v>41125</v>
      </c>
    </row>
    <row r="129" spans="1:17" ht="15.75" x14ac:dyDescent="0.3">
      <c r="A129" s="1">
        <v>3793</v>
      </c>
      <c r="B129" s="2">
        <v>27015</v>
      </c>
      <c r="C129" s="3">
        <f>DATE(2012,12,31)-366</f>
        <v>40908</v>
      </c>
      <c r="D129" s="1" t="s">
        <v>16</v>
      </c>
      <c r="E129" s="2">
        <v>24</v>
      </c>
      <c r="F129" s="2">
        <v>1339.25</v>
      </c>
      <c r="G129" s="2">
        <v>0.03</v>
      </c>
      <c r="H129" s="2">
        <v>0.56000000000000005</v>
      </c>
      <c r="I129" s="4">
        <v>142.51</v>
      </c>
      <c r="J129" s="5">
        <v>56.96</v>
      </c>
      <c r="K129" s="5">
        <v>13.22</v>
      </c>
      <c r="L129" s="1" t="s">
        <v>5</v>
      </c>
      <c r="M129" s="1" t="s">
        <v>38</v>
      </c>
      <c r="N129" s="1" t="s">
        <v>15</v>
      </c>
      <c r="O129" s="1" t="s">
        <v>6</v>
      </c>
      <c r="P129" s="1" t="s">
        <v>7</v>
      </c>
      <c r="Q129" s="6">
        <f>C129+0</f>
        <v>40908</v>
      </c>
    </row>
    <row r="130" spans="1:17" ht="15.75" x14ac:dyDescent="0.3">
      <c r="A130" s="1">
        <v>3902</v>
      </c>
      <c r="B130" s="2">
        <v>27840</v>
      </c>
      <c r="C130" s="3">
        <f>DATE(2012,12,31)-1277</f>
        <v>39997</v>
      </c>
      <c r="D130" s="1" t="s">
        <v>17</v>
      </c>
      <c r="E130" s="2">
        <v>8</v>
      </c>
      <c r="F130" s="2">
        <v>1209.3699999999999</v>
      </c>
      <c r="G130" s="2">
        <v>0.09</v>
      </c>
      <c r="H130" s="2">
        <v>0.65</v>
      </c>
      <c r="I130" s="4">
        <v>-407.85</v>
      </c>
      <c r="J130" s="5">
        <v>150.97999999999999</v>
      </c>
      <c r="K130" s="5">
        <v>66.27</v>
      </c>
      <c r="L130" s="1" t="s">
        <v>1</v>
      </c>
      <c r="M130" s="1" t="s">
        <v>38</v>
      </c>
      <c r="N130" s="1" t="s">
        <v>15</v>
      </c>
      <c r="O130" s="1" t="s">
        <v>3</v>
      </c>
      <c r="P130" s="1" t="s">
        <v>19</v>
      </c>
      <c r="Q130" s="6">
        <f>C130+1</f>
        <v>39998</v>
      </c>
    </row>
    <row r="131" spans="1:17" ht="15.75" x14ac:dyDescent="0.3">
      <c r="A131" s="1">
        <v>3945</v>
      </c>
      <c r="B131" s="2">
        <v>28130</v>
      </c>
      <c r="C131" s="3">
        <f>DATE(2012,12,31)-1250</f>
        <v>40024</v>
      </c>
      <c r="D131" s="1" t="s">
        <v>16</v>
      </c>
      <c r="E131" s="2">
        <v>23</v>
      </c>
      <c r="F131" s="2">
        <v>404.24</v>
      </c>
      <c r="G131" s="2">
        <v>0.02</v>
      </c>
      <c r="H131" s="2">
        <v>0.37</v>
      </c>
      <c r="I131" s="4">
        <v>-76.992500000000007</v>
      </c>
      <c r="J131" s="5">
        <v>15.99</v>
      </c>
      <c r="K131" s="5">
        <v>13.18</v>
      </c>
      <c r="L131" s="1" t="s">
        <v>9</v>
      </c>
      <c r="M131" s="1" t="s">
        <v>38</v>
      </c>
      <c r="N131" s="1" t="s">
        <v>2</v>
      </c>
      <c r="O131" s="1" t="s">
        <v>6</v>
      </c>
      <c r="P131" s="1" t="s">
        <v>7</v>
      </c>
      <c r="Q131" s="6">
        <f>C131+4</f>
        <v>40028</v>
      </c>
    </row>
    <row r="132" spans="1:17" ht="15.75" x14ac:dyDescent="0.3">
      <c r="A132" s="1">
        <v>3946</v>
      </c>
      <c r="B132" s="2">
        <v>28130</v>
      </c>
      <c r="C132" s="3">
        <f>DATE(2012,12,31)-1250</f>
        <v>40024</v>
      </c>
      <c r="D132" s="1" t="s">
        <v>16</v>
      </c>
      <c r="E132" s="2">
        <v>32</v>
      </c>
      <c r="F132" s="2">
        <v>1381.88</v>
      </c>
      <c r="G132" s="2">
        <v>0.09</v>
      </c>
      <c r="H132" s="2">
        <v>0.44</v>
      </c>
      <c r="I132" s="4">
        <v>598.20000000000005</v>
      </c>
      <c r="J132" s="5">
        <v>46.94</v>
      </c>
      <c r="K132" s="5">
        <v>6.77</v>
      </c>
      <c r="L132" s="1" t="s">
        <v>9</v>
      </c>
      <c r="M132" s="1" t="s">
        <v>38</v>
      </c>
      <c r="N132" s="1" t="s">
        <v>2</v>
      </c>
      <c r="O132" s="1" t="s">
        <v>3</v>
      </c>
      <c r="P132" s="1" t="s">
        <v>7</v>
      </c>
      <c r="Q132" s="6">
        <f>C132+0</f>
        <v>40024</v>
      </c>
    </row>
    <row r="133" spans="1:17" ht="15.75" x14ac:dyDescent="0.3">
      <c r="A133" s="1">
        <v>3964</v>
      </c>
      <c r="B133" s="2">
        <v>28290</v>
      </c>
      <c r="C133" s="3">
        <f>DATE(2012,12,31)-1451</f>
        <v>39823</v>
      </c>
      <c r="D133" s="1" t="s">
        <v>16</v>
      </c>
      <c r="E133" s="2">
        <v>43</v>
      </c>
      <c r="F133" s="2">
        <v>1307.3499999999999</v>
      </c>
      <c r="G133" s="2">
        <v>0.05</v>
      </c>
      <c r="H133" s="2">
        <v>0.74</v>
      </c>
      <c r="I133" s="4">
        <v>-154.24</v>
      </c>
      <c r="J133" s="5">
        <v>30.42</v>
      </c>
      <c r="K133" s="5">
        <v>8.65</v>
      </c>
      <c r="L133" s="1" t="s">
        <v>9</v>
      </c>
      <c r="M133" s="1" t="s">
        <v>38</v>
      </c>
      <c r="N133" s="1" t="s">
        <v>15</v>
      </c>
      <c r="O133" s="1" t="s">
        <v>11</v>
      </c>
      <c r="P133" s="1" t="s">
        <v>7</v>
      </c>
      <c r="Q133" s="6">
        <f>C133+4</f>
        <v>39827</v>
      </c>
    </row>
    <row r="134" spans="1:17" ht="15.75" x14ac:dyDescent="0.3">
      <c r="A134" s="1">
        <v>3965</v>
      </c>
      <c r="B134" s="2">
        <v>28290</v>
      </c>
      <c r="C134" s="3">
        <f>DATE(2012,12,31)-1451</f>
        <v>39823</v>
      </c>
      <c r="D134" s="1" t="s">
        <v>16</v>
      </c>
      <c r="E134" s="2">
        <v>3</v>
      </c>
      <c r="F134" s="2">
        <v>523.58000000000004</v>
      </c>
      <c r="G134" s="2">
        <v>0.01</v>
      </c>
      <c r="H134" s="2">
        <v>0.66</v>
      </c>
      <c r="I134" s="4">
        <v>-179.36</v>
      </c>
      <c r="J134" s="5">
        <v>161.55000000000001</v>
      </c>
      <c r="K134" s="5">
        <v>19.989999999999998</v>
      </c>
      <c r="L134" s="1" t="s">
        <v>9</v>
      </c>
      <c r="M134" s="1" t="s">
        <v>38</v>
      </c>
      <c r="N134" s="1" t="s">
        <v>15</v>
      </c>
      <c r="O134" s="1" t="s">
        <v>6</v>
      </c>
      <c r="P134" s="1" t="s">
        <v>7</v>
      </c>
      <c r="Q134" s="6">
        <f>C134+2</f>
        <v>39825</v>
      </c>
    </row>
    <row r="135" spans="1:17" ht="15.75" x14ac:dyDescent="0.3">
      <c r="A135" s="1">
        <v>4211</v>
      </c>
      <c r="B135" s="2">
        <v>29927</v>
      </c>
      <c r="C135" s="3">
        <f>DATE(2012,12,31)-54</f>
        <v>41220</v>
      </c>
      <c r="D135" s="1" t="s">
        <v>17</v>
      </c>
      <c r="E135" s="2">
        <v>19</v>
      </c>
      <c r="F135" s="2">
        <v>257.97000000000003</v>
      </c>
      <c r="G135" s="2">
        <v>0.03</v>
      </c>
      <c r="H135" s="2">
        <v>0.4</v>
      </c>
      <c r="I135" s="4">
        <v>33.1755</v>
      </c>
      <c r="J135" s="5">
        <v>12.95</v>
      </c>
      <c r="K135" s="5">
        <v>4.9800000000000004</v>
      </c>
      <c r="L135" s="1" t="s">
        <v>5</v>
      </c>
      <c r="M135" s="1" t="s">
        <v>38</v>
      </c>
      <c r="N135" s="1" t="s">
        <v>2</v>
      </c>
      <c r="O135" s="1" t="s">
        <v>6</v>
      </c>
      <c r="P135" s="1" t="s">
        <v>7</v>
      </c>
      <c r="Q135" s="6">
        <f>C135+1</f>
        <v>41221</v>
      </c>
    </row>
    <row r="136" spans="1:17" ht="15.75" x14ac:dyDescent="0.3">
      <c r="A136" s="1">
        <v>4212</v>
      </c>
      <c r="B136" s="2">
        <v>29953</v>
      </c>
      <c r="C136" s="3">
        <f>DATE(2012,12,31)-693</f>
        <v>40581</v>
      </c>
      <c r="D136" s="1" t="s">
        <v>0</v>
      </c>
      <c r="E136" s="2">
        <v>42</v>
      </c>
      <c r="F136" s="2">
        <v>619.77</v>
      </c>
      <c r="G136" s="2">
        <v>0.02</v>
      </c>
      <c r="H136" s="2">
        <v>0.38</v>
      </c>
      <c r="I136" s="4">
        <v>50.243499999999997</v>
      </c>
      <c r="J136" s="5">
        <v>14.45</v>
      </c>
      <c r="K136" s="5">
        <v>7.17</v>
      </c>
      <c r="L136" s="1" t="s">
        <v>5</v>
      </c>
      <c r="M136" s="1" t="s">
        <v>38</v>
      </c>
      <c r="N136" s="1" t="s">
        <v>15</v>
      </c>
      <c r="O136" s="1" t="s">
        <v>6</v>
      </c>
      <c r="P136" s="1" t="s">
        <v>7</v>
      </c>
      <c r="Q136" s="6">
        <f>C136+3</f>
        <v>40584</v>
      </c>
    </row>
    <row r="137" spans="1:17" ht="15.75" x14ac:dyDescent="0.3">
      <c r="A137" s="1">
        <v>4387</v>
      </c>
      <c r="B137" s="2">
        <v>31238</v>
      </c>
      <c r="C137" s="3">
        <f>DATE(2012,12,31)-862</f>
        <v>40412</v>
      </c>
      <c r="D137" s="1" t="s">
        <v>12</v>
      </c>
      <c r="E137" s="2">
        <v>21</v>
      </c>
      <c r="F137" s="2">
        <v>7512.03</v>
      </c>
      <c r="G137" s="2">
        <v>0.09</v>
      </c>
      <c r="H137" s="2">
        <v>0.56999999999999995</v>
      </c>
      <c r="I137" s="4">
        <v>2017.64</v>
      </c>
      <c r="J137" s="5">
        <v>363.25</v>
      </c>
      <c r="K137" s="5">
        <v>19.989999999999998</v>
      </c>
      <c r="L137" s="1" t="s">
        <v>9</v>
      </c>
      <c r="M137" s="1" t="s">
        <v>38</v>
      </c>
      <c r="N137" s="1" t="s">
        <v>2</v>
      </c>
      <c r="O137" s="1" t="s">
        <v>6</v>
      </c>
      <c r="P137" s="1" t="s">
        <v>7</v>
      </c>
      <c r="Q137" s="6">
        <f>C137+2</f>
        <v>40414</v>
      </c>
    </row>
    <row r="138" spans="1:17" ht="15.75" x14ac:dyDescent="0.3">
      <c r="A138" s="1">
        <v>4505</v>
      </c>
      <c r="B138" s="2">
        <v>32067</v>
      </c>
      <c r="C138" s="3">
        <f>DATE(2012,12,31)-294</f>
        <v>40980</v>
      </c>
      <c r="D138" s="1" t="s">
        <v>17</v>
      </c>
      <c r="E138" s="2">
        <v>27</v>
      </c>
      <c r="F138" s="2">
        <v>2853.8834999999999</v>
      </c>
      <c r="G138" s="2">
        <v>0.06</v>
      </c>
      <c r="H138" s="2">
        <v>0.57999999999999996</v>
      </c>
      <c r="I138" s="4">
        <v>492.23699999999997</v>
      </c>
      <c r="J138" s="5">
        <v>125.99</v>
      </c>
      <c r="K138" s="5">
        <v>7.69</v>
      </c>
      <c r="L138" s="1" t="s">
        <v>5</v>
      </c>
      <c r="M138" s="1" t="s">
        <v>38</v>
      </c>
      <c r="N138" s="1" t="s">
        <v>13</v>
      </c>
      <c r="O138" s="1" t="s">
        <v>11</v>
      </c>
      <c r="P138" s="1" t="s">
        <v>7</v>
      </c>
      <c r="Q138" s="6">
        <f>C138+1</f>
        <v>40981</v>
      </c>
    </row>
    <row r="139" spans="1:17" ht="15.75" x14ac:dyDescent="0.3">
      <c r="A139" s="1">
        <v>4527</v>
      </c>
      <c r="B139" s="2">
        <v>32198</v>
      </c>
      <c r="C139" s="3">
        <f>DATE(2012,12,31)-418</f>
        <v>40856</v>
      </c>
      <c r="D139" s="1" t="s">
        <v>12</v>
      </c>
      <c r="E139" s="2">
        <v>31</v>
      </c>
      <c r="F139" s="2">
        <v>240.63</v>
      </c>
      <c r="G139" s="2">
        <v>0.02</v>
      </c>
      <c r="H139" s="2">
        <v>0.69</v>
      </c>
      <c r="I139" s="4">
        <v>-117.92</v>
      </c>
      <c r="J139" s="5">
        <v>7.37</v>
      </c>
      <c r="K139" s="5">
        <v>5.53</v>
      </c>
      <c r="L139" s="1" t="s">
        <v>5</v>
      </c>
      <c r="M139" s="1" t="s">
        <v>38</v>
      </c>
      <c r="N139" s="1" t="s">
        <v>21</v>
      </c>
      <c r="O139" s="1" t="s">
        <v>11</v>
      </c>
      <c r="P139" s="1" t="s">
        <v>20</v>
      </c>
      <c r="Q139" s="6">
        <f>C139+0</f>
        <v>40856</v>
      </c>
    </row>
    <row r="140" spans="1:17" ht="15.75" x14ac:dyDescent="0.3">
      <c r="A140" s="1">
        <v>4535</v>
      </c>
      <c r="B140" s="2">
        <v>32231</v>
      </c>
      <c r="C140" s="3">
        <f>DATE(2012,12,31)-60</f>
        <v>41214</v>
      </c>
      <c r="D140" s="1" t="s">
        <v>16</v>
      </c>
      <c r="E140" s="2">
        <v>44</v>
      </c>
      <c r="F140" s="2">
        <v>192.33</v>
      </c>
      <c r="G140" s="2">
        <v>0.01</v>
      </c>
      <c r="H140" s="2">
        <v>0.44</v>
      </c>
      <c r="I140" s="4">
        <v>48.54</v>
      </c>
      <c r="J140" s="5">
        <v>4.26</v>
      </c>
      <c r="K140" s="5">
        <v>1.2</v>
      </c>
      <c r="L140" s="1" t="s">
        <v>5</v>
      </c>
      <c r="M140" s="1" t="s">
        <v>38</v>
      </c>
      <c r="N140" s="1" t="s">
        <v>21</v>
      </c>
      <c r="O140" s="1" t="s">
        <v>6</v>
      </c>
      <c r="P140" s="1" t="s">
        <v>14</v>
      </c>
      <c r="Q140" s="6">
        <f>C140+4</f>
        <v>41218</v>
      </c>
    </row>
    <row r="141" spans="1:17" ht="15.75" x14ac:dyDescent="0.3">
      <c r="A141" s="1">
        <v>4563</v>
      </c>
      <c r="B141" s="2">
        <v>32452</v>
      </c>
      <c r="C141" s="3">
        <f>DATE(2012,12,31)-532</f>
        <v>40742</v>
      </c>
      <c r="D141" s="1" t="s">
        <v>12</v>
      </c>
      <c r="E141" s="2">
        <v>3</v>
      </c>
      <c r="F141" s="2">
        <v>8.6</v>
      </c>
      <c r="G141" s="2">
        <v>0.09</v>
      </c>
      <c r="H141" s="2">
        <v>0.39</v>
      </c>
      <c r="I141" s="4">
        <v>-2.0299999999999998</v>
      </c>
      <c r="J141" s="5">
        <v>2.88</v>
      </c>
      <c r="K141" s="5">
        <v>0.5</v>
      </c>
      <c r="L141" s="1" t="s">
        <v>5</v>
      </c>
      <c r="M141" s="1" t="s">
        <v>38</v>
      </c>
      <c r="N141" s="1" t="s">
        <v>21</v>
      </c>
      <c r="O141" s="1" t="s">
        <v>6</v>
      </c>
      <c r="P141" s="1" t="s">
        <v>7</v>
      </c>
      <c r="Q141" s="6">
        <f>C141+1</f>
        <v>40743</v>
      </c>
    </row>
    <row r="142" spans="1:17" ht="15.75" x14ac:dyDescent="0.3">
      <c r="A142" s="1">
        <v>4637</v>
      </c>
      <c r="B142" s="2">
        <v>32998</v>
      </c>
      <c r="C142" s="3">
        <f>DATE(2012,12,31)-824</f>
        <v>40450</v>
      </c>
      <c r="D142" s="1" t="s">
        <v>8</v>
      </c>
      <c r="E142" s="2">
        <v>13</v>
      </c>
      <c r="F142" s="2">
        <v>1663.83</v>
      </c>
      <c r="G142" s="2">
        <v>0.1</v>
      </c>
      <c r="H142" s="2">
        <v>0.69</v>
      </c>
      <c r="I142" s="4">
        <v>-484.64</v>
      </c>
      <c r="J142" s="5">
        <v>130.97999999999999</v>
      </c>
      <c r="K142" s="5">
        <v>54.74</v>
      </c>
      <c r="L142" s="1" t="s">
        <v>1</v>
      </c>
      <c r="M142" s="1" t="s">
        <v>38</v>
      </c>
      <c r="N142" s="1" t="s">
        <v>2</v>
      </c>
      <c r="O142" s="1" t="s">
        <v>3</v>
      </c>
      <c r="P142" s="1" t="s">
        <v>19</v>
      </c>
      <c r="Q142" s="6">
        <f>C142+1</f>
        <v>40451</v>
      </c>
    </row>
    <row r="143" spans="1:17" ht="15.75" x14ac:dyDescent="0.3">
      <c r="A143" s="1">
        <v>4647</v>
      </c>
      <c r="B143" s="2">
        <v>33091</v>
      </c>
      <c r="C143" s="3">
        <f>DATE(2012,12,31)-706</f>
        <v>40568</v>
      </c>
      <c r="D143" s="1" t="s">
        <v>17</v>
      </c>
      <c r="E143" s="2">
        <v>24</v>
      </c>
      <c r="F143" s="2">
        <v>265.35000000000002</v>
      </c>
      <c r="G143" s="2">
        <v>0.02</v>
      </c>
      <c r="H143" s="2">
        <v>0.4</v>
      </c>
      <c r="I143" s="4">
        <v>-128.69</v>
      </c>
      <c r="J143" s="5">
        <v>9.99</v>
      </c>
      <c r="K143" s="5">
        <v>11.59</v>
      </c>
      <c r="L143" s="1" t="s">
        <v>5</v>
      </c>
      <c r="M143" s="1" t="s">
        <v>38</v>
      </c>
      <c r="N143" s="1" t="s">
        <v>15</v>
      </c>
      <c r="O143" s="1" t="s">
        <v>6</v>
      </c>
      <c r="P143" s="1" t="s">
        <v>7</v>
      </c>
      <c r="Q143" s="6">
        <f>C143+2</f>
        <v>40570</v>
      </c>
    </row>
    <row r="144" spans="1:17" ht="15.75" x14ac:dyDescent="0.3">
      <c r="A144" s="1">
        <v>4672</v>
      </c>
      <c r="B144" s="2">
        <v>33250</v>
      </c>
      <c r="C144" s="3">
        <f>DATE(2012,12,31)-1285</f>
        <v>39989</v>
      </c>
      <c r="D144" s="1" t="s">
        <v>8</v>
      </c>
      <c r="E144" s="2">
        <v>40</v>
      </c>
      <c r="F144" s="2">
        <v>7381.19</v>
      </c>
      <c r="G144" s="2">
        <v>0.04</v>
      </c>
      <c r="H144" s="2">
        <v>0.56000000000000005</v>
      </c>
      <c r="I144" s="4">
        <v>2998.88</v>
      </c>
      <c r="J144" s="5">
        <v>177.98</v>
      </c>
      <c r="K144" s="5">
        <v>0.99</v>
      </c>
      <c r="L144" s="1" t="s">
        <v>5</v>
      </c>
      <c r="M144" s="1" t="s">
        <v>38</v>
      </c>
      <c r="N144" s="1" t="s">
        <v>2</v>
      </c>
      <c r="O144" s="1" t="s">
        <v>6</v>
      </c>
      <c r="P144" s="1" t="s">
        <v>7</v>
      </c>
      <c r="Q144" s="6">
        <f>C144+2</f>
        <v>39991</v>
      </c>
    </row>
    <row r="145" spans="1:17" ht="15.75" x14ac:dyDescent="0.3">
      <c r="A145" s="1">
        <v>4689</v>
      </c>
      <c r="B145" s="2">
        <v>33378</v>
      </c>
      <c r="C145" s="3">
        <f>DATE(2012,12,31)-248</f>
        <v>41026</v>
      </c>
      <c r="D145" s="1" t="s">
        <v>17</v>
      </c>
      <c r="E145" s="2">
        <v>25</v>
      </c>
      <c r="F145" s="2">
        <v>945.36</v>
      </c>
      <c r="G145" s="2">
        <v>0.1</v>
      </c>
      <c r="H145" s="2">
        <v>0.4</v>
      </c>
      <c r="I145" s="4">
        <v>219.85</v>
      </c>
      <c r="J145" s="5">
        <v>39.979999999999997</v>
      </c>
      <c r="K145" s="5">
        <v>9.83</v>
      </c>
      <c r="L145" s="1" t="s">
        <v>5</v>
      </c>
      <c r="M145" s="1" t="s">
        <v>38</v>
      </c>
      <c r="N145" s="1" t="s">
        <v>21</v>
      </c>
      <c r="O145" s="1" t="s">
        <v>6</v>
      </c>
      <c r="P145" s="1" t="s">
        <v>7</v>
      </c>
      <c r="Q145" s="6">
        <f>C145+1</f>
        <v>41027</v>
      </c>
    </row>
    <row r="146" spans="1:17" ht="15.75" x14ac:dyDescent="0.3">
      <c r="A146" s="1">
        <v>4766</v>
      </c>
      <c r="B146" s="2">
        <v>33889</v>
      </c>
      <c r="C146" s="3">
        <f>DATE(2012,12,31)-786</f>
        <v>40488</v>
      </c>
      <c r="D146" s="1" t="s">
        <v>16</v>
      </c>
      <c r="E146" s="2">
        <v>46</v>
      </c>
      <c r="F146" s="2">
        <v>9046.33</v>
      </c>
      <c r="G146" s="2">
        <v>0</v>
      </c>
      <c r="H146" s="2">
        <v>0.56999999999999995</v>
      </c>
      <c r="I146" s="4">
        <v>1398.03</v>
      </c>
      <c r="J146" s="5">
        <v>180.98</v>
      </c>
      <c r="K146" s="5">
        <v>55.24</v>
      </c>
      <c r="L146" s="1" t="s">
        <v>1</v>
      </c>
      <c r="M146" s="1" t="s">
        <v>38</v>
      </c>
      <c r="N146" s="1" t="s">
        <v>13</v>
      </c>
      <c r="O146" s="1" t="s">
        <v>6</v>
      </c>
      <c r="P146" s="1" t="s">
        <v>4</v>
      </c>
      <c r="Q146" s="6">
        <f>C146+5</f>
        <v>40493</v>
      </c>
    </row>
    <row r="147" spans="1:17" ht="15.75" x14ac:dyDescent="0.3">
      <c r="A147" s="1">
        <v>4767</v>
      </c>
      <c r="B147" s="2">
        <v>33889</v>
      </c>
      <c r="C147" s="3">
        <f>DATE(2012,12,31)-786</f>
        <v>40488</v>
      </c>
      <c r="D147" s="1" t="s">
        <v>16</v>
      </c>
      <c r="E147" s="2">
        <v>43</v>
      </c>
      <c r="F147" s="2">
        <v>367.96</v>
      </c>
      <c r="G147" s="2">
        <v>0.06</v>
      </c>
      <c r="H147" s="2">
        <v>0.57999999999999996</v>
      </c>
      <c r="I147" s="4">
        <v>-16.11</v>
      </c>
      <c r="J147" s="5">
        <v>8.67</v>
      </c>
      <c r="K147" s="5">
        <v>3.5</v>
      </c>
      <c r="L147" s="1" t="s">
        <v>5</v>
      </c>
      <c r="M147" s="1" t="s">
        <v>38</v>
      </c>
      <c r="N147" s="1" t="s">
        <v>13</v>
      </c>
      <c r="O147" s="1" t="s">
        <v>6</v>
      </c>
      <c r="P147" s="1" t="s">
        <v>7</v>
      </c>
      <c r="Q147" s="6">
        <f>C147+7</f>
        <v>40495</v>
      </c>
    </row>
    <row r="148" spans="1:17" ht="15.75" x14ac:dyDescent="0.3">
      <c r="A148" s="1">
        <v>4768</v>
      </c>
      <c r="B148" s="2">
        <v>33889</v>
      </c>
      <c r="C148" s="3">
        <f>DATE(2012,12,31)-786</f>
        <v>40488</v>
      </c>
      <c r="D148" s="1" t="s">
        <v>16</v>
      </c>
      <c r="E148" s="2">
        <v>27</v>
      </c>
      <c r="F148" s="2">
        <v>159.05000000000001</v>
      </c>
      <c r="G148" s="2">
        <v>0.04</v>
      </c>
      <c r="H148" s="2">
        <v>0.36</v>
      </c>
      <c r="I148" s="4">
        <v>21.46</v>
      </c>
      <c r="J148" s="5">
        <v>5.98</v>
      </c>
      <c r="K148" s="5">
        <v>2.5</v>
      </c>
      <c r="L148" s="1" t="s">
        <v>5</v>
      </c>
      <c r="M148" s="1" t="s">
        <v>38</v>
      </c>
      <c r="N148" s="1" t="s">
        <v>13</v>
      </c>
      <c r="O148" s="1" t="s">
        <v>6</v>
      </c>
      <c r="P148" s="1" t="s">
        <v>7</v>
      </c>
      <c r="Q148" s="6">
        <f>C148+4</f>
        <v>40492</v>
      </c>
    </row>
    <row r="149" spans="1:17" ht="15.75" x14ac:dyDescent="0.3">
      <c r="A149" s="1">
        <v>4769</v>
      </c>
      <c r="B149" s="2">
        <v>33889</v>
      </c>
      <c r="C149" s="3">
        <f>DATE(2012,12,31)-786</f>
        <v>40488</v>
      </c>
      <c r="D149" s="1" t="s">
        <v>16</v>
      </c>
      <c r="E149" s="2">
        <v>39</v>
      </c>
      <c r="F149" s="2">
        <v>116.14</v>
      </c>
      <c r="G149" s="2">
        <v>0.01</v>
      </c>
      <c r="H149" s="2">
        <v>0.36</v>
      </c>
      <c r="I149" s="4">
        <v>50.44</v>
      </c>
      <c r="J149" s="5">
        <v>2.88</v>
      </c>
      <c r="K149" s="5">
        <v>0.5</v>
      </c>
      <c r="L149" s="1" t="s">
        <v>5</v>
      </c>
      <c r="M149" s="1" t="s">
        <v>38</v>
      </c>
      <c r="N149" s="1" t="s">
        <v>13</v>
      </c>
      <c r="O149" s="1" t="s">
        <v>6</v>
      </c>
      <c r="P149" s="1" t="s">
        <v>7</v>
      </c>
      <c r="Q149" s="6">
        <f>C149+2</f>
        <v>40490</v>
      </c>
    </row>
    <row r="150" spans="1:17" ht="15.75" x14ac:dyDescent="0.3">
      <c r="A150" s="1">
        <v>4858</v>
      </c>
      <c r="B150" s="2">
        <v>34567</v>
      </c>
      <c r="C150" s="3">
        <f>DATE(2012,12,31)-1345</f>
        <v>39929</v>
      </c>
      <c r="D150" s="1" t="s">
        <v>16</v>
      </c>
      <c r="E150" s="2">
        <v>18</v>
      </c>
      <c r="F150" s="2">
        <v>3344.11</v>
      </c>
      <c r="G150" s="2">
        <v>0.03</v>
      </c>
      <c r="H150" s="2">
        <v>0.59</v>
      </c>
      <c r="I150" s="4">
        <v>588.54</v>
      </c>
      <c r="J150" s="5">
        <v>180.98</v>
      </c>
      <c r="K150" s="5">
        <v>26.2</v>
      </c>
      <c r="L150" s="1" t="s">
        <v>1</v>
      </c>
      <c r="M150" s="1" t="s">
        <v>38</v>
      </c>
      <c r="N150" s="1" t="s">
        <v>21</v>
      </c>
      <c r="O150" s="1" t="s">
        <v>3</v>
      </c>
      <c r="P150" s="1" t="s">
        <v>4</v>
      </c>
      <c r="Q150" s="6">
        <f>C150+4</f>
        <v>39933</v>
      </c>
    </row>
    <row r="151" spans="1:17" ht="15.75" x14ac:dyDescent="0.3">
      <c r="A151" s="1">
        <v>5078</v>
      </c>
      <c r="B151" s="2">
        <v>36163</v>
      </c>
      <c r="C151" s="3">
        <f>DATE(2012,12,31)-56</f>
        <v>41218</v>
      </c>
      <c r="D151" s="1" t="s">
        <v>16</v>
      </c>
      <c r="E151" s="2">
        <v>32</v>
      </c>
      <c r="F151" s="2">
        <v>463</v>
      </c>
      <c r="G151" s="2">
        <v>7.0000000000000007E-2</v>
      </c>
      <c r="H151" s="2">
        <v>0.38</v>
      </c>
      <c r="I151" s="4">
        <v>24.607500000000002</v>
      </c>
      <c r="J151" s="5">
        <v>14.45</v>
      </c>
      <c r="K151" s="5">
        <v>7.17</v>
      </c>
      <c r="L151" s="1" t="s">
        <v>5</v>
      </c>
      <c r="M151" s="1" t="s">
        <v>38</v>
      </c>
      <c r="N151" s="1" t="s">
        <v>13</v>
      </c>
      <c r="O151" s="1" t="s">
        <v>6</v>
      </c>
      <c r="P151" s="1" t="s">
        <v>7</v>
      </c>
      <c r="Q151" s="6">
        <f>C151+0</f>
        <v>41218</v>
      </c>
    </row>
    <row r="152" spans="1:17" ht="15.75" x14ac:dyDescent="0.3">
      <c r="A152" s="1">
        <v>5114</v>
      </c>
      <c r="B152" s="2">
        <v>36449</v>
      </c>
      <c r="C152" s="3">
        <f>DATE(2012,12,31)-848</f>
        <v>40426</v>
      </c>
      <c r="D152" s="1" t="s">
        <v>8</v>
      </c>
      <c r="E152" s="2">
        <v>6</v>
      </c>
      <c r="F152" s="2">
        <v>90.75</v>
      </c>
      <c r="G152" s="2">
        <v>0.02</v>
      </c>
      <c r="H152" s="2">
        <v>0.73</v>
      </c>
      <c r="I152" s="4">
        <v>-26.39</v>
      </c>
      <c r="J152" s="5">
        <v>12.99</v>
      </c>
      <c r="K152" s="5">
        <v>14.37</v>
      </c>
      <c r="L152" s="1" t="s">
        <v>5</v>
      </c>
      <c r="M152" s="1" t="s">
        <v>38</v>
      </c>
      <c r="N152" s="1" t="s">
        <v>2</v>
      </c>
      <c r="O152" s="1" t="s">
        <v>3</v>
      </c>
      <c r="P152" s="1" t="s">
        <v>10</v>
      </c>
      <c r="Q152" s="6">
        <f>C152+0</f>
        <v>40426</v>
      </c>
    </row>
    <row r="153" spans="1:17" ht="15.75" x14ac:dyDescent="0.3">
      <c r="A153" s="1">
        <v>5144</v>
      </c>
      <c r="B153" s="2">
        <v>36675</v>
      </c>
      <c r="C153" s="3">
        <f>DATE(2012,12,31)-547</f>
        <v>40727</v>
      </c>
      <c r="D153" s="1" t="s">
        <v>17</v>
      </c>
      <c r="E153" s="2">
        <v>39</v>
      </c>
      <c r="F153" s="2">
        <v>113.09</v>
      </c>
      <c r="G153" s="2">
        <v>0.04</v>
      </c>
      <c r="H153" s="2">
        <v>0.4</v>
      </c>
      <c r="I153" s="4">
        <v>29.76</v>
      </c>
      <c r="J153" s="5">
        <v>2.94</v>
      </c>
      <c r="K153" s="5">
        <v>0.81</v>
      </c>
      <c r="L153" s="1" t="s">
        <v>5</v>
      </c>
      <c r="M153" s="1" t="s">
        <v>38</v>
      </c>
      <c r="N153" s="1" t="s">
        <v>13</v>
      </c>
      <c r="O153" s="1" t="s">
        <v>6</v>
      </c>
      <c r="P153" s="1" t="s">
        <v>14</v>
      </c>
      <c r="Q153" s="6">
        <f>C153+3</f>
        <v>40730</v>
      </c>
    </row>
    <row r="154" spans="1:17" ht="15.75" x14ac:dyDescent="0.3">
      <c r="A154" s="1">
        <v>5327</v>
      </c>
      <c r="B154" s="2">
        <v>37862</v>
      </c>
      <c r="C154" s="3">
        <f>DATE(2012,12,31)-1449</f>
        <v>39825</v>
      </c>
      <c r="D154" s="1" t="s">
        <v>8</v>
      </c>
      <c r="E154" s="2">
        <v>27</v>
      </c>
      <c r="F154" s="2">
        <v>1603.27</v>
      </c>
      <c r="G154" s="2">
        <v>0.01</v>
      </c>
      <c r="H154" s="2">
        <v>0.56999999999999995</v>
      </c>
      <c r="I154" s="4">
        <v>452.49</v>
      </c>
      <c r="J154" s="5">
        <v>59.98</v>
      </c>
      <c r="K154" s="5">
        <v>3.99</v>
      </c>
      <c r="L154" s="1" t="s">
        <v>5</v>
      </c>
      <c r="M154" s="1" t="s">
        <v>38</v>
      </c>
      <c r="N154" s="1" t="s">
        <v>2</v>
      </c>
      <c r="O154" s="1" t="s">
        <v>6</v>
      </c>
      <c r="P154" s="1" t="s">
        <v>7</v>
      </c>
      <c r="Q154" s="6">
        <f>C154+3</f>
        <v>39828</v>
      </c>
    </row>
    <row r="155" spans="1:17" ht="15.75" x14ac:dyDescent="0.3">
      <c r="A155" s="1">
        <v>5379</v>
      </c>
      <c r="B155" s="2">
        <v>38240</v>
      </c>
      <c r="C155" s="3">
        <f>DATE(2012,12,31)-1108</f>
        <v>40166</v>
      </c>
      <c r="D155" s="1" t="s">
        <v>17</v>
      </c>
      <c r="E155" s="2">
        <v>4</v>
      </c>
      <c r="F155" s="2">
        <v>41.53</v>
      </c>
      <c r="G155" s="2">
        <v>0.04</v>
      </c>
      <c r="H155" s="2">
        <v>0.38</v>
      </c>
      <c r="I155" s="4">
        <v>-15.525</v>
      </c>
      <c r="J155" s="5">
        <v>8.6</v>
      </c>
      <c r="K155" s="5">
        <v>6.19</v>
      </c>
      <c r="L155" s="1" t="s">
        <v>5</v>
      </c>
      <c r="M155" s="1" t="s">
        <v>38</v>
      </c>
      <c r="N155" s="1" t="s">
        <v>21</v>
      </c>
      <c r="O155" s="1" t="s">
        <v>6</v>
      </c>
      <c r="P155" s="1" t="s">
        <v>7</v>
      </c>
      <c r="Q155" s="6">
        <f>C155+0</f>
        <v>40166</v>
      </c>
    </row>
    <row r="156" spans="1:17" ht="15.75" x14ac:dyDescent="0.3">
      <c r="A156" s="1">
        <v>5450</v>
      </c>
      <c r="B156" s="2">
        <v>38693</v>
      </c>
      <c r="C156" s="3">
        <f>DATE(2012,12,31)-566</f>
        <v>40708</v>
      </c>
      <c r="D156" s="1" t="s">
        <v>16</v>
      </c>
      <c r="E156" s="2">
        <v>3</v>
      </c>
      <c r="F156" s="2">
        <v>2222.61</v>
      </c>
      <c r="G156" s="2">
        <v>0.02</v>
      </c>
      <c r="H156" s="2">
        <v>0.41</v>
      </c>
      <c r="I156" s="4">
        <v>196.08</v>
      </c>
      <c r="J156" s="5">
        <v>699.99</v>
      </c>
      <c r="K156" s="5">
        <v>24.49</v>
      </c>
      <c r="L156" s="1" t="s">
        <v>5</v>
      </c>
      <c r="M156" s="1" t="s">
        <v>38</v>
      </c>
      <c r="N156" s="1" t="s">
        <v>15</v>
      </c>
      <c r="O156" s="1" t="s">
        <v>11</v>
      </c>
      <c r="P156" s="1" t="s">
        <v>10</v>
      </c>
      <c r="Q156" s="6">
        <f>C156+7</f>
        <v>40715</v>
      </c>
    </row>
    <row r="157" spans="1:17" ht="15.75" x14ac:dyDescent="0.3">
      <c r="A157" s="1">
        <v>5483</v>
      </c>
      <c r="B157" s="2">
        <v>38917</v>
      </c>
      <c r="C157" s="3">
        <f>DATE(2012,12,31)-771</f>
        <v>40503</v>
      </c>
      <c r="D157" s="1" t="s">
        <v>16</v>
      </c>
      <c r="E157" s="2">
        <v>11</v>
      </c>
      <c r="F157" s="2">
        <v>618.1964999999999</v>
      </c>
      <c r="G157" s="2">
        <v>0.02</v>
      </c>
      <c r="H157" s="2">
        <v>0.57999999999999996</v>
      </c>
      <c r="I157" s="4">
        <v>-132.52800000000002</v>
      </c>
      <c r="J157" s="5">
        <v>65.989999999999995</v>
      </c>
      <c r="K157" s="5">
        <v>8.8000000000000007</v>
      </c>
      <c r="L157" s="1" t="s">
        <v>5</v>
      </c>
      <c r="M157" s="1" t="s">
        <v>38</v>
      </c>
      <c r="N157" s="1" t="s">
        <v>21</v>
      </c>
      <c r="O157" s="1" t="s">
        <v>11</v>
      </c>
      <c r="P157" s="1" t="s">
        <v>7</v>
      </c>
      <c r="Q157" s="6">
        <f>C157+7</f>
        <v>40510</v>
      </c>
    </row>
    <row r="158" spans="1:17" ht="15.75" x14ac:dyDescent="0.3">
      <c r="A158" s="1">
        <v>5501</v>
      </c>
      <c r="B158" s="2">
        <v>39015</v>
      </c>
      <c r="C158" s="3">
        <f>DATE(2012,12,31)-1121</f>
        <v>40153</v>
      </c>
      <c r="D158" s="1" t="s">
        <v>12</v>
      </c>
      <c r="E158" s="2">
        <v>13</v>
      </c>
      <c r="F158" s="2">
        <v>5236.1400000000003</v>
      </c>
      <c r="G158" s="2">
        <v>0.05</v>
      </c>
      <c r="H158" s="2">
        <v>0.56000000000000005</v>
      </c>
      <c r="I158" s="4">
        <v>567.59</v>
      </c>
      <c r="J158" s="5">
        <v>399.98</v>
      </c>
      <c r="K158" s="5">
        <v>12.06</v>
      </c>
      <c r="L158" s="1" t="s">
        <v>1</v>
      </c>
      <c r="M158" s="1" t="s">
        <v>38</v>
      </c>
      <c r="N158" s="1" t="s">
        <v>2</v>
      </c>
      <c r="O158" s="1" t="s">
        <v>11</v>
      </c>
      <c r="P158" s="1" t="s">
        <v>19</v>
      </c>
      <c r="Q158" s="6">
        <f>C158+0</f>
        <v>40153</v>
      </c>
    </row>
    <row r="159" spans="1:17" ht="15.75" x14ac:dyDescent="0.3">
      <c r="A159" s="1">
        <v>5502</v>
      </c>
      <c r="B159" s="2">
        <v>39015</v>
      </c>
      <c r="C159" s="3">
        <f>DATE(2012,12,31)-1121</f>
        <v>40153</v>
      </c>
      <c r="D159" s="1" t="s">
        <v>12</v>
      </c>
      <c r="E159" s="2">
        <v>11</v>
      </c>
      <c r="F159" s="2">
        <v>74.02</v>
      </c>
      <c r="G159" s="2">
        <v>7.0000000000000007E-2</v>
      </c>
      <c r="H159" s="2">
        <v>0.37</v>
      </c>
      <c r="I159" s="4">
        <v>-28.45</v>
      </c>
      <c r="J159" s="5">
        <v>6.48</v>
      </c>
      <c r="K159" s="5">
        <v>5.74</v>
      </c>
      <c r="L159" s="1" t="s">
        <v>5</v>
      </c>
      <c r="M159" s="1" t="s">
        <v>38</v>
      </c>
      <c r="N159" s="1" t="s">
        <v>2</v>
      </c>
      <c r="O159" s="1" t="s">
        <v>6</v>
      </c>
      <c r="P159" s="1" t="s">
        <v>7</v>
      </c>
      <c r="Q159" s="6">
        <f>C159+0</f>
        <v>40153</v>
      </c>
    </row>
    <row r="160" spans="1:17" ht="15.75" x14ac:dyDescent="0.3">
      <c r="A160" s="1">
        <v>5539</v>
      </c>
      <c r="B160" s="2">
        <v>39265</v>
      </c>
      <c r="C160" s="3">
        <f>DATE(2012,12,31)-969</f>
        <v>40305</v>
      </c>
      <c r="D160" s="1" t="s">
        <v>0</v>
      </c>
      <c r="E160" s="2">
        <v>47</v>
      </c>
      <c r="F160" s="2">
        <v>198.08</v>
      </c>
      <c r="G160" s="2">
        <v>0.02</v>
      </c>
      <c r="H160" s="2">
        <v>0.56000000000000005</v>
      </c>
      <c r="I160" s="4">
        <v>32.69</v>
      </c>
      <c r="J160" s="5">
        <v>4.28</v>
      </c>
      <c r="K160" s="5">
        <v>0.94</v>
      </c>
      <c r="L160" s="1" t="s">
        <v>5</v>
      </c>
      <c r="M160" s="1" t="s">
        <v>38</v>
      </c>
      <c r="N160" s="1" t="s">
        <v>2</v>
      </c>
      <c r="O160" s="1" t="s">
        <v>6</v>
      </c>
      <c r="P160" s="1" t="s">
        <v>14</v>
      </c>
      <c r="Q160" s="6">
        <f>C160+1</f>
        <v>40306</v>
      </c>
    </row>
    <row r="161" spans="1:17" ht="15.75" x14ac:dyDescent="0.3">
      <c r="A161" s="1">
        <v>5770</v>
      </c>
      <c r="B161" s="2">
        <v>40962</v>
      </c>
      <c r="C161" s="3">
        <f>DATE(2012,12,31)-680</f>
        <v>40594</v>
      </c>
      <c r="D161" s="1" t="s">
        <v>0</v>
      </c>
      <c r="E161" s="2">
        <v>28</v>
      </c>
      <c r="F161" s="2">
        <v>1553.66</v>
      </c>
      <c r="G161" s="2">
        <v>0.03</v>
      </c>
      <c r="H161" s="2">
        <v>0.56999999999999995</v>
      </c>
      <c r="I161" s="4">
        <v>547.48</v>
      </c>
      <c r="J161" s="5">
        <v>54.48</v>
      </c>
      <c r="K161" s="5">
        <v>0.99</v>
      </c>
      <c r="L161" s="1" t="s">
        <v>5</v>
      </c>
      <c r="M161" s="1" t="s">
        <v>38</v>
      </c>
      <c r="N161" s="1" t="s">
        <v>2</v>
      </c>
      <c r="O161" s="1" t="s">
        <v>6</v>
      </c>
      <c r="P161" s="1" t="s">
        <v>7</v>
      </c>
      <c r="Q161" s="6">
        <f>C161+1</f>
        <v>40595</v>
      </c>
    </row>
    <row r="162" spans="1:17" ht="15.75" x14ac:dyDescent="0.3">
      <c r="A162" s="1">
        <v>5771</v>
      </c>
      <c r="B162" s="2">
        <v>40962</v>
      </c>
      <c r="C162" s="3">
        <f>DATE(2012,12,31)-680</f>
        <v>40594</v>
      </c>
      <c r="D162" s="1" t="s">
        <v>0</v>
      </c>
      <c r="E162" s="2">
        <v>30</v>
      </c>
      <c r="F162" s="2">
        <v>3276.9964999999997</v>
      </c>
      <c r="G162" s="2">
        <v>0</v>
      </c>
      <c r="H162" s="2">
        <v>0.59</v>
      </c>
      <c r="I162" s="4">
        <v>653.05799999999999</v>
      </c>
      <c r="J162" s="5">
        <v>125.99</v>
      </c>
      <c r="K162" s="5">
        <v>8.99</v>
      </c>
      <c r="L162" s="1" t="s">
        <v>5</v>
      </c>
      <c r="M162" s="1" t="s">
        <v>38</v>
      </c>
      <c r="N162" s="1" t="s">
        <v>2</v>
      </c>
      <c r="O162" s="1" t="s">
        <v>11</v>
      </c>
      <c r="P162" s="1" t="s">
        <v>7</v>
      </c>
      <c r="Q162" s="6">
        <f>C162+1</f>
        <v>40595</v>
      </c>
    </row>
    <row r="163" spans="1:17" ht="15.75" x14ac:dyDescent="0.3">
      <c r="A163" s="1">
        <v>5786</v>
      </c>
      <c r="B163" s="2">
        <v>41059</v>
      </c>
      <c r="C163" s="3">
        <f>DATE(2012,12,31)-839</f>
        <v>40435</v>
      </c>
      <c r="D163" s="1" t="s">
        <v>12</v>
      </c>
      <c r="E163" s="2">
        <v>26</v>
      </c>
      <c r="F163" s="2">
        <v>363.16</v>
      </c>
      <c r="G163" s="2">
        <v>0.08</v>
      </c>
      <c r="H163" s="2">
        <v>0.38</v>
      </c>
      <c r="I163" s="4">
        <v>3.9185000000000003</v>
      </c>
      <c r="J163" s="5">
        <v>14.27</v>
      </c>
      <c r="K163" s="5">
        <v>7.27</v>
      </c>
      <c r="L163" s="1" t="s">
        <v>9</v>
      </c>
      <c r="M163" s="1" t="s">
        <v>38</v>
      </c>
      <c r="N163" s="1" t="s">
        <v>2</v>
      </c>
      <c r="O163" s="1" t="s">
        <v>6</v>
      </c>
      <c r="P163" s="1" t="s">
        <v>7</v>
      </c>
      <c r="Q163" s="6">
        <f>C163+0</f>
        <v>40435</v>
      </c>
    </row>
    <row r="164" spans="1:17" ht="15.75" x14ac:dyDescent="0.3">
      <c r="A164" s="1">
        <v>5787</v>
      </c>
      <c r="B164" s="2">
        <v>41059</v>
      </c>
      <c r="C164" s="3">
        <f>DATE(2012,12,31)-839</f>
        <v>40435</v>
      </c>
      <c r="D164" s="1" t="s">
        <v>12</v>
      </c>
      <c r="E164" s="2">
        <v>45</v>
      </c>
      <c r="F164" s="2">
        <v>12571.63</v>
      </c>
      <c r="G164" s="2">
        <v>0.09</v>
      </c>
      <c r="H164" s="2">
        <v>0.39</v>
      </c>
      <c r="I164" s="4">
        <v>5455.96</v>
      </c>
      <c r="J164" s="5">
        <v>300.98</v>
      </c>
      <c r="K164" s="5">
        <v>13.99</v>
      </c>
      <c r="L164" s="1" t="s">
        <v>5</v>
      </c>
      <c r="M164" s="1" t="s">
        <v>38</v>
      </c>
      <c r="N164" s="1" t="s">
        <v>2</v>
      </c>
      <c r="O164" s="1" t="s">
        <v>11</v>
      </c>
      <c r="P164" s="1" t="s">
        <v>18</v>
      </c>
      <c r="Q164" s="6">
        <f>C164+1</f>
        <v>40436</v>
      </c>
    </row>
    <row r="165" spans="1:17" ht="15.75" x14ac:dyDescent="0.3">
      <c r="A165" s="1">
        <v>5788</v>
      </c>
      <c r="B165" s="2">
        <v>41059</v>
      </c>
      <c r="C165" s="3">
        <f>DATE(2012,12,31)-839</f>
        <v>40435</v>
      </c>
      <c r="D165" s="1" t="s">
        <v>12</v>
      </c>
      <c r="E165" s="2">
        <v>21</v>
      </c>
      <c r="F165" s="2">
        <v>128.86000000000001</v>
      </c>
      <c r="G165" s="2">
        <v>0</v>
      </c>
      <c r="H165" s="2">
        <v>0.55000000000000004</v>
      </c>
      <c r="I165" s="4">
        <v>24.53</v>
      </c>
      <c r="J165" s="5">
        <v>5.84</v>
      </c>
      <c r="K165" s="5">
        <v>1.2</v>
      </c>
      <c r="L165" s="1" t="s">
        <v>9</v>
      </c>
      <c r="M165" s="1" t="s">
        <v>38</v>
      </c>
      <c r="N165" s="1" t="s">
        <v>2</v>
      </c>
      <c r="O165" s="1" t="s">
        <v>6</v>
      </c>
      <c r="P165" s="1" t="s">
        <v>14</v>
      </c>
      <c r="Q165" s="6">
        <f>C165+2</f>
        <v>40437</v>
      </c>
    </row>
    <row r="166" spans="1:17" ht="15.75" x14ac:dyDescent="0.3">
      <c r="A166" s="1">
        <v>5789</v>
      </c>
      <c r="B166" s="2">
        <v>41059</v>
      </c>
      <c r="C166" s="3">
        <f>DATE(2012,12,31)-839</f>
        <v>40435</v>
      </c>
      <c r="D166" s="1" t="s">
        <v>12</v>
      </c>
      <c r="E166" s="2">
        <v>45</v>
      </c>
      <c r="F166" s="2">
        <v>17884.53</v>
      </c>
      <c r="G166" s="2">
        <v>0.04</v>
      </c>
      <c r="H166" s="2">
        <v>0.71</v>
      </c>
      <c r="I166" s="4">
        <v>2357.86</v>
      </c>
      <c r="J166" s="5">
        <v>400.98</v>
      </c>
      <c r="K166" s="5">
        <v>42.52</v>
      </c>
      <c r="L166" s="1" t="s">
        <v>1</v>
      </c>
      <c r="M166" s="1" t="s">
        <v>38</v>
      </c>
      <c r="N166" s="1" t="s">
        <v>2</v>
      </c>
      <c r="O166" s="1" t="s">
        <v>3</v>
      </c>
      <c r="P166" s="1" t="s">
        <v>19</v>
      </c>
      <c r="Q166" s="6">
        <f>C166+1</f>
        <v>40436</v>
      </c>
    </row>
    <row r="167" spans="1:17" ht="15.75" x14ac:dyDescent="0.3">
      <c r="A167" s="1">
        <v>5872</v>
      </c>
      <c r="B167" s="2">
        <v>41664</v>
      </c>
      <c r="C167" s="3">
        <f>DATE(2012,12,31)-393</f>
        <v>40881</v>
      </c>
      <c r="D167" s="1" t="s">
        <v>0</v>
      </c>
      <c r="E167" s="2">
        <v>5</v>
      </c>
      <c r="F167" s="2">
        <v>54.8</v>
      </c>
      <c r="G167" s="2">
        <v>0</v>
      </c>
      <c r="H167" s="2">
        <v>0.43</v>
      </c>
      <c r="I167" s="4">
        <v>-15.3</v>
      </c>
      <c r="J167" s="5">
        <v>9.7799999999999994</v>
      </c>
      <c r="K167" s="5">
        <v>1.99</v>
      </c>
      <c r="L167" s="1" t="s">
        <v>5</v>
      </c>
      <c r="M167" s="1" t="s">
        <v>38</v>
      </c>
      <c r="N167" s="1" t="s">
        <v>2</v>
      </c>
      <c r="O167" s="1" t="s">
        <v>11</v>
      </c>
      <c r="P167" s="1" t="s">
        <v>20</v>
      </c>
      <c r="Q167" s="6">
        <f>C167+0</f>
        <v>40881</v>
      </c>
    </row>
    <row r="168" spans="1:17" ht="15.75" x14ac:dyDescent="0.3">
      <c r="A168" s="1">
        <v>5873</v>
      </c>
      <c r="B168" s="2">
        <v>41664</v>
      </c>
      <c r="C168" s="3">
        <f>DATE(2012,12,31)-393</f>
        <v>40881</v>
      </c>
      <c r="D168" s="1" t="s">
        <v>0</v>
      </c>
      <c r="E168" s="2">
        <v>40</v>
      </c>
      <c r="F168" s="2">
        <v>1038.19</v>
      </c>
      <c r="G168" s="2">
        <v>7.0000000000000007E-2</v>
      </c>
      <c r="H168" s="2">
        <v>0.56999999999999995</v>
      </c>
      <c r="I168" s="4">
        <v>230.69</v>
      </c>
      <c r="J168" s="5">
        <v>25.98</v>
      </c>
      <c r="K168" s="5">
        <v>4.08</v>
      </c>
      <c r="L168" s="1" t="s">
        <v>5</v>
      </c>
      <c r="M168" s="1" t="s">
        <v>38</v>
      </c>
      <c r="N168" s="1" t="s">
        <v>2</v>
      </c>
      <c r="O168" s="1" t="s">
        <v>6</v>
      </c>
      <c r="P168" s="1" t="s">
        <v>20</v>
      </c>
      <c r="Q168" s="6">
        <f>C168+2</f>
        <v>40883</v>
      </c>
    </row>
    <row r="169" spans="1:17" ht="15.75" x14ac:dyDescent="0.3">
      <c r="A169" s="1">
        <v>6012</v>
      </c>
      <c r="B169" s="2">
        <v>42596</v>
      </c>
      <c r="C169" s="3">
        <f>DATE(2012,12,31)-139</f>
        <v>41135</v>
      </c>
      <c r="D169" s="1" t="s">
        <v>12</v>
      </c>
      <c r="E169" s="2">
        <v>9</v>
      </c>
      <c r="F169" s="2">
        <v>51.75</v>
      </c>
      <c r="G169" s="2">
        <v>0.05</v>
      </c>
      <c r="H169" s="2">
        <v>0.6</v>
      </c>
      <c r="I169" s="4">
        <v>4.16</v>
      </c>
      <c r="J169" s="5">
        <v>5.58</v>
      </c>
      <c r="K169" s="5">
        <v>0.7</v>
      </c>
      <c r="L169" s="1" t="s">
        <v>5</v>
      </c>
      <c r="M169" s="1" t="s">
        <v>38</v>
      </c>
      <c r="N169" s="1" t="s">
        <v>2</v>
      </c>
      <c r="O169" s="1" t="s">
        <v>6</v>
      </c>
      <c r="P169" s="1" t="s">
        <v>14</v>
      </c>
      <c r="Q169" s="6">
        <f>C169+2</f>
        <v>41137</v>
      </c>
    </row>
    <row r="170" spans="1:17" ht="15.75" x14ac:dyDescent="0.3">
      <c r="A170" s="1">
        <v>6135</v>
      </c>
      <c r="B170" s="2">
        <v>43424</v>
      </c>
      <c r="C170" s="3">
        <f>DATE(2012,12,31)-501</f>
        <v>40773</v>
      </c>
      <c r="D170" s="1" t="s">
        <v>8</v>
      </c>
      <c r="E170" s="2">
        <v>34</v>
      </c>
      <c r="F170" s="2">
        <v>772.56</v>
      </c>
      <c r="G170" s="2">
        <v>0.04</v>
      </c>
      <c r="H170" s="2">
        <v>0.55000000000000004</v>
      </c>
      <c r="I170" s="4">
        <v>143.87</v>
      </c>
      <c r="J170" s="5">
        <v>22.98</v>
      </c>
      <c r="K170" s="5">
        <v>4.5</v>
      </c>
      <c r="L170" s="1" t="s">
        <v>9</v>
      </c>
      <c r="M170" s="1" t="s">
        <v>38</v>
      </c>
      <c r="N170" s="1" t="s">
        <v>15</v>
      </c>
      <c r="O170" s="1" t="s">
        <v>6</v>
      </c>
      <c r="P170" s="1" t="s">
        <v>7</v>
      </c>
      <c r="Q170" s="6">
        <f>C170+2</f>
        <v>40775</v>
      </c>
    </row>
    <row r="171" spans="1:17" ht="15.75" x14ac:dyDescent="0.3">
      <c r="A171" s="1">
        <v>6179</v>
      </c>
      <c r="B171" s="2">
        <v>43808</v>
      </c>
      <c r="C171" s="3">
        <f>DATE(2012,12,31)-725</f>
        <v>40549</v>
      </c>
      <c r="D171" s="1" t="s">
        <v>16</v>
      </c>
      <c r="E171" s="2">
        <v>16</v>
      </c>
      <c r="F171" s="2">
        <v>108.73</v>
      </c>
      <c r="G171" s="2">
        <v>0.04</v>
      </c>
      <c r="H171" s="2">
        <v>0.6</v>
      </c>
      <c r="I171" s="4">
        <v>-22.21</v>
      </c>
      <c r="J171" s="5">
        <v>6.24</v>
      </c>
      <c r="K171" s="5">
        <v>5.22</v>
      </c>
      <c r="L171" s="1" t="s">
        <v>5</v>
      </c>
      <c r="M171" s="1" t="s">
        <v>38</v>
      </c>
      <c r="N171" s="1" t="s">
        <v>13</v>
      </c>
      <c r="O171" s="1" t="s">
        <v>3</v>
      </c>
      <c r="P171" s="1" t="s">
        <v>7</v>
      </c>
      <c r="Q171" s="6">
        <f>C171+7</f>
        <v>40556</v>
      </c>
    </row>
    <row r="172" spans="1:17" ht="15.75" x14ac:dyDescent="0.3">
      <c r="A172" s="1">
        <v>6373</v>
      </c>
      <c r="B172" s="2">
        <v>45218</v>
      </c>
      <c r="C172" s="3">
        <f>DATE(2012,12,31)-1331</f>
        <v>39943</v>
      </c>
      <c r="D172" s="1" t="s">
        <v>16</v>
      </c>
      <c r="E172" s="2">
        <v>49</v>
      </c>
      <c r="F172" s="2">
        <v>309.45999999999998</v>
      </c>
      <c r="G172" s="2">
        <v>0.08</v>
      </c>
      <c r="H172" s="2">
        <v>0.71</v>
      </c>
      <c r="I172" s="4">
        <v>-82.64</v>
      </c>
      <c r="J172" s="5">
        <v>6.48</v>
      </c>
      <c r="K172" s="5">
        <v>2.74</v>
      </c>
      <c r="L172" s="1" t="s">
        <v>5</v>
      </c>
      <c r="M172" s="1" t="s">
        <v>38</v>
      </c>
      <c r="N172" s="1" t="s">
        <v>15</v>
      </c>
      <c r="O172" s="1" t="s">
        <v>11</v>
      </c>
      <c r="P172" s="1" t="s">
        <v>20</v>
      </c>
      <c r="Q172" s="6">
        <f>C172+2</f>
        <v>39945</v>
      </c>
    </row>
    <row r="173" spans="1:17" ht="15.75" x14ac:dyDescent="0.3">
      <c r="A173" s="1">
        <v>6470</v>
      </c>
      <c r="B173" s="2">
        <v>46050</v>
      </c>
      <c r="C173" s="3">
        <f>DATE(2012,12,31)-1092</f>
        <v>40182</v>
      </c>
      <c r="D173" s="1" t="s">
        <v>17</v>
      </c>
      <c r="E173" s="2">
        <v>3</v>
      </c>
      <c r="F173" s="2">
        <v>876.75</v>
      </c>
      <c r="G173" s="2">
        <v>0.02</v>
      </c>
      <c r="H173" s="2">
        <v>0.56000000000000005</v>
      </c>
      <c r="I173" s="4">
        <v>-248.69</v>
      </c>
      <c r="J173" s="5">
        <v>289.52999999999997</v>
      </c>
      <c r="K173" s="5">
        <v>19.989999999999998</v>
      </c>
      <c r="L173" s="1" t="s">
        <v>5</v>
      </c>
      <c r="M173" s="1" t="s">
        <v>38</v>
      </c>
      <c r="N173" s="1" t="s">
        <v>15</v>
      </c>
      <c r="O173" s="1" t="s">
        <v>6</v>
      </c>
      <c r="P173" s="1" t="s">
        <v>7</v>
      </c>
      <c r="Q173" s="6">
        <f>C173+3</f>
        <v>40185</v>
      </c>
    </row>
    <row r="174" spans="1:17" ht="15.75" x14ac:dyDescent="0.3">
      <c r="A174" s="1">
        <v>6479</v>
      </c>
      <c r="B174" s="2">
        <v>46117</v>
      </c>
      <c r="C174" s="3">
        <f>DATE(2012,12,31)-589</f>
        <v>40685</v>
      </c>
      <c r="D174" s="1" t="s">
        <v>16</v>
      </c>
      <c r="E174" s="2">
        <v>22</v>
      </c>
      <c r="F174" s="2">
        <v>1168.28</v>
      </c>
      <c r="G174" s="2">
        <v>0.02</v>
      </c>
      <c r="H174" s="2">
        <v>0.56000000000000005</v>
      </c>
      <c r="I174" s="4">
        <v>126.07</v>
      </c>
      <c r="J174" s="5">
        <v>50.98</v>
      </c>
      <c r="K174" s="5">
        <v>14.19</v>
      </c>
      <c r="L174" s="1" t="s">
        <v>1</v>
      </c>
      <c r="M174" s="1" t="s">
        <v>38</v>
      </c>
      <c r="N174" s="1" t="s">
        <v>15</v>
      </c>
      <c r="O174" s="1" t="s">
        <v>3</v>
      </c>
      <c r="P174" s="1" t="s">
        <v>4</v>
      </c>
      <c r="Q174" s="6">
        <f>C174+4</f>
        <v>40689</v>
      </c>
    </row>
    <row r="175" spans="1:17" ht="15.75" x14ac:dyDescent="0.3">
      <c r="A175" s="1">
        <v>6494</v>
      </c>
      <c r="B175" s="2">
        <v>46243</v>
      </c>
      <c r="C175" s="3">
        <f>DATE(2012,12,31)-342</f>
        <v>40932</v>
      </c>
      <c r="D175" s="1" t="s">
        <v>16</v>
      </c>
      <c r="E175" s="2">
        <v>31</v>
      </c>
      <c r="F175" s="2">
        <v>614.35</v>
      </c>
      <c r="G175" s="2">
        <v>0.02</v>
      </c>
      <c r="H175" s="2">
        <v>0.37</v>
      </c>
      <c r="I175" s="4">
        <v>78.89</v>
      </c>
      <c r="J175" s="5">
        <v>18.97</v>
      </c>
      <c r="K175" s="5">
        <v>9.0299999999999994</v>
      </c>
      <c r="L175" s="1" t="s">
        <v>9</v>
      </c>
      <c r="M175" s="1" t="s">
        <v>38</v>
      </c>
      <c r="N175" s="1" t="s">
        <v>2</v>
      </c>
      <c r="O175" s="1" t="s">
        <v>6</v>
      </c>
      <c r="P175" s="1" t="s">
        <v>7</v>
      </c>
      <c r="Q175" s="6">
        <f>C175+2</f>
        <v>40934</v>
      </c>
    </row>
    <row r="176" spans="1:17" ht="15.75" x14ac:dyDescent="0.3">
      <c r="A176" s="1">
        <v>6495</v>
      </c>
      <c r="B176" s="2">
        <v>46243</v>
      </c>
      <c r="C176" s="3">
        <f>DATE(2012,12,31)-342</f>
        <v>40932</v>
      </c>
      <c r="D176" s="1" t="s">
        <v>16</v>
      </c>
      <c r="E176" s="2">
        <v>1</v>
      </c>
      <c r="F176" s="2">
        <v>3.63</v>
      </c>
      <c r="G176" s="2">
        <v>0.03</v>
      </c>
      <c r="H176" s="2">
        <v>0.56000000000000005</v>
      </c>
      <c r="I176" s="4">
        <v>-1.56</v>
      </c>
      <c r="J176" s="5">
        <v>2.88</v>
      </c>
      <c r="K176" s="5">
        <v>0.7</v>
      </c>
      <c r="L176" s="1" t="s">
        <v>5</v>
      </c>
      <c r="M176" s="1" t="s">
        <v>38</v>
      </c>
      <c r="N176" s="1" t="s">
        <v>2</v>
      </c>
      <c r="O176" s="1" t="s">
        <v>6</v>
      </c>
      <c r="P176" s="1" t="s">
        <v>14</v>
      </c>
      <c r="Q176" s="6">
        <f>C176+5</f>
        <v>40937</v>
      </c>
    </row>
    <row r="177" spans="1:17" ht="15.75" x14ac:dyDescent="0.3">
      <c r="A177" s="1">
        <v>6496</v>
      </c>
      <c r="B177" s="2">
        <v>46243</v>
      </c>
      <c r="C177" s="3">
        <f>DATE(2012,12,31)-342</f>
        <v>40932</v>
      </c>
      <c r="D177" s="1" t="s">
        <v>16</v>
      </c>
      <c r="E177" s="2">
        <v>31</v>
      </c>
      <c r="F177" s="2">
        <v>172.99</v>
      </c>
      <c r="G177" s="2">
        <v>0.05</v>
      </c>
      <c r="H177" s="2">
        <v>0.38</v>
      </c>
      <c r="I177" s="4">
        <v>61.51</v>
      </c>
      <c r="J177" s="5">
        <v>5.84</v>
      </c>
      <c r="K177" s="5">
        <v>1</v>
      </c>
      <c r="L177" s="1" t="s">
        <v>5</v>
      </c>
      <c r="M177" s="1" t="s">
        <v>38</v>
      </c>
      <c r="N177" s="1" t="s">
        <v>2</v>
      </c>
      <c r="O177" s="1" t="s">
        <v>6</v>
      </c>
      <c r="P177" s="1" t="s">
        <v>14</v>
      </c>
      <c r="Q177" s="6">
        <f>C177+7</f>
        <v>40939</v>
      </c>
    </row>
    <row r="178" spans="1:17" ht="15.75" x14ac:dyDescent="0.3">
      <c r="A178" s="1">
        <v>6504</v>
      </c>
      <c r="B178" s="2">
        <v>46310</v>
      </c>
      <c r="C178" s="3">
        <f>DATE(2012,12,31)-894</f>
        <v>40380</v>
      </c>
      <c r="D178" s="1" t="s">
        <v>17</v>
      </c>
      <c r="E178" s="2">
        <v>29</v>
      </c>
      <c r="F178" s="2">
        <v>1935.25</v>
      </c>
      <c r="G178" s="2">
        <v>0.04</v>
      </c>
      <c r="H178" s="2">
        <v>0.38</v>
      </c>
      <c r="I178" s="4">
        <v>652.18799999999999</v>
      </c>
      <c r="J178" s="5">
        <v>63.98</v>
      </c>
      <c r="K178" s="5">
        <v>11.55</v>
      </c>
      <c r="L178" s="1" t="s">
        <v>5</v>
      </c>
      <c r="M178" s="1" t="s">
        <v>38</v>
      </c>
      <c r="N178" s="1" t="s">
        <v>15</v>
      </c>
      <c r="O178" s="1" t="s">
        <v>6</v>
      </c>
      <c r="P178" s="1" t="s">
        <v>7</v>
      </c>
      <c r="Q178" s="6">
        <f>C178+1</f>
        <v>40381</v>
      </c>
    </row>
    <row r="179" spans="1:17" ht="15.75" x14ac:dyDescent="0.3">
      <c r="A179" s="1">
        <v>6505</v>
      </c>
      <c r="B179" s="2">
        <v>46310</v>
      </c>
      <c r="C179" s="3">
        <f>DATE(2012,12,31)-894</f>
        <v>40380</v>
      </c>
      <c r="D179" s="1" t="s">
        <v>17</v>
      </c>
      <c r="E179" s="2">
        <v>13</v>
      </c>
      <c r="F179" s="2">
        <v>278.5</v>
      </c>
      <c r="G179" s="2">
        <v>0.1</v>
      </c>
      <c r="H179" s="2">
        <v>0.59</v>
      </c>
      <c r="I179" s="4">
        <v>-6.23</v>
      </c>
      <c r="J179" s="5">
        <v>22.01</v>
      </c>
      <c r="K179" s="5">
        <v>5.53</v>
      </c>
      <c r="L179" s="1" t="s">
        <v>5</v>
      </c>
      <c r="M179" s="1" t="s">
        <v>38</v>
      </c>
      <c r="N179" s="1" t="s">
        <v>15</v>
      </c>
      <c r="O179" s="1" t="s">
        <v>6</v>
      </c>
      <c r="P179" s="1" t="s">
        <v>20</v>
      </c>
      <c r="Q179" s="6">
        <f>C179+1</f>
        <v>40381</v>
      </c>
    </row>
    <row r="180" spans="1:17" ht="15.75" x14ac:dyDescent="0.3">
      <c r="A180" s="1">
        <v>6506</v>
      </c>
      <c r="B180" s="2">
        <v>46310</v>
      </c>
      <c r="C180" s="3">
        <f>DATE(2012,12,31)-894</f>
        <v>40380</v>
      </c>
      <c r="D180" s="1" t="s">
        <v>17</v>
      </c>
      <c r="E180" s="2">
        <v>42</v>
      </c>
      <c r="F180" s="2">
        <v>5423.58</v>
      </c>
      <c r="G180" s="2">
        <v>0.01</v>
      </c>
      <c r="H180" s="2">
        <v>0.59</v>
      </c>
      <c r="I180" s="4">
        <v>1361.56</v>
      </c>
      <c r="J180" s="5">
        <v>120.33</v>
      </c>
      <c r="K180" s="5">
        <v>19.989999999999998</v>
      </c>
      <c r="L180" s="1" t="s">
        <v>5</v>
      </c>
      <c r="M180" s="1" t="s">
        <v>38</v>
      </c>
      <c r="N180" s="1" t="s">
        <v>15</v>
      </c>
      <c r="O180" s="1" t="s">
        <v>6</v>
      </c>
      <c r="P180" s="1" t="s">
        <v>7</v>
      </c>
      <c r="Q180" s="6">
        <f>C180+0</f>
        <v>40380</v>
      </c>
    </row>
    <row r="181" spans="1:17" ht="15.75" x14ac:dyDescent="0.3">
      <c r="A181" s="1">
        <v>6537</v>
      </c>
      <c r="B181" s="2">
        <v>46503</v>
      </c>
      <c r="C181" s="3">
        <f>DATE(2012,12,31)-421</f>
        <v>40853</v>
      </c>
      <c r="D181" s="1" t="s">
        <v>8</v>
      </c>
      <c r="E181" s="2">
        <v>26</v>
      </c>
      <c r="F181" s="2">
        <v>1196.7915</v>
      </c>
      <c r="G181" s="2">
        <v>7.0000000000000007E-2</v>
      </c>
      <c r="H181" s="2">
        <v>0.55000000000000004</v>
      </c>
      <c r="I181" s="4">
        <v>265.392</v>
      </c>
      <c r="J181" s="5">
        <v>55.99</v>
      </c>
      <c r="K181" s="5">
        <v>1.25</v>
      </c>
      <c r="L181" s="1" t="s">
        <v>5</v>
      </c>
      <c r="M181" s="1" t="s">
        <v>38</v>
      </c>
      <c r="N181" s="1" t="s">
        <v>13</v>
      </c>
      <c r="O181" s="1" t="s">
        <v>11</v>
      </c>
      <c r="P181" s="1" t="s">
        <v>20</v>
      </c>
      <c r="Q181" s="6">
        <f>C181+3</f>
        <v>40856</v>
      </c>
    </row>
    <row r="182" spans="1:17" ht="15.75" x14ac:dyDescent="0.3">
      <c r="A182" s="1">
        <v>6572</v>
      </c>
      <c r="B182" s="2">
        <v>46726</v>
      </c>
      <c r="C182" s="3">
        <f>DATE(2012,12,31)-179</f>
        <v>41095</v>
      </c>
      <c r="D182" s="1" t="s">
        <v>8</v>
      </c>
      <c r="E182" s="2">
        <v>46</v>
      </c>
      <c r="F182" s="2">
        <v>325.97000000000003</v>
      </c>
      <c r="G182" s="2">
        <v>0.02</v>
      </c>
      <c r="H182" s="2">
        <v>0.57999999999999996</v>
      </c>
      <c r="I182" s="4">
        <v>-255.22</v>
      </c>
      <c r="J182" s="5">
        <v>6.84</v>
      </c>
      <c r="K182" s="5">
        <v>8.3699999999999992</v>
      </c>
      <c r="L182" s="1" t="s">
        <v>5</v>
      </c>
      <c r="M182" s="1" t="s">
        <v>38</v>
      </c>
      <c r="N182" s="1" t="s">
        <v>13</v>
      </c>
      <c r="O182" s="1" t="s">
        <v>6</v>
      </c>
      <c r="P182" s="1" t="s">
        <v>20</v>
      </c>
      <c r="Q182" s="6">
        <f>C182+0</f>
        <v>41095</v>
      </c>
    </row>
    <row r="183" spans="1:17" ht="15.75" x14ac:dyDescent="0.3">
      <c r="A183" s="1">
        <v>6573</v>
      </c>
      <c r="B183" s="2">
        <v>46726</v>
      </c>
      <c r="C183" s="3">
        <f>DATE(2012,12,31)-179</f>
        <v>41095</v>
      </c>
      <c r="D183" s="1" t="s">
        <v>8</v>
      </c>
      <c r="E183" s="2">
        <v>10</v>
      </c>
      <c r="F183" s="2">
        <v>49.65</v>
      </c>
      <c r="G183" s="2">
        <v>0.02</v>
      </c>
      <c r="H183" s="2">
        <v>0.35</v>
      </c>
      <c r="I183" s="4">
        <v>8.2705000000000002</v>
      </c>
      <c r="J183" s="5">
        <v>4.55</v>
      </c>
      <c r="K183" s="5">
        <v>1.49</v>
      </c>
      <c r="L183" s="1" t="s">
        <v>5</v>
      </c>
      <c r="M183" s="1" t="s">
        <v>38</v>
      </c>
      <c r="N183" s="1" t="s">
        <v>13</v>
      </c>
      <c r="O183" s="1" t="s">
        <v>6</v>
      </c>
      <c r="P183" s="1" t="s">
        <v>7</v>
      </c>
      <c r="Q183" s="6">
        <f>C183+2</f>
        <v>41097</v>
      </c>
    </row>
    <row r="184" spans="1:17" ht="15.75" x14ac:dyDescent="0.3">
      <c r="A184" s="1">
        <v>6613</v>
      </c>
      <c r="B184" s="2">
        <v>47042</v>
      </c>
      <c r="C184" s="3">
        <f>DATE(2012,12,31)-304</f>
        <v>40970</v>
      </c>
      <c r="D184" s="1" t="s">
        <v>0</v>
      </c>
      <c r="E184" s="2">
        <v>45</v>
      </c>
      <c r="F184" s="2">
        <v>1375.3764999999999</v>
      </c>
      <c r="G184" s="2">
        <v>0.03</v>
      </c>
      <c r="H184" s="2">
        <v>0.39</v>
      </c>
      <c r="I184" s="4">
        <v>592.21799999999996</v>
      </c>
      <c r="J184" s="5">
        <v>35.99</v>
      </c>
      <c r="K184" s="5">
        <v>3.3</v>
      </c>
      <c r="L184" s="1" t="s">
        <v>5</v>
      </c>
      <c r="M184" s="1" t="s">
        <v>38</v>
      </c>
      <c r="N184" s="1" t="s">
        <v>15</v>
      </c>
      <c r="O184" s="1" t="s">
        <v>11</v>
      </c>
      <c r="P184" s="1" t="s">
        <v>20</v>
      </c>
      <c r="Q184" s="6">
        <f>C184+1</f>
        <v>40971</v>
      </c>
    </row>
    <row r="185" spans="1:17" ht="15.75" x14ac:dyDescent="0.3">
      <c r="A185" s="1">
        <v>6635</v>
      </c>
      <c r="B185" s="2">
        <v>47174</v>
      </c>
      <c r="C185" s="3">
        <f>DATE(2012,12,31)-472</f>
        <v>40802</v>
      </c>
      <c r="D185" s="1" t="s">
        <v>0</v>
      </c>
      <c r="E185" s="2">
        <v>42</v>
      </c>
      <c r="F185" s="2">
        <v>642.1</v>
      </c>
      <c r="G185" s="2">
        <v>0</v>
      </c>
      <c r="H185" s="2">
        <v>0.39</v>
      </c>
      <c r="I185" s="4">
        <v>41.56</v>
      </c>
      <c r="J185" s="5">
        <v>13.99</v>
      </c>
      <c r="K185" s="5">
        <v>7.51</v>
      </c>
      <c r="L185" s="1" t="s">
        <v>5</v>
      </c>
      <c r="M185" s="1" t="s">
        <v>38</v>
      </c>
      <c r="N185" s="1" t="s">
        <v>2</v>
      </c>
      <c r="O185" s="1" t="s">
        <v>11</v>
      </c>
      <c r="P185" s="1" t="s">
        <v>18</v>
      </c>
      <c r="Q185" s="6">
        <f>C185+0</f>
        <v>40802</v>
      </c>
    </row>
    <row r="186" spans="1:17" ht="15.75" x14ac:dyDescent="0.3">
      <c r="A186" s="1">
        <v>6746</v>
      </c>
      <c r="B186" s="2">
        <v>48034</v>
      </c>
      <c r="C186" s="3">
        <f>DATE(2012,12,31)-1266</f>
        <v>40008</v>
      </c>
      <c r="D186" s="1" t="s">
        <v>8</v>
      </c>
      <c r="E186" s="2">
        <v>47</v>
      </c>
      <c r="F186" s="2">
        <v>945.86</v>
      </c>
      <c r="G186" s="2">
        <v>0.1</v>
      </c>
      <c r="H186" s="2">
        <v>0.59</v>
      </c>
      <c r="I186" s="4">
        <v>31.59</v>
      </c>
      <c r="J186" s="5">
        <v>22.01</v>
      </c>
      <c r="K186" s="5">
        <v>5.53</v>
      </c>
      <c r="L186" s="1" t="s">
        <v>5</v>
      </c>
      <c r="M186" s="1" t="s">
        <v>38</v>
      </c>
      <c r="N186" s="1" t="s">
        <v>15</v>
      </c>
      <c r="O186" s="1" t="s">
        <v>6</v>
      </c>
      <c r="P186" s="1" t="s">
        <v>20</v>
      </c>
      <c r="Q186" s="6">
        <f>C186+1</f>
        <v>40009</v>
      </c>
    </row>
    <row r="187" spans="1:17" ht="15.75" x14ac:dyDescent="0.3">
      <c r="A187" s="1">
        <v>6747</v>
      </c>
      <c r="B187" s="2">
        <v>48034</v>
      </c>
      <c r="C187" s="3">
        <f>DATE(2012,12,31)-1266</f>
        <v>40008</v>
      </c>
      <c r="D187" s="1" t="s">
        <v>8</v>
      </c>
      <c r="E187" s="2">
        <v>12</v>
      </c>
      <c r="F187" s="2">
        <v>2340.5040000000004</v>
      </c>
      <c r="G187" s="2">
        <v>0.04</v>
      </c>
      <c r="H187" s="2">
        <v>0.61</v>
      </c>
      <c r="I187" s="4">
        <v>243.16</v>
      </c>
      <c r="J187" s="5">
        <v>236.97</v>
      </c>
      <c r="K187" s="5">
        <v>59.24</v>
      </c>
      <c r="L187" s="1" t="s">
        <v>1</v>
      </c>
      <c r="M187" s="1" t="s">
        <v>38</v>
      </c>
      <c r="N187" s="1" t="s">
        <v>15</v>
      </c>
      <c r="O187" s="1" t="s">
        <v>3</v>
      </c>
      <c r="P187" s="1" t="s">
        <v>19</v>
      </c>
      <c r="Q187" s="6">
        <f>C187+0</f>
        <v>40008</v>
      </c>
    </row>
    <row r="188" spans="1:17" ht="15.75" x14ac:dyDescent="0.3">
      <c r="A188" s="1">
        <v>6760</v>
      </c>
      <c r="B188" s="2">
        <v>48164</v>
      </c>
      <c r="C188" s="3">
        <f>DATE(2012,12,31)-429</f>
        <v>40845</v>
      </c>
      <c r="D188" s="1" t="s">
        <v>17</v>
      </c>
      <c r="E188" s="2">
        <v>33</v>
      </c>
      <c r="F188" s="2">
        <v>94.39</v>
      </c>
      <c r="G188" s="2">
        <v>7.0000000000000007E-2</v>
      </c>
      <c r="H188" s="2">
        <v>0.56000000000000005</v>
      </c>
      <c r="I188" s="4">
        <v>12.31</v>
      </c>
      <c r="J188" s="5">
        <v>2.88</v>
      </c>
      <c r="K188" s="5">
        <v>0.7</v>
      </c>
      <c r="L188" s="1" t="s">
        <v>5</v>
      </c>
      <c r="M188" s="1" t="s">
        <v>38</v>
      </c>
      <c r="N188" s="1" t="s">
        <v>13</v>
      </c>
      <c r="O188" s="1" t="s">
        <v>6</v>
      </c>
      <c r="P188" s="1" t="s">
        <v>14</v>
      </c>
      <c r="Q188" s="6">
        <f>C188+2</f>
        <v>40847</v>
      </c>
    </row>
    <row r="189" spans="1:17" ht="15.75" x14ac:dyDescent="0.3">
      <c r="A189" s="1">
        <v>6896</v>
      </c>
      <c r="B189" s="2">
        <v>49189</v>
      </c>
      <c r="C189" s="3">
        <f>DATE(2012,12,31)-716</f>
        <v>40558</v>
      </c>
      <c r="D189" s="1" t="s">
        <v>0</v>
      </c>
      <c r="E189" s="2">
        <v>32</v>
      </c>
      <c r="F189" s="2">
        <v>249.59</v>
      </c>
      <c r="G189" s="2">
        <v>0.06</v>
      </c>
      <c r="H189" s="2">
        <v>0.36</v>
      </c>
      <c r="I189" s="4">
        <v>101.82</v>
      </c>
      <c r="J189" s="5">
        <v>7.64</v>
      </c>
      <c r="K189" s="5">
        <v>1.39</v>
      </c>
      <c r="L189" s="1" t="s">
        <v>5</v>
      </c>
      <c r="M189" s="1" t="s">
        <v>38</v>
      </c>
      <c r="N189" s="1" t="s">
        <v>15</v>
      </c>
      <c r="O189" s="1" t="s">
        <v>6</v>
      </c>
      <c r="P189" s="1" t="s">
        <v>7</v>
      </c>
      <c r="Q189" s="6">
        <f>C189+3</f>
        <v>40561</v>
      </c>
    </row>
    <row r="190" spans="1:17" ht="15.75" x14ac:dyDescent="0.3">
      <c r="A190" s="1">
        <v>6997</v>
      </c>
      <c r="B190" s="2">
        <v>49986</v>
      </c>
      <c r="C190" s="3">
        <f>DATE(2012,12,31)-809</f>
        <v>40465</v>
      </c>
      <c r="D190" s="1" t="s">
        <v>0</v>
      </c>
      <c r="E190" s="2">
        <v>39</v>
      </c>
      <c r="F190" s="2">
        <v>110.36</v>
      </c>
      <c r="G190" s="2">
        <v>0.05</v>
      </c>
      <c r="H190" s="2">
        <v>0.54</v>
      </c>
      <c r="I190" s="4">
        <v>8.6</v>
      </c>
      <c r="J190" s="5">
        <v>2.84</v>
      </c>
      <c r="K190" s="5">
        <v>0.93</v>
      </c>
      <c r="L190" s="1" t="s">
        <v>5</v>
      </c>
      <c r="M190" s="1" t="s">
        <v>38</v>
      </c>
      <c r="N190" s="1" t="s">
        <v>21</v>
      </c>
      <c r="O190" s="1" t="s">
        <v>6</v>
      </c>
      <c r="P190" s="1" t="s">
        <v>14</v>
      </c>
      <c r="Q190" s="6">
        <f>C190+2</f>
        <v>40467</v>
      </c>
    </row>
    <row r="191" spans="1:17" ht="15.75" x14ac:dyDescent="0.3">
      <c r="A191" s="1">
        <v>7054</v>
      </c>
      <c r="B191" s="2">
        <v>50336</v>
      </c>
      <c r="C191" s="3">
        <f>DATE(2012,12,31)-1153</f>
        <v>40121</v>
      </c>
      <c r="D191" s="1" t="s">
        <v>8</v>
      </c>
      <c r="E191" s="2">
        <v>9</v>
      </c>
      <c r="F191" s="2">
        <v>58.98</v>
      </c>
      <c r="G191" s="2">
        <v>0</v>
      </c>
      <c r="H191" s="2">
        <v>0.35</v>
      </c>
      <c r="I191" s="4">
        <v>-17.790500000000002</v>
      </c>
      <c r="J191" s="5">
        <v>5.77</v>
      </c>
      <c r="K191" s="5">
        <v>4.97</v>
      </c>
      <c r="L191" s="1" t="s">
        <v>5</v>
      </c>
      <c r="M191" s="1" t="s">
        <v>38</v>
      </c>
      <c r="N191" s="1" t="s">
        <v>21</v>
      </c>
      <c r="O191" s="1" t="s">
        <v>6</v>
      </c>
      <c r="P191" s="1" t="s">
        <v>7</v>
      </c>
      <c r="Q191" s="6">
        <f>C191+1</f>
        <v>40122</v>
      </c>
    </row>
    <row r="192" spans="1:17" ht="15.75" x14ac:dyDescent="0.3">
      <c r="A192" s="1">
        <v>7059</v>
      </c>
      <c r="B192" s="2">
        <v>50373</v>
      </c>
      <c r="C192" s="3">
        <f>DATE(2012,12,31)-1278</f>
        <v>39996</v>
      </c>
      <c r="D192" s="1" t="s">
        <v>0</v>
      </c>
      <c r="E192" s="2">
        <v>9</v>
      </c>
      <c r="F192" s="2">
        <v>1455.04</v>
      </c>
      <c r="G192" s="2">
        <v>0.06</v>
      </c>
      <c r="H192" s="2">
        <v>0.66</v>
      </c>
      <c r="I192" s="4">
        <v>-7.5800000000000409</v>
      </c>
      <c r="J192" s="5">
        <v>161.55000000000001</v>
      </c>
      <c r="K192" s="5">
        <v>19.989999999999998</v>
      </c>
      <c r="L192" s="1" t="s">
        <v>5</v>
      </c>
      <c r="M192" s="1" t="s">
        <v>38</v>
      </c>
      <c r="N192" s="1" t="s">
        <v>13</v>
      </c>
      <c r="O192" s="1" t="s">
        <v>6</v>
      </c>
      <c r="P192" s="1" t="s">
        <v>7</v>
      </c>
      <c r="Q192" s="6">
        <f>C192+1</f>
        <v>39997</v>
      </c>
    </row>
    <row r="193" spans="1:17" ht="15.75" x14ac:dyDescent="0.3">
      <c r="A193" s="1">
        <v>7086</v>
      </c>
      <c r="B193" s="2">
        <v>50564</v>
      </c>
      <c r="C193" s="3">
        <f>DATE(2012,12,31)-304</f>
        <v>40970</v>
      </c>
      <c r="D193" s="1" t="s">
        <v>17</v>
      </c>
      <c r="E193" s="2">
        <v>30</v>
      </c>
      <c r="F193" s="2">
        <v>11041.42</v>
      </c>
      <c r="G193" s="2">
        <v>7.0000000000000007E-2</v>
      </c>
      <c r="H193" s="2">
        <v>0.38</v>
      </c>
      <c r="I193" s="4">
        <v>4456.2524999999996</v>
      </c>
      <c r="J193" s="5">
        <v>387.99</v>
      </c>
      <c r="K193" s="5">
        <v>19.989999999999998</v>
      </c>
      <c r="L193" s="1" t="s">
        <v>5</v>
      </c>
      <c r="M193" s="1" t="s">
        <v>38</v>
      </c>
      <c r="N193" s="1" t="s">
        <v>15</v>
      </c>
      <c r="O193" s="1" t="s">
        <v>6</v>
      </c>
      <c r="P193" s="1" t="s">
        <v>7</v>
      </c>
      <c r="Q193" s="6">
        <f>C193+2</f>
        <v>40972</v>
      </c>
    </row>
    <row r="194" spans="1:17" ht="15.75" x14ac:dyDescent="0.3">
      <c r="A194" s="1">
        <v>7139</v>
      </c>
      <c r="B194" s="2">
        <v>50949</v>
      </c>
      <c r="C194" s="3">
        <f>DATE(2012,12,31)-696</f>
        <v>40578</v>
      </c>
      <c r="D194" s="1" t="s">
        <v>12</v>
      </c>
      <c r="E194" s="2">
        <v>32</v>
      </c>
      <c r="F194" s="2">
        <v>73.55</v>
      </c>
      <c r="G194" s="2">
        <v>0.09</v>
      </c>
      <c r="H194" s="2">
        <v>0.52</v>
      </c>
      <c r="I194" s="4">
        <v>7.95</v>
      </c>
      <c r="J194" s="5">
        <v>2.1800000000000002</v>
      </c>
      <c r="K194" s="5">
        <v>0.78</v>
      </c>
      <c r="L194" s="1" t="s">
        <v>9</v>
      </c>
      <c r="M194" s="1" t="s">
        <v>38</v>
      </c>
      <c r="N194" s="1" t="s">
        <v>2</v>
      </c>
      <c r="O194" s="1" t="s">
        <v>6</v>
      </c>
      <c r="P194" s="1" t="s">
        <v>14</v>
      </c>
      <c r="Q194" s="6">
        <f>C194+1</f>
        <v>40579</v>
      </c>
    </row>
    <row r="195" spans="1:17" ht="15.75" x14ac:dyDescent="0.3">
      <c r="A195" s="1">
        <v>7140</v>
      </c>
      <c r="B195" s="2">
        <v>50949</v>
      </c>
      <c r="C195" s="3">
        <f>DATE(2012,12,31)-696</f>
        <v>40578</v>
      </c>
      <c r="D195" s="1" t="s">
        <v>12</v>
      </c>
      <c r="E195" s="2">
        <v>46</v>
      </c>
      <c r="F195" s="2">
        <v>4804.0385000000006</v>
      </c>
      <c r="G195" s="2">
        <v>0.08</v>
      </c>
      <c r="H195" s="2">
        <v>0.59</v>
      </c>
      <c r="I195" s="4">
        <v>1077.921</v>
      </c>
      <c r="J195" s="5">
        <v>125.99</v>
      </c>
      <c r="K195" s="5">
        <v>8.8000000000000007</v>
      </c>
      <c r="L195" s="1" t="s">
        <v>5</v>
      </c>
      <c r="M195" s="1" t="s">
        <v>38</v>
      </c>
      <c r="N195" s="1" t="s">
        <v>2</v>
      </c>
      <c r="O195" s="1" t="s">
        <v>11</v>
      </c>
      <c r="P195" s="1" t="s">
        <v>7</v>
      </c>
      <c r="Q195" s="6">
        <f>C195+2</f>
        <v>40580</v>
      </c>
    </row>
    <row r="196" spans="1:17" ht="15.75" x14ac:dyDescent="0.3">
      <c r="A196" s="1">
        <v>7198</v>
      </c>
      <c r="B196" s="2">
        <v>51361</v>
      </c>
      <c r="C196" s="3">
        <f>DATE(2012,12,31)-654</f>
        <v>40620</v>
      </c>
      <c r="D196" s="1" t="s">
        <v>16</v>
      </c>
      <c r="E196" s="2">
        <v>14</v>
      </c>
      <c r="F196" s="2">
        <v>76.06</v>
      </c>
      <c r="G196" s="2">
        <v>0.02</v>
      </c>
      <c r="H196" s="2">
        <v>0.4</v>
      </c>
      <c r="I196" s="4">
        <v>-35.99</v>
      </c>
      <c r="J196" s="5">
        <v>4.28</v>
      </c>
      <c r="K196" s="5">
        <v>5.68</v>
      </c>
      <c r="L196" s="1" t="s">
        <v>9</v>
      </c>
      <c r="M196" s="1" t="s">
        <v>38</v>
      </c>
      <c r="N196" s="1" t="s">
        <v>2</v>
      </c>
      <c r="O196" s="1" t="s">
        <v>6</v>
      </c>
      <c r="P196" s="1" t="s">
        <v>7</v>
      </c>
      <c r="Q196" s="6">
        <f>C196+2</f>
        <v>40622</v>
      </c>
    </row>
    <row r="197" spans="1:17" ht="15.75" x14ac:dyDescent="0.3">
      <c r="A197" s="1">
        <v>7199</v>
      </c>
      <c r="B197" s="2">
        <v>51361</v>
      </c>
      <c r="C197" s="3">
        <f>DATE(2012,12,31)-654</f>
        <v>40620</v>
      </c>
      <c r="D197" s="1" t="s">
        <v>0</v>
      </c>
      <c r="E197" s="2">
        <v>50</v>
      </c>
      <c r="F197" s="2">
        <v>18056.68</v>
      </c>
      <c r="G197" s="2">
        <v>0</v>
      </c>
      <c r="H197" s="2"/>
      <c r="I197" s="4">
        <v>-6474.6540000000005</v>
      </c>
      <c r="J197" s="5">
        <v>349.45</v>
      </c>
      <c r="K197" s="5">
        <v>60</v>
      </c>
      <c r="L197" s="1" t="s">
        <v>1</v>
      </c>
      <c r="M197" s="1" t="s">
        <v>38</v>
      </c>
      <c r="N197" s="1" t="s">
        <v>2</v>
      </c>
      <c r="O197" s="1" t="s">
        <v>3</v>
      </c>
      <c r="P197" s="1" t="s">
        <v>4</v>
      </c>
      <c r="Q197" s="6">
        <f>C197+4</f>
        <v>40624</v>
      </c>
    </row>
    <row r="198" spans="1:17" ht="15.75" x14ac:dyDescent="0.3">
      <c r="A198" s="1">
        <v>7258</v>
      </c>
      <c r="B198" s="2">
        <v>51780</v>
      </c>
      <c r="C198" s="3">
        <f>DATE(2012,12,31)-891</f>
        <v>40383</v>
      </c>
      <c r="D198" s="1" t="s">
        <v>16</v>
      </c>
      <c r="E198" s="2">
        <v>42</v>
      </c>
      <c r="F198" s="2">
        <v>372.69</v>
      </c>
      <c r="G198" s="2">
        <v>0.01</v>
      </c>
      <c r="H198" s="2">
        <v>0.4</v>
      </c>
      <c r="I198" s="4">
        <v>-177.03100000000001</v>
      </c>
      <c r="J198" s="5">
        <v>8.0399999999999991</v>
      </c>
      <c r="K198" s="5">
        <v>8.94</v>
      </c>
      <c r="L198" s="1" t="s">
        <v>9</v>
      </c>
      <c r="M198" s="1" t="s">
        <v>38</v>
      </c>
      <c r="N198" s="1" t="s">
        <v>21</v>
      </c>
      <c r="O198" s="1" t="s">
        <v>6</v>
      </c>
      <c r="P198" s="1" t="s">
        <v>7</v>
      </c>
      <c r="Q198" s="6">
        <f>C198+7</f>
        <v>40390</v>
      </c>
    </row>
    <row r="199" spans="1:17" ht="15.75" x14ac:dyDescent="0.3">
      <c r="A199" s="1">
        <v>7278</v>
      </c>
      <c r="B199" s="2">
        <v>51940</v>
      </c>
      <c r="C199" s="3">
        <f>DATE(2012,12,31)-75</f>
        <v>41199</v>
      </c>
      <c r="D199" s="1" t="s">
        <v>17</v>
      </c>
      <c r="E199" s="2">
        <v>11</v>
      </c>
      <c r="F199" s="2">
        <v>65.5</v>
      </c>
      <c r="G199" s="2">
        <v>0.08</v>
      </c>
      <c r="H199" s="2">
        <v>0.75</v>
      </c>
      <c r="I199" s="4">
        <v>-55.94</v>
      </c>
      <c r="J199" s="5">
        <v>5.98</v>
      </c>
      <c r="K199" s="5">
        <v>4.38</v>
      </c>
      <c r="L199" s="1" t="s">
        <v>5</v>
      </c>
      <c r="M199" s="1" t="s">
        <v>38</v>
      </c>
      <c r="N199" s="1" t="s">
        <v>2</v>
      </c>
      <c r="O199" s="1" t="s">
        <v>11</v>
      </c>
      <c r="P199" s="1" t="s">
        <v>20</v>
      </c>
      <c r="Q199" s="6">
        <f>C199+1</f>
        <v>41200</v>
      </c>
    </row>
    <row r="200" spans="1:17" ht="15.75" x14ac:dyDescent="0.3">
      <c r="A200" s="1">
        <v>7305</v>
      </c>
      <c r="B200" s="2">
        <v>52071</v>
      </c>
      <c r="C200" s="3">
        <f>DATE(2012,12,31)-400</f>
        <v>40874</v>
      </c>
      <c r="D200" s="1" t="s">
        <v>8</v>
      </c>
      <c r="E200" s="2">
        <v>14</v>
      </c>
      <c r="F200" s="2">
        <v>136.85</v>
      </c>
      <c r="G200" s="2">
        <v>0.01</v>
      </c>
      <c r="H200" s="2">
        <v>0.36</v>
      </c>
      <c r="I200" s="4">
        <v>-4.4275000000000002</v>
      </c>
      <c r="J200" s="5">
        <v>8.85</v>
      </c>
      <c r="K200" s="5">
        <v>5.6</v>
      </c>
      <c r="L200" s="1" t="s">
        <v>5</v>
      </c>
      <c r="M200" s="1" t="s">
        <v>38</v>
      </c>
      <c r="N200" s="1" t="s">
        <v>21</v>
      </c>
      <c r="O200" s="1" t="s">
        <v>6</v>
      </c>
      <c r="P200" s="1" t="s">
        <v>7</v>
      </c>
      <c r="Q200" s="6">
        <f>C200+2</f>
        <v>40876</v>
      </c>
    </row>
    <row r="201" spans="1:17" ht="15.75" x14ac:dyDescent="0.3">
      <c r="A201" s="1">
        <v>7306</v>
      </c>
      <c r="B201" s="2">
        <v>52071</v>
      </c>
      <c r="C201" s="3">
        <f>DATE(2012,12,31)-400</f>
        <v>40874</v>
      </c>
      <c r="D201" s="1" t="s">
        <v>8</v>
      </c>
      <c r="E201" s="2">
        <v>1</v>
      </c>
      <c r="F201" s="2">
        <v>12.74</v>
      </c>
      <c r="G201" s="2">
        <v>0.05</v>
      </c>
      <c r="H201" s="2">
        <v>0.41</v>
      </c>
      <c r="I201" s="4">
        <v>-11.39</v>
      </c>
      <c r="J201" s="5">
        <v>7.96</v>
      </c>
      <c r="K201" s="5">
        <v>4.95</v>
      </c>
      <c r="L201" s="1" t="s">
        <v>5</v>
      </c>
      <c r="M201" s="1" t="s">
        <v>38</v>
      </c>
      <c r="N201" s="1" t="s">
        <v>21</v>
      </c>
      <c r="O201" s="1" t="s">
        <v>3</v>
      </c>
      <c r="P201" s="1" t="s">
        <v>7</v>
      </c>
      <c r="Q201" s="6">
        <f>C201+2</f>
        <v>40876</v>
      </c>
    </row>
    <row r="202" spans="1:17" ht="15.75" x14ac:dyDescent="0.3">
      <c r="A202" s="1">
        <v>7449</v>
      </c>
      <c r="B202" s="2">
        <v>53152</v>
      </c>
      <c r="C202" s="3">
        <f>DATE(2012,12,31)-1397</f>
        <v>39877</v>
      </c>
      <c r="D202" s="1" t="s">
        <v>12</v>
      </c>
      <c r="E202" s="2">
        <v>5</v>
      </c>
      <c r="F202" s="2">
        <v>185.79</v>
      </c>
      <c r="G202" s="2">
        <v>0.02</v>
      </c>
      <c r="H202" s="2">
        <v>0.76</v>
      </c>
      <c r="I202" s="4">
        <v>-159.68</v>
      </c>
      <c r="J202" s="5">
        <v>34.979999999999997</v>
      </c>
      <c r="K202" s="5">
        <v>7.53</v>
      </c>
      <c r="L202" s="1" t="s">
        <v>5</v>
      </c>
      <c r="M202" s="1" t="s">
        <v>38</v>
      </c>
      <c r="N202" s="1" t="s">
        <v>2</v>
      </c>
      <c r="O202" s="1" t="s">
        <v>11</v>
      </c>
      <c r="P202" s="1" t="s">
        <v>7</v>
      </c>
      <c r="Q202" s="6">
        <f>C202+2</f>
        <v>39879</v>
      </c>
    </row>
    <row r="203" spans="1:17" ht="15.75" x14ac:dyDescent="0.3">
      <c r="A203" s="1">
        <v>7450</v>
      </c>
      <c r="B203" s="2">
        <v>53152</v>
      </c>
      <c r="C203" s="3">
        <f>DATE(2012,12,31)-1397</f>
        <v>39877</v>
      </c>
      <c r="D203" s="1" t="s">
        <v>12</v>
      </c>
      <c r="E203" s="2">
        <v>9</v>
      </c>
      <c r="F203" s="2">
        <v>196.41</v>
      </c>
      <c r="G203" s="2">
        <v>0.01</v>
      </c>
      <c r="H203" s="2">
        <v>0.6</v>
      </c>
      <c r="I203" s="4">
        <v>27.91</v>
      </c>
      <c r="J203" s="5">
        <v>19.989999999999998</v>
      </c>
      <c r="K203" s="5">
        <v>11.17</v>
      </c>
      <c r="L203" s="1" t="s">
        <v>5</v>
      </c>
      <c r="M203" s="1" t="s">
        <v>38</v>
      </c>
      <c r="N203" s="1" t="s">
        <v>2</v>
      </c>
      <c r="O203" s="1" t="s">
        <v>3</v>
      </c>
      <c r="P203" s="1" t="s">
        <v>10</v>
      </c>
      <c r="Q203" s="6">
        <f>C203+3</f>
        <v>39880</v>
      </c>
    </row>
    <row r="204" spans="1:17" ht="15.75" x14ac:dyDescent="0.3">
      <c r="A204" s="1">
        <v>7451</v>
      </c>
      <c r="B204" s="2">
        <v>53152</v>
      </c>
      <c r="C204" s="3">
        <f>DATE(2012,12,31)-1397</f>
        <v>39877</v>
      </c>
      <c r="D204" s="1" t="s">
        <v>12</v>
      </c>
      <c r="E204" s="2">
        <v>9</v>
      </c>
      <c r="F204" s="2">
        <v>186.67</v>
      </c>
      <c r="G204" s="2">
        <v>0.02</v>
      </c>
      <c r="H204" s="2">
        <v>0.37</v>
      </c>
      <c r="I204" s="4">
        <v>2.06</v>
      </c>
      <c r="J204" s="5">
        <v>19.98</v>
      </c>
      <c r="K204" s="5">
        <v>8.68</v>
      </c>
      <c r="L204" s="1" t="s">
        <v>5</v>
      </c>
      <c r="M204" s="1" t="s">
        <v>38</v>
      </c>
      <c r="N204" s="1" t="s">
        <v>2</v>
      </c>
      <c r="O204" s="1" t="s">
        <v>6</v>
      </c>
      <c r="P204" s="1" t="s">
        <v>7</v>
      </c>
      <c r="Q204" s="6">
        <f>C204+2</f>
        <v>39879</v>
      </c>
    </row>
    <row r="205" spans="1:17" ht="15.75" x14ac:dyDescent="0.3">
      <c r="A205" s="1">
        <v>7573</v>
      </c>
      <c r="B205" s="2">
        <v>54177</v>
      </c>
      <c r="C205" s="3">
        <f>DATE(2012,12,31)-341</f>
        <v>40933</v>
      </c>
      <c r="D205" s="1" t="s">
        <v>0</v>
      </c>
      <c r="E205" s="2">
        <v>12</v>
      </c>
      <c r="F205" s="2">
        <v>480.73</v>
      </c>
      <c r="G205" s="2">
        <v>0.1</v>
      </c>
      <c r="H205" s="2">
        <v>0.36</v>
      </c>
      <c r="I205" s="4">
        <v>148.19749999999999</v>
      </c>
      <c r="J205" s="5">
        <v>42.8</v>
      </c>
      <c r="K205" s="5">
        <v>2.99</v>
      </c>
      <c r="L205" s="1" t="s">
        <v>5</v>
      </c>
      <c r="M205" s="1" t="s">
        <v>38</v>
      </c>
      <c r="N205" s="1" t="s">
        <v>15</v>
      </c>
      <c r="O205" s="1" t="s">
        <v>6</v>
      </c>
      <c r="P205" s="1" t="s">
        <v>7</v>
      </c>
      <c r="Q205" s="6">
        <f>C205+0</f>
        <v>40933</v>
      </c>
    </row>
    <row r="206" spans="1:17" ht="15.75" x14ac:dyDescent="0.3">
      <c r="A206" s="1">
        <v>7574</v>
      </c>
      <c r="B206" s="2">
        <v>54177</v>
      </c>
      <c r="C206" s="3">
        <f>DATE(2012,12,31)-341</f>
        <v>40933</v>
      </c>
      <c r="D206" s="1" t="s">
        <v>0</v>
      </c>
      <c r="E206" s="2">
        <v>25</v>
      </c>
      <c r="F206" s="2">
        <v>159</v>
      </c>
      <c r="G206" s="2">
        <v>0.1</v>
      </c>
      <c r="H206" s="2">
        <v>0.37</v>
      </c>
      <c r="I206" s="4">
        <v>-98.15</v>
      </c>
      <c r="J206" s="5">
        <v>6.48</v>
      </c>
      <c r="K206" s="5">
        <v>7.37</v>
      </c>
      <c r="L206" s="1" t="s">
        <v>5</v>
      </c>
      <c r="M206" s="1" t="s">
        <v>38</v>
      </c>
      <c r="N206" s="1" t="s">
        <v>15</v>
      </c>
      <c r="O206" s="1" t="s">
        <v>6</v>
      </c>
      <c r="P206" s="1" t="s">
        <v>7</v>
      </c>
      <c r="Q206" s="6">
        <f>C206+2</f>
        <v>40935</v>
      </c>
    </row>
    <row r="207" spans="1:17" ht="15.75" x14ac:dyDescent="0.3">
      <c r="A207" s="1">
        <v>7688</v>
      </c>
      <c r="B207" s="2">
        <v>55107</v>
      </c>
      <c r="C207" s="3">
        <f>DATE(2012,12,31)-968</f>
        <v>40306</v>
      </c>
      <c r="D207" s="1" t="s">
        <v>16</v>
      </c>
      <c r="E207" s="2">
        <v>32</v>
      </c>
      <c r="F207" s="2">
        <v>171.52</v>
      </c>
      <c r="G207" s="2">
        <v>0.1</v>
      </c>
      <c r="H207" s="2">
        <v>0.38</v>
      </c>
      <c r="I207" s="4">
        <v>46.61</v>
      </c>
      <c r="J207" s="5">
        <v>5.68</v>
      </c>
      <c r="K207" s="5">
        <v>1.39</v>
      </c>
      <c r="L207" s="1" t="s">
        <v>5</v>
      </c>
      <c r="M207" s="1" t="s">
        <v>38</v>
      </c>
      <c r="N207" s="1" t="s">
        <v>15</v>
      </c>
      <c r="O207" s="1" t="s">
        <v>6</v>
      </c>
      <c r="P207" s="1" t="s">
        <v>7</v>
      </c>
      <c r="Q207" s="6">
        <f>C207+5</f>
        <v>40311</v>
      </c>
    </row>
    <row r="208" spans="1:17" ht="15.75" x14ac:dyDescent="0.3">
      <c r="A208" s="1">
        <v>7750</v>
      </c>
      <c r="B208" s="2">
        <v>55461</v>
      </c>
      <c r="C208" s="3">
        <f>DATE(2012,12,31)-1190</f>
        <v>40084</v>
      </c>
      <c r="D208" s="1" t="s">
        <v>12</v>
      </c>
      <c r="E208" s="2">
        <v>16</v>
      </c>
      <c r="F208" s="2">
        <v>84.01</v>
      </c>
      <c r="G208" s="2">
        <v>0.06</v>
      </c>
      <c r="H208" s="2">
        <v>0.47</v>
      </c>
      <c r="I208" s="4">
        <v>-34.119999999999997</v>
      </c>
      <c r="J208" s="5">
        <v>4.82</v>
      </c>
      <c r="K208" s="5">
        <v>5.72</v>
      </c>
      <c r="L208" s="1" t="s">
        <v>5</v>
      </c>
      <c r="M208" s="1" t="s">
        <v>38</v>
      </c>
      <c r="N208" s="1" t="s">
        <v>13</v>
      </c>
      <c r="O208" s="1" t="s">
        <v>3</v>
      </c>
      <c r="P208" s="1" t="s">
        <v>20</v>
      </c>
      <c r="Q208" s="6">
        <f>C208+1</f>
        <v>40085</v>
      </c>
    </row>
    <row r="209" spans="1:17" ht="15.75" x14ac:dyDescent="0.3">
      <c r="A209" s="1">
        <v>7760</v>
      </c>
      <c r="B209" s="2">
        <v>55526</v>
      </c>
      <c r="C209" s="3">
        <f>DATE(2012,12,31)-182</f>
        <v>41092</v>
      </c>
      <c r="D209" s="1" t="s">
        <v>17</v>
      </c>
      <c r="E209" s="2">
        <v>23</v>
      </c>
      <c r="F209" s="2">
        <v>445.17</v>
      </c>
      <c r="G209" s="2">
        <v>0.02</v>
      </c>
      <c r="H209" s="2">
        <v>0.37</v>
      </c>
      <c r="I209" s="4">
        <v>38.11</v>
      </c>
      <c r="J209" s="5">
        <v>18.97</v>
      </c>
      <c r="K209" s="5">
        <v>9.0299999999999994</v>
      </c>
      <c r="L209" s="1" t="s">
        <v>5</v>
      </c>
      <c r="M209" s="1" t="s">
        <v>38</v>
      </c>
      <c r="N209" s="1" t="s">
        <v>2</v>
      </c>
      <c r="O209" s="1" t="s">
        <v>6</v>
      </c>
      <c r="P209" s="1" t="s">
        <v>7</v>
      </c>
      <c r="Q209" s="6">
        <f>C209+1</f>
        <v>41093</v>
      </c>
    </row>
    <row r="210" spans="1:17" ht="15.75" x14ac:dyDescent="0.3">
      <c r="A210" s="1">
        <v>7829</v>
      </c>
      <c r="B210" s="2">
        <v>55969</v>
      </c>
      <c r="C210" s="3">
        <f>DATE(2012,12,31)-819</f>
        <v>40455</v>
      </c>
      <c r="D210" s="1" t="s">
        <v>12</v>
      </c>
      <c r="E210" s="2">
        <v>37</v>
      </c>
      <c r="F210" s="2">
        <v>2329.4</v>
      </c>
      <c r="G210" s="2">
        <v>0.08</v>
      </c>
      <c r="H210" s="2">
        <v>0.73</v>
      </c>
      <c r="I210" s="4">
        <v>189.77</v>
      </c>
      <c r="J210" s="5">
        <v>64.98</v>
      </c>
      <c r="K210" s="5">
        <v>6.88</v>
      </c>
      <c r="L210" s="1" t="s">
        <v>5</v>
      </c>
      <c r="M210" s="1" t="s">
        <v>38</v>
      </c>
      <c r="N210" s="1" t="s">
        <v>13</v>
      </c>
      <c r="O210" s="1" t="s">
        <v>6</v>
      </c>
      <c r="P210" s="1" t="s">
        <v>7</v>
      </c>
      <c r="Q210" s="6">
        <f>C210+3</f>
        <v>40458</v>
      </c>
    </row>
    <row r="211" spans="1:17" ht="15.75" x14ac:dyDescent="0.3">
      <c r="A211" s="1">
        <v>7996</v>
      </c>
      <c r="B211" s="2">
        <v>57153</v>
      </c>
      <c r="C211" s="3">
        <f>DATE(2012,12,31)-1315</f>
        <v>39959</v>
      </c>
      <c r="D211" s="1" t="s">
        <v>0</v>
      </c>
      <c r="E211" s="2">
        <v>9</v>
      </c>
      <c r="F211" s="2">
        <v>106.05</v>
      </c>
      <c r="G211" s="2">
        <v>0.02</v>
      </c>
      <c r="H211" s="2">
        <v>0.42</v>
      </c>
      <c r="I211" s="4">
        <v>-14.52</v>
      </c>
      <c r="J211" s="5">
        <v>11.33</v>
      </c>
      <c r="K211" s="5">
        <v>6.12</v>
      </c>
      <c r="L211" s="1" t="s">
        <v>5</v>
      </c>
      <c r="M211" s="1" t="s">
        <v>38</v>
      </c>
      <c r="N211" s="1" t="s">
        <v>2</v>
      </c>
      <c r="O211" s="1" t="s">
        <v>6</v>
      </c>
      <c r="P211" s="1" t="s">
        <v>18</v>
      </c>
      <c r="Q211" s="6">
        <f>C211+2</f>
        <v>39961</v>
      </c>
    </row>
    <row r="212" spans="1:17" ht="15.75" x14ac:dyDescent="0.3">
      <c r="A212" s="1">
        <v>7997</v>
      </c>
      <c r="B212" s="2">
        <v>57153</v>
      </c>
      <c r="C212" s="3">
        <f>DATE(2012,12,31)-1315</f>
        <v>39959</v>
      </c>
      <c r="D212" s="1" t="s">
        <v>0</v>
      </c>
      <c r="E212" s="2">
        <v>45</v>
      </c>
      <c r="F212" s="2">
        <v>698.1</v>
      </c>
      <c r="G212" s="2">
        <v>0.01</v>
      </c>
      <c r="H212" s="2">
        <v>0.38</v>
      </c>
      <c r="I212" s="4">
        <v>336.25</v>
      </c>
      <c r="J212" s="5">
        <v>15.67</v>
      </c>
      <c r="K212" s="5">
        <v>1.39</v>
      </c>
      <c r="L212" s="1" t="s">
        <v>5</v>
      </c>
      <c r="M212" s="1" t="s">
        <v>38</v>
      </c>
      <c r="N212" s="1" t="s">
        <v>2</v>
      </c>
      <c r="O212" s="1" t="s">
        <v>6</v>
      </c>
      <c r="P212" s="1" t="s">
        <v>7</v>
      </c>
      <c r="Q212" s="6">
        <f>C212+1</f>
        <v>39960</v>
      </c>
    </row>
    <row r="213" spans="1:17" ht="15.75" x14ac:dyDescent="0.3">
      <c r="A213" s="1">
        <v>8065</v>
      </c>
      <c r="B213" s="2">
        <v>57538</v>
      </c>
      <c r="C213" s="3">
        <f>DATE(2012,12,31)-1045</f>
        <v>40229</v>
      </c>
      <c r="D213" s="1" t="s">
        <v>0</v>
      </c>
      <c r="E213" s="2">
        <v>40</v>
      </c>
      <c r="F213" s="2">
        <v>1370.49</v>
      </c>
      <c r="G213" s="2">
        <v>0.08</v>
      </c>
      <c r="H213" s="2">
        <v>0.55000000000000004</v>
      </c>
      <c r="I213" s="4">
        <v>-244.63</v>
      </c>
      <c r="J213" s="5">
        <v>33.979999999999997</v>
      </c>
      <c r="K213" s="5">
        <v>19.989999999999998</v>
      </c>
      <c r="L213" s="1" t="s">
        <v>5</v>
      </c>
      <c r="M213" s="1" t="s">
        <v>38</v>
      </c>
      <c r="N213" s="1" t="s">
        <v>13</v>
      </c>
      <c r="O213" s="1" t="s">
        <v>3</v>
      </c>
      <c r="P213" s="1" t="s">
        <v>7</v>
      </c>
      <c r="Q213" s="6">
        <f>C213+2</f>
        <v>40231</v>
      </c>
    </row>
    <row r="214" spans="1:17" ht="15.75" x14ac:dyDescent="0.3">
      <c r="A214" s="1">
        <v>8201</v>
      </c>
      <c r="B214" s="2">
        <v>58656</v>
      </c>
      <c r="C214" s="3">
        <f>DATE(2012,12,31)-758</f>
        <v>40516</v>
      </c>
      <c r="D214" s="1" t="s">
        <v>17</v>
      </c>
      <c r="E214" s="2">
        <v>5</v>
      </c>
      <c r="F214" s="2">
        <v>39.44</v>
      </c>
      <c r="G214" s="2">
        <v>0</v>
      </c>
      <c r="H214" s="2">
        <v>0.35</v>
      </c>
      <c r="I214" s="4">
        <v>-0.94299999999999995</v>
      </c>
      <c r="J214" s="5">
        <v>6.75</v>
      </c>
      <c r="K214" s="5">
        <v>2.99</v>
      </c>
      <c r="L214" s="1" t="s">
        <v>5</v>
      </c>
      <c r="M214" s="1" t="s">
        <v>38</v>
      </c>
      <c r="N214" s="1" t="s">
        <v>13</v>
      </c>
      <c r="O214" s="1" t="s">
        <v>6</v>
      </c>
      <c r="P214" s="1" t="s">
        <v>7</v>
      </c>
      <c r="Q214" s="6">
        <f>C214+2</f>
        <v>40518</v>
      </c>
    </row>
    <row r="215" spans="1:17" ht="15.75" x14ac:dyDescent="0.3">
      <c r="A215" s="1">
        <v>8202</v>
      </c>
      <c r="B215" s="2">
        <v>58656</v>
      </c>
      <c r="C215" s="3">
        <f>DATE(2012,12,31)-758</f>
        <v>40516</v>
      </c>
      <c r="D215" s="1" t="s">
        <v>17</v>
      </c>
      <c r="E215" s="2">
        <v>3</v>
      </c>
      <c r="F215" s="2">
        <v>11.01</v>
      </c>
      <c r="G215" s="2">
        <v>0.09</v>
      </c>
      <c r="H215" s="2">
        <v>0.43</v>
      </c>
      <c r="I215" s="4">
        <v>-1.42</v>
      </c>
      <c r="J215" s="5">
        <v>2.08</v>
      </c>
      <c r="K215" s="5">
        <v>5.33</v>
      </c>
      <c r="L215" s="1" t="s">
        <v>5</v>
      </c>
      <c r="M215" s="1" t="s">
        <v>38</v>
      </c>
      <c r="N215" s="1" t="s">
        <v>13</v>
      </c>
      <c r="O215" s="1" t="s">
        <v>3</v>
      </c>
      <c r="P215" s="1" t="s">
        <v>7</v>
      </c>
      <c r="Q215" s="6">
        <f>C215+2</f>
        <v>40518</v>
      </c>
    </row>
    <row r="216" spans="1:17" ht="15.75" x14ac:dyDescent="0.3">
      <c r="A216" s="1">
        <v>8226</v>
      </c>
      <c r="B216" s="2">
        <v>58789</v>
      </c>
      <c r="C216" s="3">
        <f>DATE(2012,12,31)-879</f>
        <v>40395</v>
      </c>
      <c r="D216" s="1" t="s">
        <v>16</v>
      </c>
      <c r="E216" s="2">
        <v>26</v>
      </c>
      <c r="F216" s="2">
        <v>195.51</v>
      </c>
      <c r="G216" s="2">
        <v>0.03</v>
      </c>
      <c r="H216" s="2">
        <v>0.38</v>
      </c>
      <c r="I216" s="4">
        <v>-105.71950000000001</v>
      </c>
      <c r="J216" s="5">
        <v>7.3</v>
      </c>
      <c r="K216" s="5">
        <v>7.72</v>
      </c>
      <c r="L216" s="1" t="s">
        <v>5</v>
      </c>
      <c r="M216" s="1" t="s">
        <v>38</v>
      </c>
      <c r="N216" s="1" t="s">
        <v>13</v>
      </c>
      <c r="O216" s="1" t="s">
        <v>6</v>
      </c>
      <c r="P216" s="1" t="s">
        <v>7</v>
      </c>
      <c r="Q216" s="6">
        <f>C216+4</f>
        <v>40399</v>
      </c>
    </row>
    <row r="217" spans="1:17" ht="15.75" x14ac:dyDescent="0.3">
      <c r="A217" s="1">
        <v>8227</v>
      </c>
      <c r="B217" s="2">
        <v>58789</v>
      </c>
      <c r="C217" s="3">
        <f>DATE(2012,12,31)-879</f>
        <v>40395</v>
      </c>
      <c r="D217" s="1" t="s">
        <v>16</v>
      </c>
      <c r="E217" s="2">
        <v>38</v>
      </c>
      <c r="F217" s="2">
        <v>377.13</v>
      </c>
      <c r="G217" s="2">
        <v>0.02</v>
      </c>
      <c r="H217" s="2">
        <v>0.48</v>
      </c>
      <c r="I217" s="4">
        <v>-10.29</v>
      </c>
      <c r="J217" s="5">
        <v>9.77</v>
      </c>
      <c r="K217" s="5">
        <v>6.02</v>
      </c>
      <c r="L217" s="1" t="s">
        <v>5</v>
      </c>
      <c r="M217" s="1" t="s">
        <v>38</v>
      </c>
      <c r="N217" s="1" t="s">
        <v>13</v>
      </c>
      <c r="O217" s="1" t="s">
        <v>3</v>
      </c>
      <c r="P217" s="1" t="s">
        <v>18</v>
      </c>
      <c r="Q217" s="6">
        <f>C217+5</f>
        <v>40400</v>
      </c>
    </row>
    <row r="218" spans="1:17" ht="15.75" x14ac:dyDescent="0.3">
      <c r="A218" s="1">
        <v>8280</v>
      </c>
      <c r="B218" s="2">
        <v>59200</v>
      </c>
      <c r="C218" s="3">
        <f>DATE(2012,12,31)-388</f>
        <v>40886</v>
      </c>
      <c r="D218" s="1" t="s">
        <v>12</v>
      </c>
      <c r="E218" s="2">
        <v>4</v>
      </c>
      <c r="F218" s="2">
        <v>170.45</v>
      </c>
      <c r="G218" s="2">
        <v>0.09</v>
      </c>
      <c r="H218" s="2">
        <v>0.56000000000000005</v>
      </c>
      <c r="I218" s="4">
        <v>-30.27</v>
      </c>
      <c r="J218" s="5">
        <v>42.98</v>
      </c>
      <c r="K218" s="5">
        <v>4.62</v>
      </c>
      <c r="L218" s="1" t="s">
        <v>5</v>
      </c>
      <c r="M218" s="1" t="s">
        <v>38</v>
      </c>
      <c r="N218" s="1" t="s">
        <v>15</v>
      </c>
      <c r="O218" s="1" t="s">
        <v>6</v>
      </c>
      <c r="P218" s="1" t="s">
        <v>7</v>
      </c>
      <c r="Q218" s="6">
        <f>C218+0</f>
        <v>40886</v>
      </c>
    </row>
    <row r="219" spans="1:17" ht="15.75" x14ac:dyDescent="0.3">
      <c r="A219" s="1">
        <v>8281</v>
      </c>
      <c r="B219" s="2">
        <v>59200</v>
      </c>
      <c r="C219" s="3">
        <f>DATE(2012,12,31)-388</f>
        <v>40886</v>
      </c>
      <c r="D219" s="1" t="s">
        <v>12</v>
      </c>
      <c r="E219" s="2">
        <v>28</v>
      </c>
      <c r="F219" s="2">
        <v>350.42</v>
      </c>
      <c r="G219" s="2">
        <v>0.03</v>
      </c>
      <c r="H219" s="2">
        <v>0.6</v>
      </c>
      <c r="I219" s="4">
        <v>-37.299999999999997</v>
      </c>
      <c r="J219" s="5">
        <v>11.97</v>
      </c>
      <c r="K219" s="5">
        <v>5.81</v>
      </c>
      <c r="L219" s="1" t="s">
        <v>5</v>
      </c>
      <c r="M219" s="1" t="s">
        <v>38</v>
      </c>
      <c r="N219" s="1" t="s">
        <v>15</v>
      </c>
      <c r="O219" s="1" t="s">
        <v>6</v>
      </c>
      <c r="P219" s="1" t="s">
        <v>20</v>
      </c>
      <c r="Q219" s="6">
        <f>C219+2</f>
        <v>40888</v>
      </c>
    </row>
    <row r="220" spans="1:17" ht="15.75" x14ac:dyDescent="0.3">
      <c r="A220" s="1">
        <v>8321</v>
      </c>
      <c r="B220" s="2">
        <v>59459</v>
      </c>
      <c r="C220" s="3">
        <f>DATE(2012,12,31)-1426</f>
        <v>39848</v>
      </c>
      <c r="D220" s="1" t="s">
        <v>12</v>
      </c>
      <c r="E220" s="2">
        <v>40</v>
      </c>
      <c r="F220" s="2">
        <v>69.66</v>
      </c>
      <c r="G220" s="2">
        <v>7.0000000000000007E-2</v>
      </c>
      <c r="H220" s="2">
        <v>0.51</v>
      </c>
      <c r="I220" s="4">
        <v>-51.42</v>
      </c>
      <c r="J220" s="5">
        <v>1.7</v>
      </c>
      <c r="K220" s="5">
        <v>1.99</v>
      </c>
      <c r="L220" s="1" t="s">
        <v>5</v>
      </c>
      <c r="M220" s="1" t="s">
        <v>38</v>
      </c>
      <c r="N220" s="1" t="s">
        <v>13</v>
      </c>
      <c r="O220" s="1" t="s">
        <v>11</v>
      </c>
      <c r="P220" s="1" t="s">
        <v>20</v>
      </c>
      <c r="Q220" s="6">
        <f>C220+1</f>
        <v>39849</v>
      </c>
    </row>
    <row r="221" spans="1:17" ht="15.75" x14ac:dyDescent="0.3">
      <c r="A221" s="1">
        <v>8379</v>
      </c>
      <c r="B221" s="2">
        <v>59878</v>
      </c>
      <c r="C221" s="3">
        <f>DATE(2012,12,31)-217</f>
        <v>41057</v>
      </c>
      <c r="D221" s="1" t="s">
        <v>17</v>
      </c>
      <c r="E221" s="2">
        <v>6</v>
      </c>
      <c r="F221" s="2">
        <v>112.4</v>
      </c>
      <c r="G221" s="2">
        <v>0.1</v>
      </c>
      <c r="H221" s="2">
        <v>0.4</v>
      </c>
      <c r="I221" s="4">
        <v>-46.745099999999994</v>
      </c>
      <c r="J221" s="5">
        <v>17.98</v>
      </c>
      <c r="K221" s="5">
        <v>8.51</v>
      </c>
      <c r="L221" s="1" t="s">
        <v>5</v>
      </c>
      <c r="M221" s="1" t="s">
        <v>38</v>
      </c>
      <c r="N221" s="1" t="s">
        <v>2</v>
      </c>
      <c r="O221" s="1" t="s">
        <v>11</v>
      </c>
      <c r="P221" s="1" t="s">
        <v>18</v>
      </c>
      <c r="Q221" s="6">
        <f>C221+1</f>
        <v>41058</v>
      </c>
    </row>
    <row r="222" spans="1:17" ht="15.75" x14ac:dyDescent="0.3">
      <c r="A222" s="1">
        <v>8380</v>
      </c>
      <c r="B222" s="2">
        <v>59878</v>
      </c>
      <c r="C222" s="3">
        <f>DATE(2012,12,31)-217</f>
        <v>41057</v>
      </c>
      <c r="D222" s="1" t="s">
        <v>17</v>
      </c>
      <c r="E222" s="2">
        <v>23</v>
      </c>
      <c r="F222" s="2">
        <v>249.64</v>
      </c>
      <c r="G222" s="2">
        <v>0.08</v>
      </c>
      <c r="H222" s="2">
        <v>0.59</v>
      </c>
      <c r="I222" s="4">
        <v>-91.65</v>
      </c>
      <c r="J222" s="5">
        <v>10.9</v>
      </c>
      <c r="K222" s="5">
        <v>7.46</v>
      </c>
      <c r="L222" s="1" t="s">
        <v>5</v>
      </c>
      <c r="M222" s="1" t="s">
        <v>38</v>
      </c>
      <c r="N222" s="1" t="s">
        <v>2</v>
      </c>
      <c r="O222" s="1" t="s">
        <v>6</v>
      </c>
      <c r="P222" s="1" t="s">
        <v>7</v>
      </c>
      <c r="Q222" s="6">
        <f>C222+1</f>
        <v>41058</v>
      </c>
    </row>
    <row r="223" spans="1:17" ht="15.75" x14ac:dyDescent="0.3">
      <c r="A223" s="1">
        <v>8386</v>
      </c>
      <c r="B223" s="2">
        <v>59909</v>
      </c>
      <c r="C223" s="3">
        <f>DATE(2012,12,31)-148</f>
        <v>41126</v>
      </c>
      <c r="D223" s="1" t="s">
        <v>16</v>
      </c>
      <c r="E223" s="2">
        <v>11</v>
      </c>
      <c r="F223" s="2">
        <v>1255.48</v>
      </c>
      <c r="G223" s="2">
        <v>0.06</v>
      </c>
      <c r="H223" s="2">
        <v>0.4</v>
      </c>
      <c r="I223" s="4">
        <v>-292.6506</v>
      </c>
      <c r="J223" s="5">
        <v>115.99</v>
      </c>
      <c r="K223" s="5">
        <v>56.14</v>
      </c>
      <c r="L223" s="1" t="s">
        <v>1</v>
      </c>
      <c r="M223" s="1" t="s">
        <v>38</v>
      </c>
      <c r="N223" s="1" t="s">
        <v>13</v>
      </c>
      <c r="O223" s="1" t="s">
        <v>11</v>
      </c>
      <c r="P223" s="1" t="s">
        <v>4</v>
      </c>
      <c r="Q223" s="6">
        <f>C223+2</f>
        <v>41128</v>
      </c>
    </row>
    <row r="224" spans="1:17" ht="15.75" x14ac:dyDescent="0.3">
      <c r="A224" s="1">
        <v>8387</v>
      </c>
      <c r="B224" s="2">
        <v>59909</v>
      </c>
      <c r="C224" s="3">
        <f>DATE(2012,12,31)-148</f>
        <v>41126</v>
      </c>
      <c r="D224" s="1" t="s">
        <v>16</v>
      </c>
      <c r="E224" s="2">
        <v>46</v>
      </c>
      <c r="F224" s="2">
        <v>411.56</v>
      </c>
      <c r="G224" s="2">
        <v>0.09</v>
      </c>
      <c r="H224" s="2">
        <v>0.56999999999999995</v>
      </c>
      <c r="I224" s="4">
        <v>-188.02</v>
      </c>
      <c r="J224" s="5">
        <v>9.3800000000000008</v>
      </c>
      <c r="K224" s="5">
        <v>7.28</v>
      </c>
      <c r="L224" s="1" t="s">
        <v>9</v>
      </c>
      <c r="M224" s="1" t="s">
        <v>38</v>
      </c>
      <c r="N224" s="1" t="s">
        <v>13</v>
      </c>
      <c r="O224" s="1" t="s">
        <v>6</v>
      </c>
      <c r="P224" s="1" t="s">
        <v>7</v>
      </c>
      <c r="Q224" s="6">
        <f>C224+7</f>
        <v>41133</v>
      </c>
    </row>
    <row r="225" spans="1:17" ht="15.75" x14ac:dyDescent="0.3">
      <c r="A225" s="1">
        <v>184</v>
      </c>
      <c r="B225" s="2">
        <v>1218</v>
      </c>
      <c r="C225" s="3">
        <f>DATE(2012,12,31)-1291</f>
        <v>39983</v>
      </c>
      <c r="D225" s="1" t="s">
        <v>8</v>
      </c>
      <c r="E225" s="2">
        <v>3</v>
      </c>
      <c r="F225" s="2">
        <v>46.46</v>
      </c>
      <c r="G225" s="2">
        <v>0.1</v>
      </c>
      <c r="H225" s="2">
        <v>0.52</v>
      </c>
      <c r="I225" s="4">
        <v>-25.13</v>
      </c>
      <c r="J225" s="5">
        <v>14.42</v>
      </c>
      <c r="K225" s="5">
        <v>6.75</v>
      </c>
      <c r="L225" s="1" t="s">
        <v>5</v>
      </c>
      <c r="M225" s="1" t="s">
        <v>38</v>
      </c>
      <c r="N225" s="1" t="s">
        <v>2</v>
      </c>
      <c r="O225" s="1" t="s">
        <v>6</v>
      </c>
      <c r="P225" s="1" t="s">
        <v>18</v>
      </c>
      <c r="Q225" s="6">
        <f>C225+3</f>
        <v>39986</v>
      </c>
    </row>
    <row r="226" spans="1:17" ht="15.75" x14ac:dyDescent="0.3">
      <c r="A226" s="1">
        <v>237</v>
      </c>
      <c r="B226" s="2">
        <v>1600</v>
      </c>
      <c r="C226" s="3">
        <f>DATE(2012,12,31)-1035</f>
        <v>40239</v>
      </c>
      <c r="D226" s="1" t="s">
        <v>12</v>
      </c>
      <c r="E226" s="2">
        <v>32</v>
      </c>
      <c r="F226" s="2">
        <v>303.58999999999997</v>
      </c>
      <c r="G226" s="2">
        <v>0.1</v>
      </c>
      <c r="H226" s="2">
        <v>0.55000000000000004</v>
      </c>
      <c r="I226" s="4">
        <v>-45.99</v>
      </c>
      <c r="J226" s="5">
        <v>9.65</v>
      </c>
      <c r="K226" s="5">
        <v>6.22</v>
      </c>
      <c r="L226" s="1" t="s">
        <v>5</v>
      </c>
      <c r="M226" s="1" t="s">
        <v>38</v>
      </c>
      <c r="N226" s="1" t="s">
        <v>2</v>
      </c>
      <c r="O226" s="1" t="s">
        <v>3</v>
      </c>
      <c r="P226" s="1" t="s">
        <v>7</v>
      </c>
      <c r="Q226" s="6">
        <f>C226+2</f>
        <v>40241</v>
      </c>
    </row>
    <row r="227" spans="1:17" ht="15.75" x14ac:dyDescent="0.3">
      <c r="A227" s="1">
        <v>238</v>
      </c>
      <c r="B227" s="2">
        <v>1600</v>
      </c>
      <c r="C227" s="3">
        <f>DATE(2012,12,31)-1035</f>
        <v>40239</v>
      </c>
      <c r="D227" s="1" t="s">
        <v>12</v>
      </c>
      <c r="E227" s="2">
        <v>36</v>
      </c>
      <c r="F227" s="2">
        <v>191.6</v>
      </c>
      <c r="G227" s="2">
        <v>0.04</v>
      </c>
      <c r="H227" s="2">
        <v>0.36</v>
      </c>
      <c r="I227" s="4">
        <v>-150.74</v>
      </c>
      <c r="J227" s="5">
        <v>4.9800000000000004</v>
      </c>
      <c r="K227" s="5">
        <v>7.44</v>
      </c>
      <c r="L227" s="1" t="s">
        <v>5</v>
      </c>
      <c r="M227" s="1" t="s">
        <v>38</v>
      </c>
      <c r="N227" s="1" t="s">
        <v>2</v>
      </c>
      <c r="O227" s="1" t="s">
        <v>6</v>
      </c>
      <c r="P227" s="1" t="s">
        <v>7</v>
      </c>
      <c r="Q227" s="6">
        <f>C227+1</f>
        <v>40240</v>
      </c>
    </row>
    <row r="228" spans="1:17" ht="15.75" x14ac:dyDescent="0.3">
      <c r="A228" s="1">
        <v>347</v>
      </c>
      <c r="B228" s="2">
        <v>2373</v>
      </c>
      <c r="C228" s="3">
        <f>DATE(2012,12,31)-1391</f>
        <v>39883</v>
      </c>
      <c r="D228" s="1" t="s">
        <v>8</v>
      </c>
      <c r="E228" s="2">
        <v>36</v>
      </c>
      <c r="F228" s="2">
        <v>317.58999999999997</v>
      </c>
      <c r="G228" s="2">
        <v>0.06</v>
      </c>
      <c r="H228" s="2">
        <v>0.38</v>
      </c>
      <c r="I228" s="4">
        <v>-46.115000000000002</v>
      </c>
      <c r="J228" s="5">
        <v>8.6</v>
      </c>
      <c r="K228" s="5">
        <v>6.19</v>
      </c>
      <c r="L228" s="1" t="s">
        <v>5</v>
      </c>
      <c r="M228" s="1" t="s">
        <v>38</v>
      </c>
      <c r="N228" s="1" t="s">
        <v>2</v>
      </c>
      <c r="O228" s="1" t="s">
        <v>6</v>
      </c>
      <c r="P228" s="1" t="s">
        <v>7</v>
      </c>
      <c r="Q228" s="6">
        <f>C228+1</f>
        <v>39884</v>
      </c>
    </row>
    <row r="229" spans="1:17" ht="15.75" x14ac:dyDescent="0.3">
      <c r="A229" s="1">
        <v>377</v>
      </c>
      <c r="B229" s="2">
        <v>2626</v>
      </c>
      <c r="C229" s="3">
        <f>DATE(2012,12,31)-481</f>
        <v>40793</v>
      </c>
      <c r="D229" s="1" t="s">
        <v>8</v>
      </c>
      <c r="E229" s="2">
        <v>16</v>
      </c>
      <c r="F229" s="2">
        <v>48.37</v>
      </c>
      <c r="G229" s="2">
        <v>0.02</v>
      </c>
      <c r="H229" s="2">
        <v>0.36</v>
      </c>
      <c r="I229" s="4">
        <v>18.02</v>
      </c>
      <c r="J229" s="5">
        <v>2.88</v>
      </c>
      <c r="K229" s="5">
        <v>0.5</v>
      </c>
      <c r="L229" s="1" t="s">
        <v>5</v>
      </c>
      <c r="M229" s="1" t="s">
        <v>38</v>
      </c>
      <c r="N229" s="1" t="s">
        <v>13</v>
      </c>
      <c r="O229" s="1" t="s">
        <v>6</v>
      </c>
      <c r="P229" s="1" t="s">
        <v>7</v>
      </c>
      <c r="Q229" s="6">
        <f>C229+2</f>
        <v>40795</v>
      </c>
    </row>
    <row r="230" spans="1:17" ht="15.75" x14ac:dyDescent="0.3">
      <c r="A230" s="1">
        <v>458</v>
      </c>
      <c r="B230" s="2">
        <v>3109</v>
      </c>
      <c r="C230" s="3">
        <f>DATE(2012,12,31)-892</f>
        <v>40382</v>
      </c>
      <c r="D230" s="1" t="s">
        <v>16</v>
      </c>
      <c r="E230" s="2">
        <v>47</v>
      </c>
      <c r="F230" s="2">
        <v>1005.74</v>
      </c>
      <c r="G230" s="2">
        <v>0.1</v>
      </c>
      <c r="H230" s="2">
        <v>0.41</v>
      </c>
      <c r="I230" s="4">
        <v>199.3</v>
      </c>
      <c r="J230" s="5">
        <v>22.23</v>
      </c>
      <c r="K230" s="5">
        <v>8.99</v>
      </c>
      <c r="L230" s="1" t="s">
        <v>5</v>
      </c>
      <c r="M230" s="1" t="s">
        <v>38</v>
      </c>
      <c r="N230" s="1" t="s">
        <v>2</v>
      </c>
      <c r="O230" s="1" t="s">
        <v>3</v>
      </c>
      <c r="P230" s="1" t="s">
        <v>20</v>
      </c>
      <c r="Q230" s="6">
        <f>C230+7</f>
        <v>40389</v>
      </c>
    </row>
    <row r="231" spans="1:17" ht="15.75" x14ac:dyDescent="0.3">
      <c r="A231" s="1">
        <v>459</v>
      </c>
      <c r="B231" s="2">
        <v>3109</v>
      </c>
      <c r="C231" s="3">
        <f>DATE(2012,12,31)-892</f>
        <v>40382</v>
      </c>
      <c r="D231" s="1" t="s">
        <v>16</v>
      </c>
      <c r="E231" s="2">
        <v>37</v>
      </c>
      <c r="F231" s="2">
        <v>6477.7394999999997</v>
      </c>
      <c r="G231" s="2">
        <v>0.01</v>
      </c>
      <c r="H231" s="2">
        <v>0.57999999999999996</v>
      </c>
      <c r="I231" s="4">
        <v>1653.9659999999999</v>
      </c>
      <c r="J231" s="5">
        <v>205.99</v>
      </c>
      <c r="K231" s="5">
        <v>8.99</v>
      </c>
      <c r="L231" s="1" t="s">
        <v>5</v>
      </c>
      <c r="M231" s="1" t="s">
        <v>38</v>
      </c>
      <c r="N231" s="1" t="s">
        <v>2</v>
      </c>
      <c r="O231" s="1" t="s">
        <v>11</v>
      </c>
      <c r="P231" s="1" t="s">
        <v>7</v>
      </c>
      <c r="Q231" s="6">
        <f>C231+7</f>
        <v>40389</v>
      </c>
    </row>
    <row r="232" spans="1:17" ht="15.75" x14ac:dyDescent="0.3">
      <c r="A232" s="1">
        <v>555</v>
      </c>
      <c r="B232" s="2">
        <v>3777</v>
      </c>
      <c r="C232" s="3">
        <f>DATE(2012,12,31)-1364</f>
        <v>39910</v>
      </c>
      <c r="D232" s="1" t="s">
        <v>12</v>
      </c>
      <c r="E232" s="2">
        <v>14</v>
      </c>
      <c r="F232" s="2">
        <v>244.85</v>
      </c>
      <c r="G232" s="2">
        <v>0.06</v>
      </c>
      <c r="H232" s="2">
        <v>0.47</v>
      </c>
      <c r="I232" s="4">
        <v>38.06</v>
      </c>
      <c r="J232" s="5">
        <v>17.670000000000002</v>
      </c>
      <c r="K232" s="5">
        <v>8.99</v>
      </c>
      <c r="L232" s="1" t="s">
        <v>9</v>
      </c>
      <c r="M232" s="1" t="s">
        <v>38</v>
      </c>
      <c r="N232" s="1" t="s">
        <v>13</v>
      </c>
      <c r="O232" s="1" t="s">
        <v>3</v>
      </c>
      <c r="P232" s="1" t="s">
        <v>20</v>
      </c>
      <c r="Q232" s="6">
        <f>C232+1</f>
        <v>39911</v>
      </c>
    </row>
    <row r="233" spans="1:17" ht="15.75" x14ac:dyDescent="0.3">
      <c r="A233" s="1">
        <v>583</v>
      </c>
      <c r="B233" s="2">
        <v>3973</v>
      </c>
      <c r="C233" s="3">
        <f>DATE(2012,12,31)-283</f>
        <v>40991</v>
      </c>
      <c r="D233" s="1" t="s">
        <v>8</v>
      </c>
      <c r="E233" s="2">
        <v>21</v>
      </c>
      <c r="F233" s="2">
        <v>316.35000000000002</v>
      </c>
      <c r="G233" s="2">
        <v>0.06</v>
      </c>
      <c r="H233" s="2">
        <v>0.46</v>
      </c>
      <c r="I233" s="4">
        <v>117.91</v>
      </c>
      <c r="J233" s="5">
        <v>15.68</v>
      </c>
      <c r="K233" s="5">
        <v>3.73</v>
      </c>
      <c r="L233" s="1" t="s">
        <v>5</v>
      </c>
      <c r="M233" s="1" t="s">
        <v>38</v>
      </c>
      <c r="N233" s="1" t="s">
        <v>2</v>
      </c>
      <c r="O233" s="1" t="s">
        <v>3</v>
      </c>
      <c r="P233" s="1" t="s">
        <v>20</v>
      </c>
      <c r="Q233" s="6">
        <f>C233+2</f>
        <v>40993</v>
      </c>
    </row>
    <row r="234" spans="1:17" ht="15.75" x14ac:dyDescent="0.3">
      <c r="A234" s="1">
        <v>704</v>
      </c>
      <c r="B234" s="2">
        <v>4932</v>
      </c>
      <c r="C234" s="3">
        <f>DATE(2012,12,31)-875</f>
        <v>40399</v>
      </c>
      <c r="D234" s="1" t="s">
        <v>0</v>
      </c>
      <c r="E234" s="2">
        <v>11</v>
      </c>
      <c r="F234" s="2">
        <v>109.37</v>
      </c>
      <c r="G234" s="2">
        <v>7.0000000000000007E-2</v>
      </c>
      <c r="H234" s="2">
        <v>0.38</v>
      </c>
      <c r="I234" s="4">
        <v>25.96</v>
      </c>
      <c r="J234" s="5">
        <v>10.31</v>
      </c>
      <c r="K234" s="5">
        <v>1.79</v>
      </c>
      <c r="L234" s="1" t="s">
        <v>5</v>
      </c>
      <c r="M234" s="1" t="s">
        <v>38</v>
      </c>
      <c r="N234" s="1" t="s">
        <v>2</v>
      </c>
      <c r="O234" s="1" t="s">
        <v>6</v>
      </c>
      <c r="P234" s="1" t="s">
        <v>14</v>
      </c>
      <c r="Q234" s="6">
        <f>C234+2</f>
        <v>40401</v>
      </c>
    </row>
    <row r="235" spans="1:17" ht="15.75" x14ac:dyDescent="0.3">
      <c r="A235" s="1">
        <v>999</v>
      </c>
      <c r="B235" s="2">
        <v>7239</v>
      </c>
      <c r="C235" s="3">
        <f>DATE(2012,12,31)-551</f>
        <v>40723</v>
      </c>
      <c r="D235" s="1" t="s">
        <v>12</v>
      </c>
      <c r="E235" s="2">
        <v>50</v>
      </c>
      <c r="F235" s="2">
        <v>6206.16</v>
      </c>
      <c r="G235" s="2">
        <v>0.03</v>
      </c>
      <c r="H235" s="2">
        <v>0.59</v>
      </c>
      <c r="I235" s="4">
        <v>1416.27</v>
      </c>
      <c r="J235" s="5">
        <v>120.33</v>
      </c>
      <c r="K235" s="5">
        <v>19.989999999999998</v>
      </c>
      <c r="L235" s="1" t="s">
        <v>5</v>
      </c>
      <c r="M235" s="1" t="s">
        <v>38</v>
      </c>
      <c r="N235" s="1" t="s">
        <v>13</v>
      </c>
      <c r="O235" s="1" t="s">
        <v>6</v>
      </c>
      <c r="P235" s="1" t="s">
        <v>7</v>
      </c>
      <c r="Q235" s="6">
        <f>C235+2</f>
        <v>40725</v>
      </c>
    </row>
    <row r="236" spans="1:17" ht="15.75" x14ac:dyDescent="0.3">
      <c r="A236" s="1">
        <v>1246</v>
      </c>
      <c r="B236" s="2">
        <v>9088</v>
      </c>
      <c r="C236" s="3">
        <f>DATE(2012,12,31)-1288</f>
        <v>39986</v>
      </c>
      <c r="D236" s="1" t="s">
        <v>0</v>
      </c>
      <c r="E236" s="2">
        <v>50</v>
      </c>
      <c r="F236" s="2">
        <v>15383.7</v>
      </c>
      <c r="G236" s="2">
        <v>0.03</v>
      </c>
      <c r="H236" s="2">
        <v>0.4</v>
      </c>
      <c r="I236" s="4">
        <v>6523.2569999999996</v>
      </c>
      <c r="J236" s="5">
        <v>304.99</v>
      </c>
      <c r="K236" s="5">
        <v>19.989999999999998</v>
      </c>
      <c r="L236" s="1" t="s">
        <v>5</v>
      </c>
      <c r="M236" s="1" t="s">
        <v>38</v>
      </c>
      <c r="N236" s="1" t="s">
        <v>15</v>
      </c>
      <c r="O236" s="1" t="s">
        <v>6</v>
      </c>
      <c r="P236" s="1" t="s">
        <v>7</v>
      </c>
      <c r="Q236" s="6">
        <f>C236+2</f>
        <v>39988</v>
      </c>
    </row>
    <row r="237" spans="1:17" ht="15.75" x14ac:dyDescent="0.3">
      <c r="A237" s="1">
        <v>1247</v>
      </c>
      <c r="B237" s="2">
        <v>9088</v>
      </c>
      <c r="C237" s="3">
        <f>DATE(2012,12,31)-1288</f>
        <v>39986</v>
      </c>
      <c r="D237" s="1" t="s">
        <v>0</v>
      </c>
      <c r="E237" s="2">
        <v>31</v>
      </c>
      <c r="F237" s="2">
        <v>1637.4570000000001</v>
      </c>
      <c r="G237" s="2">
        <v>0.09</v>
      </c>
      <c r="H237" s="2">
        <v>0.57999999999999996</v>
      </c>
      <c r="I237" s="4">
        <v>118.152</v>
      </c>
      <c r="J237" s="5">
        <v>65.989999999999995</v>
      </c>
      <c r="K237" s="5">
        <v>8.99</v>
      </c>
      <c r="L237" s="1" t="s">
        <v>5</v>
      </c>
      <c r="M237" s="1" t="s">
        <v>38</v>
      </c>
      <c r="N237" s="1" t="s">
        <v>15</v>
      </c>
      <c r="O237" s="1" t="s">
        <v>11</v>
      </c>
      <c r="P237" s="1" t="s">
        <v>7</v>
      </c>
      <c r="Q237" s="6">
        <f>C237+2</f>
        <v>39988</v>
      </c>
    </row>
    <row r="238" spans="1:17" ht="15.75" x14ac:dyDescent="0.3">
      <c r="A238" s="1">
        <v>1584</v>
      </c>
      <c r="B238" s="2">
        <v>11428</v>
      </c>
      <c r="C238" s="3">
        <f>DATE(2012,12,31)-345</f>
        <v>40929</v>
      </c>
      <c r="D238" s="1" t="s">
        <v>12</v>
      </c>
      <c r="E238" s="2">
        <v>16</v>
      </c>
      <c r="F238" s="2">
        <v>1554.53</v>
      </c>
      <c r="G238" s="2">
        <v>0</v>
      </c>
      <c r="H238" s="2">
        <v>0.4</v>
      </c>
      <c r="I238" s="4">
        <v>474.66</v>
      </c>
      <c r="J238" s="5">
        <v>90.48</v>
      </c>
      <c r="K238" s="5">
        <v>19.989999999999998</v>
      </c>
      <c r="L238" s="1" t="s">
        <v>5</v>
      </c>
      <c r="M238" s="1" t="s">
        <v>38</v>
      </c>
      <c r="N238" s="1" t="s">
        <v>13</v>
      </c>
      <c r="O238" s="1" t="s">
        <v>6</v>
      </c>
      <c r="P238" s="1" t="s">
        <v>7</v>
      </c>
      <c r="Q238" s="6">
        <f>C238+0</f>
        <v>40929</v>
      </c>
    </row>
    <row r="239" spans="1:17" ht="15.75" x14ac:dyDescent="0.3">
      <c r="A239" s="1">
        <v>1736</v>
      </c>
      <c r="B239" s="2">
        <v>12452</v>
      </c>
      <c r="C239" s="3">
        <f>DATE(2012,12,31)-755</f>
        <v>40519</v>
      </c>
      <c r="D239" s="1" t="s">
        <v>12</v>
      </c>
      <c r="E239" s="2">
        <v>1</v>
      </c>
      <c r="F239" s="2">
        <v>356.95</v>
      </c>
      <c r="G239" s="2">
        <v>0.08</v>
      </c>
      <c r="H239" s="2">
        <v>0.38</v>
      </c>
      <c r="I239" s="4">
        <v>-228.2405</v>
      </c>
      <c r="J239" s="5">
        <v>387.99</v>
      </c>
      <c r="K239" s="5">
        <v>19.989999999999998</v>
      </c>
      <c r="L239" s="1" t="s">
        <v>5</v>
      </c>
      <c r="M239" s="1" t="s">
        <v>38</v>
      </c>
      <c r="N239" s="1" t="s">
        <v>2</v>
      </c>
      <c r="O239" s="1" t="s">
        <v>6</v>
      </c>
      <c r="P239" s="1" t="s">
        <v>7</v>
      </c>
      <c r="Q239" s="6">
        <f>C239+1</f>
        <v>40520</v>
      </c>
    </row>
    <row r="240" spans="1:17" ht="15.75" x14ac:dyDescent="0.3">
      <c r="A240" s="1">
        <v>1737</v>
      </c>
      <c r="B240" s="2">
        <v>12452</v>
      </c>
      <c r="C240" s="3">
        <f>DATE(2012,12,31)-755</f>
        <v>40519</v>
      </c>
      <c r="D240" s="1" t="s">
        <v>12</v>
      </c>
      <c r="E240" s="2">
        <v>17</v>
      </c>
      <c r="F240" s="2">
        <v>112.86</v>
      </c>
      <c r="G240" s="2">
        <v>0.04</v>
      </c>
      <c r="H240" s="2">
        <v>0.66</v>
      </c>
      <c r="I240" s="4">
        <v>-56.78</v>
      </c>
      <c r="J240" s="5">
        <v>6.6</v>
      </c>
      <c r="K240" s="5">
        <v>4.07</v>
      </c>
      <c r="L240" s="1" t="s">
        <v>5</v>
      </c>
      <c r="M240" s="1" t="s">
        <v>38</v>
      </c>
      <c r="N240" s="1" t="s">
        <v>2</v>
      </c>
      <c r="O240" s="1" t="s">
        <v>11</v>
      </c>
      <c r="P240" s="1" t="s">
        <v>20</v>
      </c>
      <c r="Q240" s="6">
        <f>C240+2</f>
        <v>40521</v>
      </c>
    </row>
    <row r="241" spans="1:17" ht="15.75" x14ac:dyDescent="0.3">
      <c r="A241" s="1">
        <v>1738</v>
      </c>
      <c r="B241" s="2">
        <v>12452</v>
      </c>
      <c r="C241" s="3">
        <f>DATE(2012,12,31)-755</f>
        <v>40519</v>
      </c>
      <c r="D241" s="1" t="s">
        <v>12</v>
      </c>
      <c r="E241" s="2">
        <v>38</v>
      </c>
      <c r="F241" s="2">
        <v>2063.42</v>
      </c>
      <c r="G241" s="2">
        <v>0.03</v>
      </c>
      <c r="H241" s="2">
        <v>0.36</v>
      </c>
      <c r="I241" s="4">
        <v>989.95</v>
      </c>
      <c r="J241" s="5">
        <v>55.98</v>
      </c>
      <c r="K241" s="5">
        <v>5.15</v>
      </c>
      <c r="L241" s="1" t="s">
        <v>5</v>
      </c>
      <c r="M241" s="1" t="s">
        <v>38</v>
      </c>
      <c r="N241" s="1" t="s">
        <v>2</v>
      </c>
      <c r="O241" s="1" t="s">
        <v>6</v>
      </c>
      <c r="P241" s="1" t="s">
        <v>7</v>
      </c>
      <c r="Q241" s="6">
        <f>C241+2</f>
        <v>40521</v>
      </c>
    </row>
    <row r="242" spans="1:17" ht="15.75" x14ac:dyDescent="0.3">
      <c r="A242" s="1">
        <v>1853</v>
      </c>
      <c r="B242" s="2">
        <v>13345</v>
      </c>
      <c r="C242" s="3">
        <f>DATE(2012,12,31)-120</f>
        <v>41154</v>
      </c>
      <c r="D242" s="1" t="s">
        <v>8</v>
      </c>
      <c r="E242" s="2">
        <v>24</v>
      </c>
      <c r="F242" s="2">
        <v>116.82</v>
      </c>
      <c r="G242" s="2">
        <v>0.02</v>
      </c>
      <c r="H242" s="2">
        <v>0.72</v>
      </c>
      <c r="I242" s="4">
        <v>-42.05</v>
      </c>
      <c r="J242" s="5">
        <v>4.7699999999999996</v>
      </c>
      <c r="K242" s="5">
        <v>2.39</v>
      </c>
      <c r="L242" s="1" t="s">
        <v>5</v>
      </c>
      <c r="M242" s="1" t="s">
        <v>38</v>
      </c>
      <c r="N242" s="1" t="s">
        <v>2</v>
      </c>
      <c r="O242" s="1" t="s">
        <v>11</v>
      </c>
      <c r="P242" s="1" t="s">
        <v>20</v>
      </c>
      <c r="Q242" s="6">
        <f>C242+1</f>
        <v>41155</v>
      </c>
    </row>
    <row r="243" spans="1:17" ht="15.75" x14ac:dyDescent="0.3">
      <c r="A243" s="1">
        <v>1854</v>
      </c>
      <c r="B243" s="2">
        <v>13345</v>
      </c>
      <c r="C243" s="3">
        <f>DATE(2012,12,31)-120</f>
        <v>41154</v>
      </c>
      <c r="D243" s="1" t="s">
        <v>8</v>
      </c>
      <c r="E243" s="2">
        <v>45</v>
      </c>
      <c r="F243" s="2">
        <v>483.64</v>
      </c>
      <c r="G243" s="2">
        <v>0.1</v>
      </c>
      <c r="H243" s="2">
        <v>0.56999999999999995</v>
      </c>
      <c r="I243" s="4">
        <v>28.39</v>
      </c>
      <c r="J243" s="5">
        <v>10.98</v>
      </c>
      <c r="K243" s="5">
        <v>3.37</v>
      </c>
      <c r="L243" s="1" t="s">
        <v>5</v>
      </c>
      <c r="M243" s="1" t="s">
        <v>38</v>
      </c>
      <c r="N243" s="1" t="s">
        <v>2</v>
      </c>
      <c r="O243" s="1" t="s">
        <v>6</v>
      </c>
      <c r="P243" s="1" t="s">
        <v>20</v>
      </c>
      <c r="Q243" s="6">
        <f>C243+0</f>
        <v>41154</v>
      </c>
    </row>
    <row r="244" spans="1:17" ht="15.75" x14ac:dyDescent="0.3">
      <c r="A244" s="1">
        <v>1864</v>
      </c>
      <c r="B244" s="2">
        <v>13410</v>
      </c>
      <c r="C244" s="3">
        <f>DATE(2012,12,31)-939</f>
        <v>40335</v>
      </c>
      <c r="D244" s="1" t="s">
        <v>8</v>
      </c>
      <c r="E244" s="2">
        <v>4</v>
      </c>
      <c r="F244" s="2">
        <v>33.64</v>
      </c>
      <c r="G244" s="2">
        <v>7.0000000000000007E-2</v>
      </c>
      <c r="H244" s="2">
        <v>0.77</v>
      </c>
      <c r="I244" s="4">
        <v>-35.17</v>
      </c>
      <c r="J244" s="5">
        <v>8.1199999999999992</v>
      </c>
      <c r="K244" s="5">
        <v>2.83</v>
      </c>
      <c r="L244" s="1" t="s">
        <v>5</v>
      </c>
      <c r="M244" s="1" t="s">
        <v>38</v>
      </c>
      <c r="N244" s="1" t="s">
        <v>2</v>
      </c>
      <c r="O244" s="1" t="s">
        <v>11</v>
      </c>
      <c r="P244" s="1" t="s">
        <v>20</v>
      </c>
      <c r="Q244" s="6">
        <f>C244+2</f>
        <v>40337</v>
      </c>
    </row>
    <row r="245" spans="1:17" ht="15.75" x14ac:dyDescent="0.3">
      <c r="A245" s="1">
        <v>1865</v>
      </c>
      <c r="B245" s="2">
        <v>13410</v>
      </c>
      <c r="C245" s="3">
        <f>DATE(2012,12,31)-939</f>
        <v>40335</v>
      </c>
      <c r="D245" s="1" t="s">
        <v>8</v>
      </c>
      <c r="E245" s="2">
        <v>29</v>
      </c>
      <c r="F245" s="2">
        <v>701.94</v>
      </c>
      <c r="G245" s="2">
        <v>0.01</v>
      </c>
      <c r="H245" s="2">
        <v>0.38</v>
      </c>
      <c r="I245" s="4">
        <v>158.91</v>
      </c>
      <c r="J245" s="5">
        <v>23.99</v>
      </c>
      <c r="K245" s="5">
        <v>6.3</v>
      </c>
      <c r="L245" s="1" t="s">
        <v>5</v>
      </c>
      <c r="M245" s="1" t="s">
        <v>38</v>
      </c>
      <c r="N245" s="1" t="s">
        <v>2</v>
      </c>
      <c r="O245" s="1" t="s">
        <v>11</v>
      </c>
      <c r="P245" s="1" t="s">
        <v>18</v>
      </c>
      <c r="Q245" s="6">
        <f>C245+1</f>
        <v>40336</v>
      </c>
    </row>
    <row r="246" spans="1:17" ht="15.75" x14ac:dyDescent="0.3">
      <c r="A246" s="1">
        <v>2193</v>
      </c>
      <c r="B246" s="2">
        <v>15808</v>
      </c>
      <c r="C246" s="3">
        <f>DATE(2012,12,31)-748</f>
        <v>40526</v>
      </c>
      <c r="D246" s="1" t="s">
        <v>0</v>
      </c>
      <c r="E246" s="2">
        <v>33</v>
      </c>
      <c r="F246" s="2">
        <v>126.88</v>
      </c>
      <c r="G246" s="2">
        <v>0.05</v>
      </c>
      <c r="H246" s="2">
        <v>0.44</v>
      </c>
      <c r="I246" s="4">
        <v>12.63</v>
      </c>
      <c r="J246" s="5">
        <v>3.7</v>
      </c>
      <c r="K246" s="5">
        <v>1.61</v>
      </c>
      <c r="L246" s="1" t="s">
        <v>5</v>
      </c>
      <c r="M246" s="1" t="s">
        <v>38</v>
      </c>
      <c r="N246" s="1" t="s">
        <v>2</v>
      </c>
      <c r="O246" s="1" t="s">
        <v>3</v>
      </c>
      <c r="P246" s="1" t="s">
        <v>14</v>
      </c>
      <c r="Q246" s="6">
        <f>C246+0</f>
        <v>40526</v>
      </c>
    </row>
    <row r="247" spans="1:17" ht="15.75" x14ac:dyDescent="0.3">
      <c r="A247" s="1">
        <v>2194</v>
      </c>
      <c r="B247" s="2">
        <v>15808</v>
      </c>
      <c r="C247" s="3">
        <f>DATE(2012,12,31)-748</f>
        <v>40526</v>
      </c>
      <c r="D247" s="1" t="s">
        <v>0</v>
      </c>
      <c r="E247" s="2">
        <v>42</v>
      </c>
      <c r="F247" s="2">
        <v>906.64</v>
      </c>
      <c r="G247" s="2">
        <v>7.0000000000000007E-2</v>
      </c>
      <c r="H247" s="2">
        <v>0.38</v>
      </c>
      <c r="I247" s="4">
        <v>-148.92500000000001</v>
      </c>
      <c r="J247" s="5">
        <v>22.38</v>
      </c>
      <c r="K247" s="5">
        <v>15.1</v>
      </c>
      <c r="L247" s="1" t="s">
        <v>9</v>
      </c>
      <c r="M247" s="1" t="s">
        <v>38</v>
      </c>
      <c r="N247" s="1" t="s">
        <v>2</v>
      </c>
      <c r="O247" s="1" t="s">
        <v>6</v>
      </c>
      <c r="P247" s="1" t="s">
        <v>7</v>
      </c>
      <c r="Q247" s="6">
        <f>C247+0</f>
        <v>40526</v>
      </c>
    </row>
    <row r="248" spans="1:17" ht="15.75" x14ac:dyDescent="0.3">
      <c r="A248" s="1">
        <v>2195</v>
      </c>
      <c r="B248" s="2">
        <v>15808</v>
      </c>
      <c r="C248" s="3">
        <f>DATE(2012,12,31)-748</f>
        <v>40526</v>
      </c>
      <c r="D248" s="1" t="s">
        <v>0</v>
      </c>
      <c r="E248" s="2">
        <v>45</v>
      </c>
      <c r="F248" s="2">
        <v>882.96</v>
      </c>
      <c r="G248" s="2">
        <v>0.06</v>
      </c>
      <c r="H248" s="2">
        <v>0.68</v>
      </c>
      <c r="I248" s="4">
        <v>11.65</v>
      </c>
      <c r="J248" s="5">
        <v>19.98</v>
      </c>
      <c r="K248" s="5">
        <v>4</v>
      </c>
      <c r="L248" s="1" t="s">
        <v>5</v>
      </c>
      <c r="M248" s="1" t="s">
        <v>38</v>
      </c>
      <c r="N248" s="1" t="s">
        <v>2</v>
      </c>
      <c r="O248" s="1" t="s">
        <v>11</v>
      </c>
      <c r="P248" s="1" t="s">
        <v>7</v>
      </c>
      <c r="Q248" s="6">
        <f>C248+2</f>
        <v>40528</v>
      </c>
    </row>
    <row r="249" spans="1:17" ht="15.75" x14ac:dyDescent="0.3">
      <c r="A249" s="1">
        <v>2196</v>
      </c>
      <c r="B249" s="2">
        <v>15808</v>
      </c>
      <c r="C249" s="3">
        <f>DATE(2012,12,31)-748</f>
        <v>40526</v>
      </c>
      <c r="D249" s="1" t="s">
        <v>0</v>
      </c>
      <c r="E249" s="2">
        <v>3</v>
      </c>
      <c r="F249" s="2">
        <v>58.14</v>
      </c>
      <c r="G249" s="2">
        <v>0.01</v>
      </c>
      <c r="H249" s="2">
        <v>0.57999999999999996</v>
      </c>
      <c r="I249" s="4">
        <v>-96.25</v>
      </c>
      <c r="J249" s="5">
        <v>20.99</v>
      </c>
      <c r="K249" s="5">
        <v>4.8099999999999996</v>
      </c>
      <c r="L249" s="1" t="s">
        <v>5</v>
      </c>
      <c r="M249" s="1" t="s">
        <v>38</v>
      </c>
      <c r="N249" s="1" t="s">
        <v>2</v>
      </c>
      <c r="O249" s="1" t="s">
        <v>11</v>
      </c>
      <c r="P249" s="1" t="s">
        <v>18</v>
      </c>
      <c r="Q249" s="6">
        <f>C249+1</f>
        <v>40527</v>
      </c>
    </row>
    <row r="250" spans="1:17" ht="15.75" x14ac:dyDescent="0.3">
      <c r="A250" s="1">
        <v>2271</v>
      </c>
      <c r="B250" s="2">
        <v>16326</v>
      </c>
      <c r="C250" s="3">
        <f>DATE(2012,12,31)-966</f>
        <v>40308</v>
      </c>
      <c r="D250" s="1" t="s">
        <v>17</v>
      </c>
      <c r="E250" s="2">
        <v>39</v>
      </c>
      <c r="F250" s="2">
        <v>1538.33</v>
      </c>
      <c r="G250" s="2">
        <v>0.03</v>
      </c>
      <c r="H250" s="2">
        <v>0.54</v>
      </c>
      <c r="I250" s="4">
        <v>471.35</v>
      </c>
      <c r="J250" s="5">
        <v>39.479999999999997</v>
      </c>
      <c r="K250" s="5">
        <v>1.99</v>
      </c>
      <c r="L250" s="1" t="s">
        <v>5</v>
      </c>
      <c r="M250" s="1" t="s">
        <v>38</v>
      </c>
      <c r="N250" s="1" t="s">
        <v>2</v>
      </c>
      <c r="O250" s="1" t="s">
        <v>11</v>
      </c>
      <c r="P250" s="1" t="s">
        <v>20</v>
      </c>
      <c r="Q250" s="6">
        <f>C250+2</f>
        <v>40310</v>
      </c>
    </row>
    <row r="251" spans="1:17" ht="15.75" x14ac:dyDescent="0.3">
      <c r="A251" s="1">
        <v>2272</v>
      </c>
      <c r="B251" s="2">
        <v>16326</v>
      </c>
      <c r="C251" s="3">
        <f>DATE(2012,12,31)-966</f>
        <v>40308</v>
      </c>
      <c r="D251" s="1" t="s">
        <v>17</v>
      </c>
      <c r="E251" s="2">
        <v>39</v>
      </c>
      <c r="F251" s="2">
        <v>147.46</v>
      </c>
      <c r="G251" s="2">
        <v>0.06</v>
      </c>
      <c r="H251" s="2">
        <v>0.35</v>
      </c>
      <c r="I251" s="4">
        <v>14.13</v>
      </c>
      <c r="J251" s="5">
        <v>3.71</v>
      </c>
      <c r="K251" s="5">
        <v>1.93</v>
      </c>
      <c r="L251" s="1" t="s">
        <v>5</v>
      </c>
      <c r="M251" s="1" t="s">
        <v>38</v>
      </c>
      <c r="N251" s="1" t="s">
        <v>2</v>
      </c>
      <c r="O251" s="1" t="s">
        <v>6</v>
      </c>
      <c r="P251" s="1" t="s">
        <v>14</v>
      </c>
      <c r="Q251" s="6">
        <f>C251+0</f>
        <v>40308</v>
      </c>
    </row>
    <row r="252" spans="1:17" ht="15.75" x14ac:dyDescent="0.3">
      <c r="A252" s="1">
        <v>2474</v>
      </c>
      <c r="B252" s="2">
        <v>17985</v>
      </c>
      <c r="C252" s="3">
        <f>DATE(2012,12,31)-629</f>
        <v>40645</v>
      </c>
      <c r="D252" s="1" t="s">
        <v>12</v>
      </c>
      <c r="E252" s="2">
        <v>4</v>
      </c>
      <c r="F252" s="2">
        <v>473.88</v>
      </c>
      <c r="G252" s="2">
        <v>0.01</v>
      </c>
      <c r="H252" s="2">
        <v>0.71</v>
      </c>
      <c r="I252" s="4">
        <v>-183.26</v>
      </c>
      <c r="J252" s="5">
        <v>110.98</v>
      </c>
      <c r="K252" s="5">
        <v>30</v>
      </c>
      <c r="L252" s="1" t="s">
        <v>1</v>
      </c>
      <c r="M252" s="1" t="s">
        <v>38</v>
      </c>
      <c r="N252" s="1" t="s">
        <v>15</v>
      </c>
      <c r="O252" s="1" t="s">
        <v>3</v>
      </c>
      <c r="P252" s="1" t="s">
        <v>4</v>
      </c>
      <c r="Q252" s="6">
        <f>C252+1</f>
        <v>40646</v>
      </c>
    </row>
    <row r="253" spans="1:17" ht="15.75" x14ac:dyDescent="0.3">
      <c r="A253" s="1">
        <v>2475</v>
      </c>
      <c r="B253" s="2">
        <v>17985</v>
      </c>
      <c r="C253" s="3">
        <f>DATE(2012,12,31)-629</f>
        <v>40645</v>
      </c>
      <c r="D253" s="1" t="s">
        <v>12</v>
      </c>
      <c r="E253" s="2">
        <v>50</v>
      </c>
      <c r="F253" s="2">
        <v>849.03099999999995</v>
      </c>
      <c r="G253" s="2">
        <v>7.0000000000000007E-2</v>
      </c>
      <c r="H253" s="2">
        <v>0.81</v>
      </c>
      <c r="I253" s="4">
        <v>-133.309</v>
      </c>
      <c r="J253" s="5">
        <v>20.99</v>
      </c>
      <c r="K253" s="5">
        <v>3.3</v>
      </c>
      <c r="L253" s="1" t="s">
        <v>5</v>
      </c>
      <c r="M253" s="1" t="s">
        <v>38</v>
      </c>
      <c r="N253" s="1" t="s">
        <v>15</v>
      </c>
      <c r="O253" s="1" t="s">
        <v>11</v>
      </c>
      <c r="P253" s="1" t="s">
        <v>20</v>
      </c>
      <c r="Q253" s="6">
        <f>C253+2</f>
        <v>40647</v>
      </c>
    </row>
    <row r="254" spans="1:17" ht="15.75" x14ac:dyDescent="0.3">
      <c r="A254" s="1">
        <v>2841</v>
      </c>
      <c r="B254" s="2">
        <v>20480</v>
      </c>
      <c r="C254" s="3">
        <f>DATE(2012,12,31)-1432</f>
        <v>39842</v>
      </c>
      <c r="D254" s="1" t="s">
        <v>12</v>
      </c>
      <c r="E254" s="2">
        <v>4</v>
      </c>
      <c r="F254" s="2">
        <v>1042.6300000000001</v>
      </c>
      <c r="G254" s="2">
        <v>0.02</v>
      </c>
      <c r="H254" s="2">
        <v>0.56000000000000005</v>
      </c>
      <c r="I254" s="4">
        <v>-219.93</v>
      </c>
      <c r="J254" s="5">
        <v>240.98</v>
      </c>
      <c r="K254" s="5">
        <v>60.2</v>
      </c>
      <c r="L254" s="1" t="s">
        <v>1</v>
      </c>
      <c r="M254" s="1" t="s">
        <v>38</v>
      </c>
      <c r="N254" s="1" t="s">
        <v>2</v>
      </c>
      <c r="O254" s="1" t="s">
        <v>3</v>
      </c>
      <c r="P254" s="1" t="s">
        <v>19</v>
      </c>
      <c r="Q254" s="6">
        <f>C254+2</f>
        <v>39844</v>
      </c>
    </row>
    <row r="255" spans="1:17" ht="15.75" x14ac:dyDescent="0.3">
      <c r="A255" s="1">
        <v>2919</v>
      </c>
      <c r="B255" s="2">
        <v>21091</v>
      </c>
      <c r="C255" s="3">
        <f>DATE(2012,12,31)-1115</f>
        <v>40159</v>
      </c>
      <c r="D255" s="1" t="s">
        <v>17</v>
      </c>
      <c r="E255" s="2">
        <v>32</v>
      </c>
      <c r="F255" s="2">
        <v>270.73</v>
      </c>
      <c r="G255" s="2">
        <v>0.1</v>
      </c>
      <c r="H255" s="2">
        <v>0.35</v>
      </c>
      <c r="I255" s="4">
        <v>-54.567500000000003</v>
      </c>
      <c r="J255" s="5">
        <v>8.8800000000000008</v>
      </c>
      <c r="K255" s="5">
        <v>6.28</v>
      </c>
      <c r="L255" s="1" t="s">
        <v>9</v>
      </c>
      <c r="M255" s="1" t="s">
        <v>38</v>
      </c>
      <c r="N255" s="1" t="s">
        <v>2</v>
      </c>
      <c r="O255" s="1" t="s">
        <v>6</v>
      </c>
      <c r="P255" s="1" t="s">
        <v>7</v>
      </c>
      <c r="Q255" s="6">
        <f>C255+2</f>
        <v>40161</v>
      </c>
    </row>
    <row r="256" spans="1:17" ht="15.75" x14ac:dyDescent="0.3">
      <c r="A256" s="1">
        <v>3748</v>
      </c>
      <c r="B256" s="2">
        <v>26759</v>
      </c>
      <c r="C256" s="3">
        <f>DATE(2012,12,31)-341</f>
        <v>40933</v>
      </c>
      <c r="D256" s="1" t="s">
        <v>8</v>
      </c>
      <c r="E256" s="2">
        <v>30</v>
      </c>
      <c r="F256" s="2">
        <v>251.11</v>
      </c>
      <c r="G256" s="2">
        <v>0.03</v>
      </c>
      <c r="H256" s="2">
        <v>0.35</v>
      </c>
      <c r="I256" s="4">
        <v>10.038500000000001</v>
      </c>
      <c r="J256" s="5">
        <v>7.84</v>
      </c>
      <c r="K256" s="5">
        <v>4.71</v>
      </c>
      <c r="L256" s="1" t="s">
        <v>5</v>
      </c>
      <c r="M256" s="1" t="s">
        <v>38</v>
      </c>
      <c r="N256" s="1" t="s">
        <v>21</v>
      </c>
      <c r="O256" s="1" t="s">
        <v>6</v>
      </c>
      <c r="P256" s="1" t="s">
        <v>7</v>
      </c>
      <c r="Q256" s="6">
        <f>C256+2</f>
        <v>40935</v>
      </c>
    </row>
    <row r="257" spans="1:17" ht="15.75" x14ac:dyDescent="0.3">
      <c r="A257" s="1">
        <v>3759</v>
      </c>
      <c r="B257" s="2">
        <v>26853</v>
      </c>
      <c r="C257" s="3">
        <f>DATE(2012,12,31)-202</f>
        <v>41072</v>
      </c>
      <c r="D257" s="1" t="s">
        <v>16</v>
      </c>
      <c r="E257" s="2">
        <v>21</v>
      </c>
      <c r="F257" s="2">
        <v>64.44</v>
      </c>
      <c r="G257" s="2">
        <v>0</v>
      </c>
      <c r="H257" s="2">
        <v>0.36</v>
      </c>
      <c r="I257" s="4">
        <v>-89.02</v>
      </c>
      <c r="J257" s="5">
        <v>2.66</v>
      </c>
      <c r="K257" s="5">
        <v>6.35</v>
      </c>
      <c r="L257" s="1" t="s">
        <v>5</v>
      </c>
      <c r="M257" s="1" t="s">
        <v>38</v>
      </c>
      <c r="N257" s="1" t="s">
        <v>13</v>
      </c>
      <c r="O257" s="1" t="s">
        <v>6</v>
      </c>
      <c r="P257" s="1" t="s">
        <v>7</v>
      </c>
      <c r="Q257" s="6">
        <f>C257+4</f>
        <v>41076</v>
      </c>
    </row>
    <row r="258" spans="1:17" ht="15.75" x14ac:dyDescent="0.3">
      <c r="A258" s="1">
        <v>3768</v>
      </c>
      <c r="B258" s="2">
        <v>26918</v>
      </c>
      <c r="C258" s="3">
        <f>DATE(2012,12,31)-1365</f>
        <v>39909</v>
      </c>
      <c r="D258" s="1" t="s">
        <v>16</v>
      </c>
      <c r="E258" s="2">
        <v>16</v>
      </c>
      <c r="F258" s="2">
        <v>77.959999999999994</v>
      </c>
      <c r="G258" s="2">
        <v>0.05</v>
      </c>
      <c r="H258" s="2">
        <v>0.52</v>
      </c>
      <c r="I258" s="4">
        <v>16.649999999999999</v>
      </c>
      <c r="J258" s="5">
        <v>4.84</v>
      </c>
      <c r="K258" s="5">
        <v>0.71</v>
      </c>
      <c r="L258" s="1" t="s">
        <v>5</v>
      </c>
      <c r="M258" s="1" t="s">
        <v>38</v>
      </c>
      <c r="N258" s="1" t="s">
        <v>15</v>
      </c>
      <c r="O258" s="1" t="s">
        <v>6</v>
      </c>
      <c r="P258" s="1" t="s">
        <v>14</v>
      </c>
      <c r="Q258" s="6">
        <f>C258+9</f>
        <v>39918</v>
      </c>
    </row>
    <row r="259" spans="1:17" ht="15.75" x14ac:dyDescent="0.3">
      <c r="A259" s="1">
        <v>3847</v>
      </c>
      <c r="B259" s="2">
        <v>27456</v>
      </c>
      <c r="C259" s="3">
        <f>DATE(2012,12,31)-1361</f>
        <v>39913</v>
      </c>
      <c r="D259" s="1" t="s">
        <v>8</v>
      </c>
      <c r="E259" s="2">
        <v>29</v>
      </c>
      <c r="F259" s="2">
        <v>9492.92</v>
      </c>
      <c r="G259" s="2">
        <v>0.05</v>
      </c>
      <c r="H259" s="2">
        <v>0.56999999999999995</v>
      </c>
      <c r="I259" s="4">
        <v>772.04</v>
      </c>
      <c r="J259" s="5">
        <v>328.14</v>
      </c>
      <c r="K259" s="5">
        <v>91.05</v>
      </c>
      <c r="L259" s="1" t="s">
        <v>1</v>
      </c>
      <c r="M259" s="1" t="s">
        <v>38</v>
      </c>
      <c r="N259" s="1" t="s">
        <v>15</v>
      </c>
      <c r="O259" s="1" t="s">
        <v>6</v>
      </c>
      <c r="P259" s="1" t="s">
        <v>4</v>
      </c>
      <c r="Q259" s="6">
        <f>C259+1</f>
        <v>39914</v>
      </c>
    </row>
    <row r="260" spans="1:17" ht="15.75" x14ac:dyDescent="0.3">
      <c r="A260" s="1">
        <v>3980</v>
      </c>
      <c r="B260" s="2">
        <v>28420</v>
      </c>
      <c r="C260" s="3">
        <f>DATE(2012,12,31)-1194</f>
        <v>40080</v>
      </c>
      <c r="D260" s="1" t="s">
        <v>16</v>
      </c>
      <c r="E260" s="2">
        <v>2</v>
      </c>
      <c r="F260" s="2">
        <v>45.64</v>
      </c>
      <c r="G260" s="2">
        <v>0.08</v>
      </c>
      <c r="H260" s="2">
        <v>0.38</v>
      </c>
      <c r="I260" s="4">
        <v>-0.10999999999999943</v>
      </c>
      <c r="J260" s="5">
        <v>15.57</v>
      </c>
      <c r="K260" s="5">
        <v>1.39</v>
      </c>
      <c r="L260" s="1" t="s">
        <v>9</v>
      </c>
      <c r="M260" s="1" t="s">
        <v>38</v>
      </c>
      <c r="N260" s="1" t="s">
        <v>2</v>
      </c>
      <c r="O260" s="1" t="s">
        <v>6</v>
      </c>
      <c r="P260" s="1" t="s">
        <v>7</v>
      </c>
      <c r="Q260" s="6">
        <f>C260+0</f>
        <v>40080</v>
      </c>
    </row>
    <row r="261" spans="1:17" ht="15.75" x14ac:dyDescent="0.3">
      <c r="A261" s="1">
        <v>4123</v>
      </c>
      <c r="B261" s="2">
        <v>29318</v>
      </c>
      <c r="C261" s="3">
        <f>DATE(2012,12,31)-550</f>
        <v>40724</v>
      </c>
      <c r="D261" s="1" t="s">
        <v>8</v>
      </c>
      <c r="E261" s="2">
        <v>21</v>
      </c>
      <c r="F261" s="2">
        <v>2954.14</v>
      </c>
      <c r="G261" s="2">
        <v>0.04</v>
      </c>
      <c r="H261" s="2"/>
      <c r="I261" s="4">
        <v>-522.94000000000005</v>
      </c>
      <c r="J261" s="5">
        <v>138.13999999999999</v>
      </c>
      <c r="K261" s="5">
        <v>35</v>
      </c>
      <c r="L261" s="1" t="s">
        <v>9</v>
      </c>
      <c r="M261" s="1" t="s">
        <v>38</v>
      </c>
      <c r="N261" s="1" t="s">
        <v>2</v>
      </c>
      <c r="O261" s="1" t="s">
        <v>6</v>
      </c>
      <c r="P261" s="1" t="s">
        <v>10</v>
      </c>
      <c r="Q261" s="6">
        <f>C261+1</f>
        <v>40725</v>
      </c>
    </row>
    <row r="262" spans="1:17" ht="15.75" x14ac:dyDescent="0.3">
      <c r="A262" s="1">
        <v>4124</v>
      </c>
      <c r="B262" s="2">
        <v>29318</v>
      </c>
      <c r="C262" s="3">
        <f>DATE(2012,12,31)-550</f>
        <v>40724</v>
      </c>
      <c r="D262" s="1" t="s">
        <v>8</v>
      </c>
      <c r="E262" s="2">
        <v>34</v>
      </c>
      <c r="F262" s="2">
        <v>3375.3074999999999</v>
      </c>
      <c r="G262" s="2">
        <v>0.1</v>
      </c>
      <c r="H262" s="2">
        <v>0.56999999999999995</v>
      </c>
      <c r="I262" s="4">
        <v>562.13100000000009</v>
      </c>
      <c r="J262" s="5">
        <v>125.99</v>
      </c>
      <c r="K262" s="5">
        <v>8.08</v>
      </c>
      <c r="L262" s="1" t="s">
        <v>5</v>
      </c>
      <c r="M262" s="1" t="s">
        <v>38</v>
      </c>
      <c r="N262" s="1" t="s">
        <v>2</v>
      </c>
      <c r="O262" s="1" t="s">
        <v>11</v>
      </c>
      <c r="P262" s="1" t="s">
        <v>7</v>
      </c>
      <c r="Q262" s="6">
        <f>C262+1</f>
        <v>40725</v>
      </c>
    </row>
    <row r="263" spans="1:17" ht="15.75" x14ac:dyDescent="0.3">
      <c r="A263" s="1">
        <v>4223</v>
      </c>
      <c r="B263" s="2">
        <v>30016</v>
      </c>
      <c r="C263" s="3">
        <f>DATE(2012,12,31)-1458</f>
        <v>39816</v>
      </c>
      <c r="D263" s="1" t="s">
        <v>0</v>
      </c>
      <c r="E263" s="2">
        <v>15</v>
      </c>
      <c r="F263" s="2">
        <v>85.56</v>
      </c>
      <c r="G263" s="2">
        <v>0.03</v>
      </c>
      <c r="H263" s="2">
        <v>0.4</v>
      </c>
      <c r="I263" s="4">
        <v>-41.58</v>
      </c>
      <c r="J263" s="5">
        <v>5.28</v>
      </c>
      <c r="K263" s="5">
        <v>5.66</v>
      </c>
      <c r="L263" s="1" t="s">
        <v>5</v>
      </c>
      <c r="M263" s="1" t="s">
        <v>38</v>
      </c>
      <c r="N263" s="1" t="s">
        <v>2</v>
      </c>
      <c r="O263" s="1" t="s">
        <v>6</v>
      </c>
      <c r="P263" s="1" t="s">
        <v>7</v>
      </c>
      <c r="Q263" s="6">
        <f>C263+2</f>
        <v>39818</v>
      </c>
    </row>
    <row r="264" spans="1:17" ht="15.75" x14ac:dyDescent="0.3">
      <c r="A264" s="1">
        <v>4224</v>
      </c>
      <c r="B264" s="2">
        <v>30016</v>
      </c>
      <c r="C264" s="3">
        <f>DATE(2012,12,31)-1458</f>
        <v>39816</v>
      </c>
      <c r="D264" s="1" t="s">
        <v>0</v>
      </c>
      <c r="E264" s="2">
        <v>8</v>
      </c>
      <c r="F264" s="2">
        <v>754.65549999999996</v>
      </c>
      <c r="G264" s="2">
        <v>0.01</v>
      </c>
      <c r="H264" s="2">
        <v>0.56999999999999995</v>
      </c>
      <c r="I264" s="4">
        <v>-212.553</v>
      </c>
      <c r="J264" s="5">
        <v>110.99</v>
      </c>
      <c r="K264" s="5">
        <v>2.5</v>
      </c>
      <c r="L264" s="1" t="s">
        <v>5</v>
      </c>
      <c r="M264" s="1" t="s">
        <v>38</v>
      </c>
      <c r="N264" s="1" t="s">
        <v>2</v>
      </c>
      <c r="O264" s="1" t="s">
        <v>11</v>
      </c>
      <c r="P264" s="1" t="s">
        <v>7</v>
      </c>
      <c r="Q264" s="6">
        <f>C264+3</f>
        <v>39819</v>
      </c>
    </row>
    <row r="265" spans="1:17" ht="15.75" x14ac:dyDescent="0.3">
      <c r="A265" s="1">
        <v>4676</v>
      </c>
      <c r="B265" s="2">
        <v>33255</v>
      </c>
      <c r="C265" s="3">
        <f>DATE(2012,12,31)-921</f>
        <v>40353</v>
      </c>
      <c r="D265" s="1" t="s">
        <v>0</v>
      </c>
      <c r="E265" s="2">
        <v>19</v>
      </c>
      <c r="F265" s="2">
        <v>108.21</v>
      </c>
      <c r="G265" s="2">
        <v>0.08</v>
      </c>
      <c r="H265" s="2">
        <v>0.4</v>
      </c>
      <c r="I265" s="4">
        <v>-50.02</v>
      </c>
      <c r="J265" s="5">
        <v>5.28</v>
      </c>
      <c r="K265" s="5">
        <v>5.66</v>
      </c>
      <c r="L265" s="1" t="s">
        <v>9</v>
      </c>
      <c r="M265" s="1" t="s">
        <v>38</v>
      </c>
      <c r="N265" s="1" t="s">
        <v>15</v>
      </c>
      <c r="O265" s="1" t="s">
        <v>6</v>
      </c>
      <c r="P265" s="1" t="s">
        <v>7</v>
      </c>
      <c r="Q265" s="6">
        <f>C265+1</f>
        <v>40354</v>
      </c>
    </row>
    <row r="266" spans="1:17" ht="15.75" x14ac:dyDescent="0.3">
      <c r="A266" s="1">
        <v>4933</v>
      </c>
      <c r="B266" s="2">
        <v>35104</v>
      </c>
      <c r="C266" s="3">
        <f>DATE(2012,12,31)-253</f>
        <v>41021</v>
      </c>
      <c r="D266" s="1" t="s">
        <v>17</v>
      </c>
      <c r="E266" s="2">
        <v>1</v>
      </c>
      <c r="F266" s="2">
        <v>36.31</v>
      </c>
      <c r="G266" s="2">
        <v>0.04</v>
      </c>
      <c r="H266" s="2">
        <v>0.51</v>
      </c>
      <c r="I266" s="4">
        <v>-74.45</v>
      </c>
      <c r="J266" s="5">
        <v>29.99</v>
      </c>
      <c r="K266" s="5">
        <v>5.5</v>
      </c>
      <c r="L266" s="1" t="s">
        <v>5</v>
      </c>
      <c r="M266" s="1" t="s">
        <v>38</v>
      </c>
      <c r="N266" s="1" t="s">
        <v>13</v>
      </c>
      <c r="O266" s="1" t="s">
        <v>11</v>
      </c>
      <c r="P266" s="1" t="s">
        <v>7</v>
      </c>
      <c r="Q266" s="6">
        <f>C266+3</f>
        <v>41024</v>
      </c>
    </row>
    <row r="267" spans="1:17" ht="15.75" x14ac:dyDescent="0.3">
      <c r="A267" s="1">
        <v>4934</v>
      </c>
      <c r="B267" s="2">
        <v>35104</v>
      </c>
      <c r="C267" s="3">
        <f>DATE(2012,12,31)-253</f>
        <v>41021</v>
      </c>
      <c r="D267" s="1" t="s">
        <v>17</v>
      </c>
      <c r="E267" s="2">
        <v>18</v>
      </c>
      <c r="F267" s="2">
        <v>388.15</v>
      </c>
      <c r="G267" s="2">
        <v>0</v>
      </c>
      <c r="H267" s="2">
        <v>0.56999999999999995</v>
      </c>
      <c r="I267" s="4">
        <v>-44.21</v>
      </c>
      <c r="J267" s="5">
        <v>19.940000000000001</v>
      </c>
      <c r="K267" s="5">
        <v>14.87</v>
      </c>
      <c r="L267" s="1" t="s">
        <v>5</v>
      </c>
      <c r="M267" s="1" t="s">
        <v>38</v>
      </c>
      <c r="N267" s="1" t="s">
        <v>13</v>
      </c>
      <c r="O267" s="1" t="s">
        <v>3</v>
      </c>
      <c r="P267" s="1" t="s">
        <v>10</v>
      </c>
      <c r="Q267" s="6">
        <f>C267+2</f>
        <v>41023</v>
      </c>
    </row>
    <row r="268" spans="1:17" ht="15.75" x14ac:dyDescent="0.3">
      <c r="A268" s="1">
        <v>4946</v>
      </c>
      <c r="B268" s="2">
        <v>35142</v>
      </c>
      <c r="C268" s="3">
        <f>DATE(2012,12,31)-984</f>
        <v>40290</v>
      </c>
      <c r="D268" s="1" t="s">
        <v>16</v>
      </c>
      <c r="E268" s="2">
        <v>11</v>
      </c>
      <c r="F268" s="2">
        <v>231.27</v>
      </c>
      <c r="G268" s="2">
        <v>0.03</v>
      </c>
      <c r="H268" s="2">
        <v>0.49</v>
      </c>
      <c r="I268" s="4">
        <v>89.29</v>
      </c>
      <c r="J268" s="5">
        <v>20.239999999999998</v>
      </c>
      <c r="K268" s="5">
        <v>6.67</v>
      </c>
      <c r="L268" s="1" t="s">
        <v>5</v>
      </c>
      <c r="M268" s="1" t="s">
        <v>38</v>
      </c>
      <c r="N268" s="1" t="s">
        <v>2</v>
      </c>
      <c r="O268" s="1" t="s">
        <v>3</v>
      </c>
      <c r="P268" s="1" t="s">
        <v>20</v>
      </c>
      <c r="Q268" s="6">
        <f>C268+2</f>
        <v>40292</v>
      </c>
    </row>
    <row r="269" spans="1:17" ht="15.75" x14ac:dyDescent="0.3">
      <c r="A269" s="1">
        <v>4997</v>
      </c>
      <c r="B269" s="2">
        <v>35584</v>
      </c>
      <c r="C269" s="3">
        <f>DATE(2012,12,31)-608</f>
        <v>40666</v>
      </c>
      <c r="D269" s="1" t="s">
        <v>12</v>
      </c>
      <c r="E269" s="2">
        <v>15</v>
      </c>
      <c r="F269" s="2">
        <v>150.33000000000001</v>
      </c>
      <c r="G269" s="2">
        <v>0.08</v>
      </c>
      <c r="H269" s="2">
        <v>0.6</v>
      </c>
      <c r="I269" s="4">
        <v>-98.23</v>
      </c>
      <c r="J269" s="5">
        <v>9.7100000000000009</v>
      </c>
      <c r="K269" s="5">
        <v>9.4499999999999993</v>
      </c>
      <c r="L269" s="1" t="s">
        <v>9</v>
      </c>
      <c r="M269" s="1" t="s">
        <v>38</v>
      </c>
      <c r="N269" s="1" t="s">
        <v>2</v>
      </c>
      <c r="O269" s="1" t="s">
        <v>6</v>
      </c>
      <c r="P269" s="1" t="s">
        <v>7</v>
      </c>
      <c r="Q269" s="6">
        <f>C269+0</f>
        <v>40666</v>
      </c>
    </row>
    <row r="270" spans="1:17" ht="15.75" x14ac:dyDescent="0.3">
      <c r="A270" s="1">
        <v>5037</v>
      </c>
      <c r="B270" s="2">
        <v>35908</v>
      </c>
      <c r="C270" s="3">
        <f>DATE(2012,12,31)-750</f>
        <v>40524</v>
      </c>
      <c r="D270" s="1" t="s">
        <v>8</v>
      </c>
      <c r="E270" s="2">
        <v>40</v>
      </c>
      <c r="F270" s="2">
        <v>240.18</v>
      </c>
      <c r="G270" s="2">
        <v>0.06</v>
      </c>
      <c r="H270" s="2">
        <v>0.36</v>
      </c>
      <c r="I270" s="4">
        <v>-160.21</v>
      </c>
      <c r="J270" s="5">
        <v>5.78</v>
      </c>
      <c r="K270" s="5">
        <v>7.64</v>
      </c>
      <c r="L270" s="1" t="s">
        <v>5</v>
      </c>
      <c r="M270" s="1" t="s">
        <v>38</v>
      </c>
      <c r="N270" s="1" t="s">
        <v>13</v>
      </c>
      <c r="O270" s="1" t="s">
        <v>6</v>
      </c>
      <c r="P270" s="1" t="s">
        <v>7</v>
      </c>
      <c r="Q270" s="6">
        <f>C270+2</f>
        <v>40526</v>
      </c>
    </row>
    <row r="271" spans="1:17" ht="15.75" x14ac:dyDescent="0.3">
      <c r="A271" s="1">
        <v>5038</v>
      </c>
      <c r="B271" s="2">
        <v>35908</v>
      </c>
      <c r="C271" s="3">
        <f>DATE(2012,12,31)-750</f>
        <v>40524</v>
      </c>
      <c r="D271" s="1" t="s">
        <v>8</v>
      </c>
      <c r="E271" s="2">
        <v>45</v>
      </c>
      <c r="F271" s="2">
        <v>529.28</v>
      </c>
      <c r="G271" s="2">
        <v>0.1</v>
      </c>
      <c r="H271" s="2">
        <v>0.57999999999999996</v>
      </c>
      <c r="I271" s="4">
        <v>-30.27</v>
      </c>
      <c r="J271" s="5">
        <v>12.21</v>
      </c>
      <c r="K271" s="5">
        <v>4.8099999999999996</v>
      </c>
      <c r="L271" s="1" t="s">
        <v>9</v>
      </c>
      <c r="M271" s="1" t="s">
        <v>38</v>
      </c>
      <c r="N271" s="1" t="s">
        <v>13</v>
      </c>
      <c r="O271" s="1" t="s">
        <v>6</v>
      </c>
      <c r="P271" s="1" t="s">
        <v>7</v>
      </c>
      <c r="Q271" s="6">
        <f>C271+1</f>
        <v>40525</v>
      </c>
    </row>
    <row r="272" spans="1:17" ht="15.75" x14ac:dyDescent="0.3">
      <c r="A272" s="1">
        <v>5152</v>
      </c>
      <c r="B272" s="2">
        <v>36706</v>
      </c>
      <c r="C272" s="3">
        <f>DATE(2012,12,31)-1360</f>
        <v>39914</v>
      </c>
      <c r="D272" s="1" t="s">
        <v>8</v>
      </c>
      <c r="E272" s="2">
        <v>47</v>
      </c>
      <c r="F272" s="2">
        <v>887.45</v>
      </c>
      <c r="G272" s="2">
        <v>0.1</v>
      </c>
      <c r="H272" s="2">
        <v>0.35</v>
      </c>
      <c r="I272" s="4">
        <v>365.78899999999999</v>
      </c>
      <c r="J272" s="5">
        <v>20.98</v>
      </c>
      <c r="K272" s="5">
        <v>1.49</v>
      </c>
      <c r="L272" s="1" t="s">
        <v>5</v>
      </c>
      <c r="M272" s="1" t="s">
        <v>38</v>
      </c>
      <c r="N272" s="1" t="s">
        <v>13</v>
      </c>
      <c r="O272" s="1" t="s">
        <v>6</v>
      </c>
      <c r="P272" s="1" t="s">
        <v>7</v>
      </c>
      <c r="Q272" s="6">
        <f>C272+2</f>
        <v>39916</v>
      </c>
    </row>
    <row r="273" spans="1:17" ht="15.75" x14ac:dyDescent="0.3">
      <c r="A273" s="1">
        <v>5153</v>
      </c>
      <c r="B273" s="2">
        <v>36706</v>
      </c>
      <c r="C273" s="3">
        <f>DATE(2012,12,31)-1360</f>
        <v>39914</v>
      </c>
      <c r="D273" s="1" t="s">
        <v>8</v>
      </c>
      <c r="E273" s="2">
        <v>7</v>
      </c>
      <c r="F273" s="2">
        <v>355.97</v>
      </c>
      <c r="G273" s="2">
        <v>0.03</v>
      </c>
      <c r="H273" s="2">
        <v>0.37</v>
      </c>
      <c r="I273" s="4">
        <v>-4.4599999999999937</v>
      </c>
      <c r="J273" s="5">
        <v>48.04</v>
      </c>
      <c r="K273" s="5">
        <v>19.989999999999998</v>
      </c>
      <c r="L273" s="1" t="s">
        <v>5</v>
      </c>
      <c r="M273" s="1" t="s">
        <v>38</v>
      </c>
      <c r="N273" s="1" t="s">
        <v>13</v>
      </c>
      <c r="O273" s="1" t="s">
        <v>6</v>
      </c>
      <c r="P273" s="1" t="s">
        <v>7</v>
      </c>
      <c r="Q273" s="6">
        <f>C273+2</f>
        <v>39916</v>
      </c>
    </row>
    <row r="274" spans="1:17" ht="15.75" x14ac:dyDescent="0.3">
      <c r="A274" s="1">
        <v>5214</v>
      </c>
      <c r="B274" s="2">
        <v>37121</v>
      </c>
      <c r="C274" s="3">
        <f>DATE(2012,12,31)-657</f>
        <v>40617</v>
      </c>
      <c r="D274" s="1" t="s">
        <v>8</v>
      </c>
      <c r="E274" s="2">
        <v>44</v>
      </c>
      <c r="F274" s="2">
        <v>9499.2999999999993</v>
      </c>
      <c r="G274" s="2">
        <v>0.01</v>
      </c>
      <c r="H274" s="2">
        <v>0.59</v>
      </c>
      <c r="I274" s="4">
        <v>618.36</v>
      </c>
      <c r="J274" s="5">
        <v>216.6</v>
      </c>
      <c r="K274" s="5">
        <v>64.2</v>
      </c>
      <c r="L274" s="1" t="s">
        <v>1</v>
      </c>
      <c r="M274" s="1" t="s">
        <v>38</v>
      </c>
      <c r="N274" s="1" t="s">
        <v>2</v>
      </c>
      <c r="O274" s="1" t="s">
        <v>3</v>
      </c>
      <c r="P274" s="1" t="s">
        <v>4</v>
      </c>
      <c r="Q274" s="6">
        <f>C274+1</f>
        <v>40618</v>
      </c>
    </row>
    <row r="275" spans="1:17" ht="15.75" x14ac:dyDescent="0.3">
      <c r="A275" s="1">
        <v>5420</v>
      </c>
      <c r="B275" s="2">
        <v>38528</v>
      </c>
      <c r="C275" s="3">
        <f>DATE(2012,12,31)-377</f>
        <v>40897</v>
      </c>
      <c r="D275" s="1" t="s">
        <v>0</v>
      </c>
      <c r="E275" s="2">
        <v>36</v>
      </c>
      <c r="F275" s="2">
        <v>2544.9850000000001</v>
      </c>
      <c r="G275" s="2">
        <v>7.0000000000000007E-2</v>
      </c>
      <c r="H275" s="2">
        <v>0.85</v>
      </c>
      <c r="I275" s="4">
        <v>-113.05800000000001</v>
      </c>
      <c r="J275" s="5">
        <v>85.99</v>
      </c>
      <c r="K275" s="5">
        <v>0.99</v>
      </c>
      <c r="L275" s="1" t="s">
        <v>5</v>
      </c>
      <c r="M275" s="1" t="s">
        <v>38</v>
      </c>
      <c r="N275" s="1" t="s">
        <v>13</v>
      </c>
      <c r="O275" s="1" t="s">
        <v>11</v>
      </c>
      <c r="P275" s="1" t="s">
        <v>14</v>
      </c>
      <c r="Q275" s="6">
        <f>C275+1</f>
        <v>40898</v>
      </c>
    </row>
    <row r="276" spans="1:17" ht="15.75" x14ac:dyDescent="0.3">
      <c r="A276" s="1">
        <v>5469</v>
      </c>
      <c r="B276" s="2">
        <v>38853</v>
      </c>
      <c r="C276" s="3">
        <f>DATE(2012,12,31)-283</f>
        <v>40991</v>
      </c>
      <c r="D276" s="1" t="s">
        <v>16</v>
      </c>
      <c r="E276" s="2">
        <v>13</v>
      </c>
      <c r="F276" s="2">
        <v>728.02499999999998</v>
      </c>
      <c r="G276" s="2">
        <v>0.04</v>
      </c>
      <c r="H276" s="2">
        <v>0.55000000000000004</v>
      </c>
      <c r="I276" s="4">
        <v>19.997999999999998</v>
      </c>
      <c r="J276" s="5">
        <v>65.989999999999995</v>
      </c>
      <c r="K276" s="5">
        <v>2.5</v>
      </c>
      <c r="L276" s="1" t="s">
        <v>5</v>
      </c>
      <c r="M276" s="1" t="s">
        <v>38</v>
      </c>
      <c r="N276" s="1" t="s">
        <v>15</v>
      </c>
      <c r="O276" s="1" t="s">
        <v>11</v>
      </c>
      <c r="P276" s="1" t="s">
        <v>7</v>
      </c>
      <c r="Q276" s="6">
        <f>C276+4</f>
        <v>40995</v>
      </c>
    </row>
    <row r="277" spans="1:17" ht="15.75" x14ac:dyDescent="0.3">
      <c r="A277" s="1">
        <v>5585</v>
      </c>
      <c r="B277" s="2">
        <v>39590</v>
      </c>
      <c r="C277" s="3">
        <f>DATE(2012,12,31)-597</f>
        <v>40677</v>
      </c>
      <c r="D277" s="1" t="s">
        <v>16</v>
      </c>
      <c r="E277" s="2">
        <v>9</v>
      </c>
      <c r="F277" s="2">
        <v>79.25</v>
      </c>
      <c r="G277" s="2">
        <v>0</v>
      </c>
      <c r="H277" s="2">
        <v>0.36</v>
      </c>
      <c r="I277" s="4">
        <v>-13.25</v>
      </c>
      <c r="J277" s="5">
        <v>7.64</v>
      </c>
      <c r="K277" s="5">
        <v>5.83</v>
      </c>
      <c r="L277" s="1" t="s">
        <v>9</v>
      </c>
      <c r="M277" s="1" t="s">
        <v>38</v>
      </c>
      <c r="N277" s="1" t="s">
        <v>13</v>
      </c>
      <c r="O277" s="1" t="s">
        <v>6</v>
      </c>
      <c r="P277" s="1" t="s">
        <v>14</v>
      </c>
      <c r="Q277" s="6">
        <f>C277+7</f>
        <v>40684</v>
      </c>
    </row>
    <row r="278" spans="1:17" ht="15.75" x14ac:dyDescent="0.3">
      <c r="A278" s="1">
        <v>5735</v>
      </c>
      <c r="B278" s="2">
        <v>40707</v>
      </c>
      <c r="C278" s="3">
        <f>DATE(2012,12,31)-1299</f>
        <v>39975</v>
      </c>
      <c r="D278" s="1" t="s">
        <v>17</v>
      </c>
      <c r="E278" s="2">
        <v>26</v>
      </c>
      <c r="F278" s="2">
        <v>1495.184</v>
      </c>
      <c r="G278" s="2">
        <v>0</v>
      </c>
      <c r="H278" s="2">
        <v>0.56000000000000005</v>
      </c>
      <c r="I278" s="4">
        <v>211.08599999999998</v>
      </c>
      <c r="J278" s="5">
        <v>65.989999999999995</v>
      </c>
      <c r="K278" s="5">
        <v>8.99</v>
      </c>
      <c r="L278" s="1" t="s">
        <v>5</v>
      </c>
      <c r="M278" s="1" t="s">
        <v>38</v>
      </c>
      <c r="N278" s="1" t="s">
        <v>13</v>
      </c>
      <c r="O278" s="1" t="s">
        <v>11</v>
      </c>
      <c r="P278" s="1" t="s">
        <v>7</v>
      </c>
      <c r="Q278" s="6">
        <f>C278+2</f>
        <v>39977</v>
      </c>
    </row>
    <row r="279" spans="1:17" ht="15.75" x14ac:dyDescent="0.3">
      <c r="A279" s="1">
        <v>5769</v>
      </c>
      <c r="B279" s="2">
        <v>40961</v>
      </c>
      <c r="C279" s="3">
        <f>DATE(2012,12,31)-642</f>
        <v>40632</v>
      </c>
      <c r="D279" s="1" t="s">
        <v>12</v>
      </c>
      <c r="E279" s="2">
        <v>7</v>
      </c>
      <c r="F279" s="2">
        <v>23.84</v>
      </c>
      <c r="G279" s="2">
        <v>0.02</v>
      </c>
      <c r="H279" s="2">
        <v>0.37</v>
      </c>
      <c r="I279" s="4">
        <v>5.88</v>
      </c>
      <c r="J279" s="5">
        <v>3.15</v>
      </c>
      <c r="K279" s="5">
        <v>0.5</v>
      </c>
      <c r="L279" s="1" t="s">
        <v>5</v>
      </c>
      <c r="M279" s="1" t="s">
        <v>38</v>
      </c>
      <c r="N279" s="1" t="s">
        <v>2</v>
      </c>
      <c r="O279" s="1" t="s">
        <v>6</v>
      </c>
      <c r="P279" s="1" t="s">
        <v>7</v>
      </c>
      <c r="Q279" s="6">
        <f>C279+1</f>
        <v>40633</v>
      </c>
    </row>
    <row r="280" spans="1:17" ht="15.75" x14ac:dyDescent="0.3">
      <c r="A280" s="1">
        <v>5783</v>
      </c>
      <c r="B280" s="2">
        <v>41026</v>
      </c>
      <c r="C280" s="3">
        <f>DATE(2012,12,31)-622</f>
        <v>40652</v>
      </c>
      <c r="D280" s="1" t="s">
        <v>12</v>
      </c>
      <c r="E280" s="2">
        <v>8</v>
      </c>
      <c r="F280" s="2">
        <v>709.37</v>
      </c>
      <c r="G280" s="2">
        <v>0.1</v>
      </c>
      <c r="H280" s="2">
        <v>0.66</v>
      </c>
      <c r="I280" s="4">
        <v>-281.76</v>
      </c>
      <c r="J280" s="5">
        <v>89.99</v>
      </c>
      <c r="K280" s="5">
        <v>42</v>
      </c>
      <c r="L280" s="1" t="s">
        <v>1</v>
      </c>
      <c r="M280" s="1" t="s">
        <v>38</v>
      </c>
      <c r="N280" s="1" t="s">
        <v>15</v>
      </c>
      <c r="O280" s="1" t="s">
        <v>3</v>
      </c>
      <c r="P280" s="1" t="s">
        <v>4</v>
      </c>
      <c r="Q280" s="6">
        <f>C280+1</f>
        <v>40653</v>
      </c>
    </row>
    <row r="281" spans="1:17" ht="15.75" x14ac:dyDescent="0.3">
      <c r="A281" s="1">
        <v>5784</v>
      </c>
      <c r="B281" s="2">
        <v>41026</v>
      </c>
      <c r="C281" s="3">
        <f>DATE(2012,12,31)-622</f>
        <v>40652</v>
      </c>
      <c r="D281" s="1" t="s">
        <v>12</v>
      </c>
      <c r="E281" s="2">
        <v>19</v>
      </c>
      <c r="F281" s="2">
        <v>59.76</v>
      </c>
      <c r="G281" s="2">
        <v>0.1</v>
      </c>
      <c r="H281" s="2">
        <v>0.84</v>
      </c>
      <c r="I281" s="4">
        <v>-33.11</v>
      </c>
      <c r="J281" s="5">
        <v>3.14</v>
      </c>
      <c r="K281" s="5">
        <v>1.92</v>
      </c>
      <c r="L281" s="1" t="s">
        <v>9</v>
      </c>
      <c r="M281" s="1" t="s">
        <v>38</v>
      </c>
      <c r="N281" s="1" t="s">
        <v>15</v>
      </c>
      <c r="O281" s="1" t="s">
        <v>6</v>
      </c>
      <c r="P281" s="1" t="s">
        <v>14</v>
      </c>
      <c r="Q281" s="6">
        <f>C281+0</f>
        <v>40652</v>
      </c>
    </row>
    <row r="282" spans="1:17" ht="15.75" x14ac:dyDescent="0.3">
      <c r="A282" s="1">
        <v>5853</v>
      </c>
      <c r="B282" s="2">
        <v>41543</v>
      </c>
      <c r="C282" s="3">
        <f>DATE(2012,12,31)-1424</f>
        <v>39850</v>
      </c>
      <c r="D282" s="1" t="s">
        <v>16</v>
      </c>
      <c r="E282" s="2">
        <v>45</v>
      </c>
      <c r="F282" s="2">
        <v>7548.65</v>
      </c>
      <c r="G282" s="2">
        <v>0.03</v>
      </c>
      <c r="H282" s="2">
        <v>0.62</v>
      </c>
      <c r="I282" s="4">
        <v>1385.35</v>
      </c>
      <c r="J282" s="5">
        <v>160.97999999999999</v>
      </c>
      <c r="K282" s="5">
        <v>30</v>
      </c>
      <c r="L282" s="1" t="s">
        <v>1</v>
      </c>
      <c r="M282" s="1" t="s">
        <v>38</v>
      </c>
      <c r="N282" s="1" t="s">
        <v>2</v>
      </c>
      <c r="O282" s="1" t="s">
        <v>3</v>
      </c>
      <c r="P282" s="1" t="s">
        <v>4</v>
      </c>
      <c r="Q282" s="6">
        <f>C282+4</f>
        <v>39854</v>
      </c>
    </row>
    <row r="283" spans="1:17" ht="15.75" x14ac:dyDescent="0.3">
      <c r="A283" s="1">
        <v>5854</v>
      </c>
      <c r="B283" s="2">
        <v>41543</v>
      </c>
      <c r="C283" s="3">
        <f>DATE(2012,12,31)-1424</f>
        <v>39850</v>
      </c>
      <c r="D283" s="1" t="s">
        <v>16</v>
      </c>
      <c r="E283" s="2">
        <v>24</v>
      </c>
      <c r="F283" s="2">
        <v>1318.8684999999998</v>
      </c>
      <c r="G283" s="2">
        <v>0.03</v>
      </c>
      <c r="H283" s="2">
        <v>0.59</v>
      </c>
      <c r="I283" s="4">
        <v>172.33199999999999</v>
      </c>
      <c r="J283" s="5">
        <v>65.989999999999995</v>
      </c>
      <c r="K283" s="5">
        <v>3.99</v>
      </c>
      <c r="L283" s="1" t="s">
        <v>5</v>
      </c>
      <c r="M283" s="1" t="s">
        <v>38</v>
      </c>
      <c r="N283" s="1" t="s">
        <v>2</v>
      </c>
      <c r="O283" s="1" t="s">
        <v>11</v>
      </c>
      <c r="P283" s="1" t="s">
        <v>7</v>
      </c>
      <c r="Q283" s="6">
        <f>C283+4</f>
        <v>39854</v>
      </c>
    </row>
    <row r="284" spans="1:17" ht="15.75" x14ac:dyDescent="0.3">
      <c r="A284" s="1">
        <v>5862</v>
      </c>
      <c r="B284" s="2">
        <v>41606</v>
      </c>
      <c r="C284" s="3">
        <f>DATE(2012,12,31)-1287</f>
        <v>39987</v>
      </c>
      <c r="D284" s="1" t="s">
        <v>17</v>
      </c>
      <c r="E284" s="2">
        <v>23</v>
      </c>
      <c r="F284" s="2">
        <v>4514.8599999999997</v>
      </c>
      <c r="G284" s="2">
        <v>0.09</v>
      </c>
      <c r="H284" s="2">
        <v>0.75</v>
      </c>
      <c r="I284" s="4">
        <v>-641.09</v>
      </c>
      <c r="J284" s="5">
        <v>200.98</v>
      </c>
      <c r="K284" s="5">
        <v>55.96</v>
      </c>
      <c r="L284" s="1" t="s">
        <v>1</v>
      </c>
      <c r="M284" s="1" t="s">
        <v>38</v>
      </c>
      <c r="N284" s="1" t="s">
        <v>13</v>
      </c>
      <c r="O284" s="1" t="s">
        <v>3</v>
      </c>
      <c r="P284" s="1" t="s">
        <v>19</v>
      </c>
      <c r="Q284" s="6">
        <f>C284+1</f>
        <v>39988</v>
      </c>
    </row>
    <row r="285" spans="1:17" ht="15.75" x14ac:dyDescent="0.3">
      <c r="A285" s="1">
        <v>5863</v>
      </c>
      <c r="B285" s="2">
        <v>41606</v>
      </c>
      <c r="C285" s="3">
        <f>DATE(2012,12,31)-1287</f>
        <v>39987</v>
      </c>
      <c r="D285" s="1" t="s">
        <v>17</v>
      </c>
      <c r="E285" s="2">
        <v>30</v>
      </c>
      <c r="F285" s="2">
        <v>79.14</v>
      </c>
      <c r="G285" s="2">
        <v>0.09</v>
      </c>
      <c r="H285" s="2">
        <v>0.59</v>
      </c>
      <c r="I285" s="4">
        <v>-4.7300000000000004</v>
      </c>
      <c r="J285" s="5">
        <v>2.78</v>
      </c>
      <c r="K285" s="5">
        <v>0.97</v>
      </c>
      <c r="L285" s="1" t="s">
        <v>5</v>
      </c>
      <c r="M285" s="1" t="s">
        <v>38</v>
      </c>
      <c r="N285" s="1" t="s">
        <v>13</v>
      </c>
      <c r="O285" s="1" t="s">
        <v>6</v>
      </c>
      <c r="P285" s="1" t="s">
        <v>14</v>
      </c>
      <c r="Q285" s="6">
        <f>C285+1</f>
        <v>39988</v>
      </c>
    </row>
    <row r="286" spans="1:17" ht="15.75" x14ac:dyDescent="0.3">
      <c r="A286" s="1">
        <v>5913</v>
      </c>
      <c r="B286" s="2">
        <v>41926</v>
      </c>
      <c r="C286" s="3">
        <f>DATE(2012,12,31)-695</f>
        <v>40579</v>
      </c>
      <c r="D286" s="1" t="s">
        <v>17</v>
      </c>
      <c r="E286" s="2">
        <v>17</v>
      </c>
      <c r="F286" s="2">
        <v>112.57</v>
      </c>
      <c r="G286" s="2">
        <v>0.08</v>
      </c>
      <c r="H286" s="2">
        <v>0.37</v>
      </c>
      <c r="I286" s="4">
        <v>-28.53</v>
      </c>
      <c r="J286" s="5">
        <v>6.48</v>
      </c>
      <c r="K286" s="5">
        <v>5.14</v>
      </c>
      <c r="L286" s="1" t="s">
        <v>5</v>
      </c>
      <c r="M286" s="1" t="s">
        <v>38</v>
      </c>
      <c r="N286" s="1" t="s">
        <v>13</v>
      </c>
      <c r="O286" s="1" t="s">
        <v>6</v>
      </c>
      <c r="P286" s="1" t="s">
        <v>7</v>
      </c>
      <c r="Q286" s="6">
        <f>C286+1</f>
        <v>40580</v>
      </c>
    </row>
    <row r="287" spans="1:17" ht="15.75" x14ac:dyDescent="0.3">
      <c r="A287" s="1">
        <v>5914</v>
      </c>
      <c r="B287" s="2">
        <v>41926</v>
      </c>
      <c r="C287" s="3">
        <f>DATE(2012,12,31)-695</f>
        <v>40579</v>
      </c>
      <c r="D287" s="1" t="s">
        <v>17</v>
      </c>
      <c r="E287" s="2">
        <v>43</v>
      </c>
      <c r="F287" s="2">
        <v>1562.69</v>
      </c>
      <c r="G287" s="2">
        <v>0</v>
      </c>
      <c r="H287" s="2">
        <v>0.56999999999999995</v>
      </c>
      <c r="I287" s="4">
        <v>287.74</v>
      </c>
      <c r="J287" s="5">
        <v>34.76</v>
      </c>
      <c r="K287" s="5">
        <v>8.2200000000000006</v>
      </c>
      <c r="L287" s="1" t="s">
        <v>5</v>
      </c>
      <c r="M287" s="1" t="s">
        <v>38</v>
      </c>
      <c r="N287" s="1" t="s">
        <v>13</v>
      </c>
      <c r="O287" s="1" t="s">
        <v>6</v>
      </c>
      <c r="P287" s="1" t="s">
        <v>7</v>
      </c>
      <c r="Q287" s="6">
        <f>C287+0</f>
        <v>40579</v>
      </c>
    </row>
    <row r="288" spans="1:17" ht="15.75" x14ac:dyDescent="0.3">
      <c r="A288" s="1">
        <v>7082</v>
      </c>
      <c r="B288" s="2">
        <v>50533</v>
      </c>
      <c r="C288" s="3">
        <f>DATE(2012,12,31)-580</f>
        <v>40694</v>
      </c>
      <c r="D288" s="1" t="s">
        <v>8</v>
      </c>
      <c r="E288" s="2">
        <v>32</v>
      </c>
      <c r="F288" s="2">
        <v>1974.66</v>
      </c>
      <c r="G288" s="2">
        <v>0.06</v>
      </c>
      <c r="H288" s="2">
        <v>0.8</v>
      </c>
      <c r="I288" s="4">
        <v>-929.68</v>
      </c>
      <c r="J288" s="5">
        <v>64.650000000000006</v>
      </c>
      <c r="K288" s="5">
        <v>35</v>
      </c>
      <c r="L288" s="1" t="s">
        <v>9</v>
      </c>
      <c r="M288" s="1" t="s">
        <v>38</v>
      </c>
      <c r="N288" s="1" t="s">
        <v>13</v>
      </c>
      <c r="O288" s="1" t="s">
        <v>6</v>
      </c>
      <c r="P288" s="1" t="s">
        <v>10</v>
      </c>
      <c r="Q288" s="6">
        <f>C288+2</f>
        <v>40696</v>
      </c>
    </row>
    <row r="289" spans="1:17" ht="15.75" x14ac:dyDescent="0.3">
      <c r="A289" s="1">
        <v>7083</v>
      </c>
      <c r="B289" s="2">
        <v>50533</v>
      </c>
      <c r="C289" s="3">
        <f>DATE(2012,12,31)-580</f>
        <v>40694</v>
      </c>
      <c r="D289" s="1" t="s">
        <v>8</v>
      </c>
      <c r="E289" s="2">
        <v>3</v>
      </c>
      <c r="F289" s="2">
        <v>73.44</v>
      </c>
      <c r="G289" s="2">
        <v>0</v>
      </c>
      <c r="H289" s="2">
        <v>0.76</v>
      </c>
      <c r="I289" s="4">
        <v>-53.783999999999999</v>
      </c>
      <c r="J289" s="5">
        <v>15.23</v>
      </c>
      <c r="K289" s="5">
        <v>27.75</v>
      </c>
      <c r="L289" s="1" t="s">
        <v>1</v>
      </c>
      <c r="M289" s="1" t="s">
        <v>38</v>
      </c>
      <c r="N289" s="1" t="s">
        <v>13</v>
      </c>
      <c r="O289" s="1" t="s">
        <v>3</v>
      </c>
      <c r="P289" s="1" t="s">
        <v>19</v>
      </c>
      <c r="Q289" s="6">
        <f>C289+1</f>
        <v>40695</v>
      </c>
    </row>
    <row r="290" spans="1:17" ht="15.75" x14ac:dyDescent="0.3">
      <c r="A290" s="1">
        <v>7252</v>
      </c>
      <c r="B290" s="2">
        <v>51747</v>
      </c>
      <c r="C290" s="3">
        <f>DATE(2012,12,31)-179</f>
        <v>41095</v>
      </c>
      <c r="D290" s="1" t="s">
        <v>12</v>
      </c>
      <c r="E290" s="2">
        <v>3</v>
      </c>
      <c r="F290" s="2">
        <v>12.11</v>
      </c>
      <c r="G290" s="2">
        <v>0.02</v>
      </c>
      <c r="H290" s="2">
        <v>0.38</v>
      </c>
      <c r="I290" s="4">
        <v>-0.98</v>
      </c>
      <c r="J290" s="5">
        <v>3.69</v>
      </c>
      <c r="K290" s="5">
        <v>0.5</v>
      </c>
      <c r="L290" s="1" t="s">
        <v>5</v>
      </c>
      <c r="M290" s="1" t="s">
        <v>38</v>
      </c>
      <c r="N290" s="1" t="s">
        <v>13</v>
      </c>
      <c r="O290" s="1" t="s">
        <v>6</v>
      </c>
      <c r="P290" s="1" t="s">
        <v>7</v>
      </c>
      <c r="Q290" s="6">
        <f>C290+1</f>
        <v>41096</v>
      </c>
    </row>
    <row r="291" spans="1:17" ht="15.75" x14ac:dyDescent="0.3">
      <c r="A291" s="1">
        <v>7469</v>
      </c>
      <c r="B291" s="2">
        <v>53314</v>
      </c>
      <c r="C291" s="3">
        <f>DATE(2012,12,31)-834</f>
        <v>40440</v>
      </c>
      <c r="D291" s="1" t="s">
        <v>17</v>
      </c>
      <c r="E291" s="2">
        <v>33</v>
      </c>
      <c r="F291" s="2">
        <v>2667.92</v>
      </c>
      <c r="G291" s="2">
        <v>0.01</v>
      </c>
      <c r="H291" s="2">
        <v>0.43</v>
      </c>
      <c r="I291" s="4">
        <v>1049.02</v>
      </c>
      <c r="J291" s="5">
        <v>78.69</v>
      </c>
      <c r="K291" s="5">
        <v>19.989999999999998</v>
      </c>
      <c r="L291" s="1" t="s">
        <v>5</v>
      </c>
      <c r="M291" s="1" t="s">
        <v>38</v>
      </c>
      <c r="N291" s="1" t="s">
        <v>15</v>
      </c>
      <c r="O291" s="1" t="s">
        <v>3</v>
      </c>
      <c r="P291" s="1" t="s">
        <v>7</v>
      </c>
      <c r="Q291" s="6">
        <f>C291+0</f>
        <v>40440</v>
      </c>
    </row>
    <row r="292" spans="1:17" ht="15.75" x14ac:dyDescent="0.3">
      <c r="A292" s="1">
        <v>7470</v>
      </c>
      <c r="B292" s="2">
        <v>53314</v>
      </c>
      <c r="C292" s="3">
        <f>DATE(2012,12,31)-834</f>
        <v>40440</v>
      </c>
      <c r="D292" s="1" t="s">
        <v>17</v>
      </c>
      <c r="E292" s="2">
        <v>15</v>
      </c>
      <c r="F292" s="2">
        <v>2236.15</v>
      </c>
      <c r="G292" s="2">
        <v>0.05</v>
      </c>
      <c r="H292" s="2">
        <v>0.69</v>
      </c>
      <c r="I292" s="4">
        <v>-310.95</v>
      </c>
      <c r="J292" s="5">
        <v>145.97999999999999</v>
      </c>
      <c r="K292" s="5">
        <v>51.92</v>
      </c>
      <c r="L292" s="1" t="s">
        <v>1</v>
      </c>
      <c r="M292" s="1" t="s">
        <v>38</v>
      </c>
      <c r="N292" s="1" t="s">
        <v>15</v>
      </c>
      <c r="O292" s="1" t="s">
        <v>3</v>
      </c>
      <c r="P292" s="1" t="s">
        <v>19</v>
      </c>
      <c r="Q292" s="6">
        <f>C292+2</f>
        <v>40442</v>
      </c>
    </row>
    <row r="293" spans="1:17" ht="15.75" x14ac:dyDescent="0.3">
      <c r="A293" s="1">
        <v>7648</v>
      </c>
      <c r="B293" s="2">
        <v>54791</v>
      </c>
      <c r="C293" s="3">
        <f>DATE(2012,12,31)-11</f>
        <v>41263</v>
      </c>
      <c r="D293" s="1" t="s">
        <v>17</v>
      </c>
      <c r="E293" s="2">
        <v>45</v>
      </c>
      <c r="F293" s="2">
        <v>4165.04</v>
      </c>
      <c r="G293" s="2">
        <v>0</v>
      </c>
      <c r="H293" s="2">
        <v>0.61</v>
      </c>
      <c r="I293" s="4">
        <v>135.68</v>
      </c>
      <c r="J293" s="5">
        <v>90.98</v>
      </c>
      <c r="K293" s="5">
        <v>30</v>
      </c>
      <c r="L293" s="1" t="s">
        <v>1</v>
      </c>
      <c r="M293" s="1" t="s">
        <v>38</v>
      </c>
      <c r="N293" s="1" t="s">
        <v>2</v>
      </c>
      <c r="O293" s="1" t="s">
        <v>3</v>
      </c>
      <c r="P293" s="1" t="s">
        <v>4</v>
      </c>
      <c r="Q293" s="6">
        <f>C293+2</f>
        <v>41265</v>
      </c>
    </row>
    <row r="294" spans="1:17" ht="15.75" x14ac:dyDescent="0.3">
      <c r="A294" s="1">
        <v>7657</v>
      </c>
      <c r="B294" s="2">
        <v>54912</v>
      </c>
      <c r="C294" s="3">
        <f>DATE(2012,12,31)-529</f>
        <v>40745</v>
      </c>
      <c r="D294" s="1" t="s">
        <v>16</v>
      </c>
      <c r="E294" s="2">
        <v>17</v>
      </c>
      <c r="F294" s="2">
        <v>117.33</v>
      </c>
      <c r="G294" s="2">
        <v>7.0000000000000007E-2</v>
      </c>
      <c r="H294" s="2">
        <v>0.36</v>
      </c>
      <c r="I294" s="4">
        <v>10.31</v>
      </c>
      <c r="J294" s="5">
        <v>6.69</v>
      </c>
      <c r="K294" s="5">
        <v>3.1</v>
      </c>
      <c r="L294" s="1" t="s">
        <v>5</v>
      </c>
      <c r="M294" s="1" t="s">
        <v>38</v>
      </c>
      <c r="N294" s="1" t="s">
        <v>13</v>
      </c>
      <c r="O294" s="1" t="s">
        <v>6</v>
      </c>
      <c r="P294" s="1" t="s">
        <v>14</v>
      </c>
      <c r="Q294" s="6">
        <f>C294+7</f>
        <v>40752</v>
      </c>
    </row>
    <row r="295" spans="1:17" ht="15.75" x14ac:dyDescent="0.3">
      <c r="A295" s="1">
        <v>7711</v>
      </c>
      <c r="B295" s="2">
        <v>55269</v>
      </c>
      <c r="C295" s="3">
        <f>DATE(2012,12,31)-1030</f>
        <v>40244</v>
      </c>
      <c r="D295" s="1" t="s">
        <v>12</v>
      </c>
      <c r="E295" s="2">
        <v>1</v>
      </c>
      <c r="F295" s="2">
        <v>49.61</v>
      </c>
      <c r="G295" s="2">
        <v>0</v>
      </c>
      <c r="H295" s="2">
        <v>0.4</v>
      </c>
      <c r="I295" s="4">
        <v>-41.82</v>
      </c>
      <c r="J295" s="5">
        <v>30.98</v>
      </c>
      <c r="K295" s="5">
        <v>17.079999999999998</v>
      </c>
      <c r="L295" s="1" t="s">
        <v>5</v>
      </c>
      <c r="M295" s="1" t="s">
        <v>38</v>
      </c>
      <c r="N295" s="1" t="s">
        <v>13</v>
      </c>
      <c r="O295" s="1" t="s">
        <v>6</v>
      </c>
      <c r="P295" s="1" t="s">
        <v>7</v>
      </c>
      <c r="Q295" s="6">
        <f>C295+1</f>
        <v>40245</v>
      </c>
    </row>
    <row r="296" spans="1:17" ht="15.75" x14ac:dyDescent="0.3">
      <c r="A296" s="1">
        <v>7845</v>
      </c>
      <c r="B296" s="2">
        <v>56101</v>
      </c>
      <c r="C296" s="3">
        <f>DATE(2012,12,31)-896</f>
        <v>40378</v>
      </c>
      <c r="D296" s="1" t="s">
        <v>8</v>
      </c>
      <c r="E296" s="2">
        <v>1</v>
      </c>
      <c r="F296" s="2">
        <v>21.45</v>
      </c>
      <c r="G296" s="2">
        <v>0.01</v>
      </c>
      <c r="H296" s="2">
        <v>0.52</v>
      </c>
      <c r="I296" s="4">
        <v>-7.22</v>
      </c>
      <c r="J296" s="5">
        <v>14.42</v>
      </c>
      <c r="K296" s="5">
        <v>6.75</v>
      </c>
      <c r="L296" s="1" t="s">
        <v>5</v>
      </c>
      <c r="M296" s="1" t="s">
        <v>38</v>
      </c>
      <c r="N296" s="1" t="s">
        <v>2</v>
      </c>
      <c r="O296" s="1" t="s">
        <v>6</v>
      </c>
      <c r="P296" s="1" t="s">
        <v>18</v>
      </c>
      <c r="Q296" s="6">
        <f>C296+2</f>
        <v>40380</v>
      </c>
    </row>
    <row r="297" spans="1:17" ht="15.75" x14ac:dyDescent="0.3">
      <c r="A297" s="1">
        <v>7846</v>
      </c>
      <c r="B297" s="2">
        <v>56101</v>
      </c>
      <c r="C297" s="3">
        <f>DATE(2012,12,31)-896</f>
        <v>40378</v>
      </c>
      <c r="D297" s="1" t="s">
        <v>8</v>
      </c>
      <c r="E297" s="2">
        <v>44</v>
      </c>
      <c r="F297" s="2">
        <v>5347.13</v>
      </c>
      <c r="G297" s="2">
        <v>0.08</v>
      </c>
      <c r="H297" s="2">
        <v>0.37</v>
      </c>
      <c r="I297" s="4">
        <v>1886.4134999999999</v>
      </c>
      <c r="J297" s="5">
        <v>122.99</v>
      </c>
      <c r="K297" s="5">
        <v>19.989999999999998</v>
      </c>
      <c r="L297" s="1" t="s">
        <v>5</v>
      </c>
      <c r="M297" s="1" t="s">
        <v>38</v>
      </c>
      <c r="N297" s="1" t="s">
        <v>2</v>
      </c>
      <c r="O297" s="1" t="s">
        <v>6</v>
      </c>
      <c r="P297" s="1" t="s">
        <v>7</v>
      </c>
      <c r="Q297" s="6">
        <f>C297+3</f>
        <v>40381</v>
      </c>
    </row>
    <row r="298" spans="1:17" ht="15.75" x14ac:dyDescent="0.3">
      <c r="A298" s="1">
        <v>7917</v>
      </c>
      <c r="B298" s="2">
        <v>56582</v>
      </c>
      <c r="C298" s="3">
        <f>DATE(2012,12,31)-1298</f>
        <v>39976</v>
      </c>
      <c r="D298" s="1" t="s">
        <v>16</v>
      </c>
      <c r="E298" s="2">
        <v>36</v>
      </c>
      <c r="F298" s="2">
        <v>4581.41</v>
      </c>
      <c r="G298" s="2">
        <v>0.04</v>
      </c>
      <c r="H298" s="2">
        <v>0.69</v>
      </c>
      <c r="I298" s="4">
        <v>-904.73</v>
      </c>
      <c r="J298" s="5">
        <v>130.97999999999999</v>
      </c>
      <c r="K298" s="5">
        <v>54.74</v>
      </c>
      <c r="L298" s="1" t="s">
        <v>1</v>
      </c>
      <c r="M298" s="1" t="s">
        <v>38</v>
      </c>
      <c r="N298" s="1" t="s">
        <v>13</v>
      </c>
      <c r="O298" s="1" t="s">
        <v>3</v>
      </c>
      <c r="P298" s="1" t="s">
        <v>19</v>
      </c>
      <c r="Q298" s="6">
        <f>C298+0</f>
        <v>39976</v>
      </c>
    </row>
    <row r="299" spans="1:17" ht="15.75" x14ac:dyDescent="0.3">
      <c r="A299" s="1">
        <v>7932</v>
      </c>
      <c r="B299" s="2">
        <v>56677</v>
      </c>
      <c r="C299" s="3">
        <f>DATE(2012,12,31)-1360</f>
        <v>39914</v>
      </c>
      <c r="D299" s="1" t="s">
        <v>17</v>
      </c>
      <c r="E299" s="2">
        <v>35</v>
      </c>
      <c r="F299" s="2">
        <v>430.55</v>
      </c>
      <c r="G299" s="2">
        <v>0</v>
      </c>
      <c r="H299" s="2">
        <v>0.55000000000000004</v>
      </c>
      <c r="I299" s="4">
        <v>120.01</v>
      </c>
      <c r="J299" s="5">
        <v>12.22</v>
      </c>
      <c r="K299" s="5">
        <v>2.85</v>
      </c>
      <c r="L299" s="1" t="s">
        <v>5</v>
      </c>
      <c r="M299" s="1" t="s">
        <v>38</v>
      </c>
      <c r="N299" s="1" t="s">
        <v>2</v>
      </c>
      <c r="O299" s="1" t="s">
        <v>3</v>
      </c>
      <c r="P299" s="1" t="s">
        <v>20</v>
      </c>
      <c r="Q299" s="6">
        <f>C299+1</f>
        <v>39915</v>
      </c>
    </row>
    <row r="300" spans="1:17" ht="15.75" x14ac:dyDescent="0.3">
      <c r="A300" s="1">
        <v>8214</v>
      </c>
      <c r="B300" s="2">
        <v>58725</v>
      </c>
      <c r="C300" s="3">
        <f>DATE(2012,12,31)-956</f>
        <v>40318</v>
      </c>
      <c r="D300" s="1" t="s">
        <v>8</v>
      </c>
      <c r="E300" s="2">
        <v>20</v>
      </c>
      <c r="F300" s="2">
        <v>148.31</v>
      </c>
      <c r="G300" s="2">
        <v>0.03</v>
      </c>
      <c r="H300" s="2">
        <v>0.38</v>
      </c>
      <c r="I300" s="4">
        <v>37.33</v>
      </c>
      <c r="J300" s="5">
        <v>7.04</v>
      </c>
      <c r="K300" s="5">
        <v>2.17</v>
      </c>
      <c r="L300" s="1" t="s">
        <v>5</v>
      </c>
      <c r="M300" s="1" t="s">
        <v>38</v>
      </c>
      <c r="N300" s="1" t="s">
        <v>2</v>
      </c>
      <c r="O300" s="1" t="s">
        <v>6</v>
      </c>
      <c r="P300" s="1" t="s">
        <v>14</v>
      </c>
      <c r="Q300" s="6">
        <f>C300+1</f>
        <v>40319</v>
      </c>
    </row>
    <row r="301" spans="1:17" ht="15.75" x14ac:dyDescent="0.3">
      <c r="A301" s="1">
        <v>8349</v>
      </c>
      <c r="B301" s="2">
        <v>59683</v>
      </c>
      <c r="C301" s="3">
        <f>DATE(2012,12,31)-79</f>
        <v>41195</v>
      </c>
      <c r="D301" s="1" t="s">
        <v>8</v>
      </c>
      <c r="E301" s="2">
        <v>37</v>
      </c>
      <c r="F301" s="2">
        <v>191.36</v>
      </c>
      <c r="G301" s="2">
        <v>0.05</v>
      </c>
      <c r="H301" s="2">
        <v>0.38</v>
      </c>
      <c r="I301" s="4">
        <v>-82.086999999999989</v>
      </c>
      <c r="J301" s="5">
        <v>4.91</v>
      </c>
      <c r="K301" s="5">
        <v>4.97</v>
      </c>
      <c r="L301" s="1" t="s">
        <v>5</v>
      </c>
      <c r="M301" s="1" t="s">
        <v>38</v>
      </c>
      <c r="N301" s="1" t="s">
        <v>13</v>
      </c>
      <c r="O301" s="1" t="s">
        <v>6</v>
      </c>
      <c r="P301" s="1" t="s">
        <v>7</v>
      </c>
      <c r="Q301" s="6">
        <f>C301+1</f>
        <v>41196</v>
      </c>
    </row>
    <row r="302" spans="1:17" ht="15.75" x14ac:dyDescent="0.3">
      <c r="A302" s="1">
        <v>133</v>
      </c>
      <c r="B302" s="2">
        <v>837</v>
      </c>
      <c r="C302" s="3">
        <f>DATE(2012,12,31)-1296</f>
        <v>39978</v>
      </c>
      <c r="D302" s="1" t="s">
        <v>8</v>
      </c>
      <c r="E302" s="2">
        <v>11</v>
      </c>
      <c r="F302" s="2">
        <v>65.7</v>
      </c>
      <c r="G302" s="2">
        <v>0.01</v>
      </c>
      <c r="H302" s="2">
        <v>0.49</v>
      </c>
      <c r="I302" s="4">
        <v>13.41</v>
      </c>
      <c r="J302" s="5">
        <v>5.84</v>
      </c>
      <c r="K302" s="5">
        <v>0.83</v>
      </c>
      <c r="L302" s="1" t="s">
        <v>5</v>
      </c>
      <c r="M302" s="1" t="s">
        <v>38</v>
      </c>
      <c r="N302" s="1" t="s">
        <v>2</v>
      </c>
      <c r="O302" s="1" t="s">
        <v>6</v>
      </c>
      <c r="P302" s="1" t="s">
        <v>14</v>
      </c>
      <c r="Q302" s="6">
        <f>C302+2</f>
        <v>39980</v>
      </c>
    </row>
    <row r="303" spans="1:17" ht="15.75" x14ac:dyDescent="0.3">
      <c r="A303" s="1">
        <v>169</v>
      </c>
      <c r="B303" s="2">
        <v>1059</v>
      </c>
      <c r="C303" s="3">
        <f>DATE(2012,12,31)-1404</f>
        <v>39870</v>
      </c>
      <c r="D303" s="1" t="s">
        <v>0</v>
      </c>
      <c r="E303" s="2">
        <v>22</v>
      </c>
      <c r="F303" s="2">
        <v>127.33</v>
      </c>
      <c r="G303" s="2">
        <v>0.02</v>
      </c>
      <c r="H303" s="2">
        <v>0.38</v>
      </c>
      <c r="I303" s="4">
        <v>5.2955000000000005</v>
      </c>
      <c r="J303" s="5">
        <v>5.34</v>
      </c>
      <c r="K303" s="5">
        <v>2.99</v>
      </c>
      <c r="L303" s="1" t="s">
        <v>5</v>
      </c>
      <c r="M303" s="1" t="s">
        <v>38</v>
      </c>
      <c r="N303" s="1" t="s">
        <v>2</v>
      </c>
      <c r="O303" s="1" t="s">
        <v>6</v>
      </c>
      <c r="P303" s="1" t="s">
        <v>7</v>
      </c>
      <c r="Q303" s="6">
        <f>C303+2</f>
        <v>39872</v>
      </c>
    </row>
    <row r="304" spans="1:17" ht="15.75" x14ac:dyDescent="0.3">
      <c r="A304" s="1">
        <v>170</v>
      </c>
      <c r="B304" s="2">
        <v>1059</v>
      </c>
      <c r="C304" s="3">
        <f>DATE(2012,12,31)-1404</f>
        <v>39870</v>
      </c>
      <c r="D304" s="1" t="s">
        <v>0</v>
      </c>
      <c r="E304" s="2">
        <v>24</v>
      </c>
      <c r="F304" s="2">
        <v>990.1</v>
      </c>
      <c r="G304" s="2">
        <v>0.03</v>
      </c>
      <c r="H304" s="2">
        <v>0.37</v>
      </c>
      <c r="I304" s="4">
        <v>310.21600000000001</v>
      </c>
      <c r="J304" s="5">
        <v>40.98</v>
      </c>
      <c r="K304" s="5">
        <v>7.47</v>
      </c>
      <c r="L304" s="1" t="s">
        <v>5</v>
      </c>
      <c r="M304" s="1" t="s">
        <v>38</v>
      </c>
      <c r="N304" s="1" t="s">
        <v>2</v>
      </c>
      <c r="O304" s="1" t="s">
        <v>6</v>
      </c>
      <c r="P304" s="1" t="s">
        <v>7</v>
      </c>
      <c r="Q304" s="6">
        <f>C304+1</f>
        <v>39871</v>
      </c>
    </row>
    <row r="305" spans="1:17" ht="15.75" x14ac:dyDescent="0.3">
      <c r="A305" s="1">
        <v>264</v>
      </c>
      <c r="B305" s="2">
        <v>1826</v>
      </c>
      <c r="C305" s="3">
        <f>DATE(2012,12,31)-260</f>
        <v>41014</v>
      </c>
      <c r="D305" s="1" t="s">
        <v>8</v>
      </c>
      <c r="E305" s="2">
        <v>5</v>
      </c>
      <c r="F305" s="2">
        <v>28.32</v>
      </c>
      <c r="G305" s="2">
        <v>0.09</v>
      </c>
      <c r="H305" s="2">
        <v>0.36</v>
      </c>
      <c r="I305" s="4">
        <v>-14.35</v>
      </c>
      <c r="J305" s="5">
        <v>4.9800000000000004</v>
      </c>
      <c r="K305" s="5">
        <v>4.75</v>
      </c>
      <c r="L305" s="1" t="s">
        <v>5</v>
      </c>
      <c r="M305" s="1" t="s">
        <v>38</v>
      </c>
      <c r="N305" s="1" t="s">
        <v>2</v>
      </c>
      <c r="O305" s="1" t="s">
        <v>6</v>
      </c>
      <c r="P305" s="1" t="s">
        <v>7</v>
      </c>
      <c r="Q305" s="6">
        <f>C305+1</f>
        <v>41015</v>
      </c>
    </row>
    <row r="306" spans="1:17" ht="15.75" x14ac:dyDescent="0.3">
      <c r="A306" s="1">
        <v>288</v>
      </c>
      <c r="B306" s="2">
        <v>2020</v>
      </c>
      <c r="C306" s="3">
        <f>DATE(2012,12,31)-925</f>
        <v>40349</v>
      </c>
      <c r="D306" s="1" t="s">
        <v>12</v>
      </c>
      <c r="E306" s="2">
        <v>42</v>
      </c>
      <c r="F306" s="2">
        <v>213.75</v>
      </c>
      <c r="G306" s="2">
        <v>0.03</v>
      </c>
      <c r="H306" s="2">
        <v>0.79</v>
      </c>
      <c r="I306" s="4">
        <v>-188.77</v>
      </c>
      <c r="J306" s="5">
        <v>5.0199999999999996</v>
      </c>
      <c r="K306" s="5">
        <v>5.14</v>
      </c>
      <c r="L306" s="1" t="s">
        <v>5</v>
      </c>
      <c r="M306" s="1" t="s">
        <v>38</v>
      </c>
      <c r="N306" s="1" t="s">
        <v>15</v>
      </c>
      <c r="O306" s="1" t="s">
        <v>11</v>
      </c>
      <c r="P306" s="1" t="s">
        <v>20</v>
      </c>
      <c r="Q306" s="6">
        <f>C306+2</f>
        <v>40351</v>
      </c>
    </row>
    <row r="307" spans="1:17" ht="15.75" x14ac:dyDescent="0.3">
      <c r="A307" s="1">
        <v>1428</v>
      </c>
      <c r="B307" s="2">
        <v>10340</v>
      </c>
      <c r="C307" s="3">
        <f>DATE(2012,12,31)-558</f>
        <v>40716</v>
      </c>
      <c r="D307" s="1" t="s">
        <v>17</v>
      </c>
      <c r="E307" s="2">
        <v>24</v>
      </c>
      <c r="F307" s="2">
        <v>7547.14</v>
      </c>
      <c r="G307" s="2">
        <v>0.03</v>
      </c>
      <c r="H307" s="2">
        <v>0.55000000000000004</v>
      </c>
      <c r="I307" s="4">
        <v>2080.48</v>
      </c>
      <c r="J307" s="5">
        <v>320.98</v>
      </c>
      <c r="K307" s="5">
        <v>24.49</v>
      </c>
      <c r="L307" s="1" t="s">
        <v>5</v>
      </c>
      <c r="M307" s="1" t="s">
        <v>38</v>
      </c>
      <c r="N307" s="1" t="s">
        <v>15</v>
      </c>
      <c r="O307" s="1" t="s">
        <v>3</v>
      </c>
      <c r="P307" s="1" t="s">
        <v>10</v>
      </c>
      <c r="Q307" s="6">
        <f>C307+1</f>
        <v>40717</v>
      </c>
    </row>
    <row r="308" spans="1:17" ht="15.75" x14ac:dyDescent="0.3">
      <c r="A308" s="1">
        <v>1429</v>
      </c>
      <c r="B308" s="2">
        <v>10340</v>
      </c>
      <c r="C308" s="3">
        <f>DATE(2012,12,31)-558</f>
        <v>40716</v>
      </c>
      <c r="D308" s="1" t="s">
        <v>17</v>
      </c>
      <c r="E308" s="2">
        <v>2</v>
      </c>
      <c r="F308" s="2">
        <v>224.32</v>
      </c>
      <c r="G308" s="2">
        <v>0.08</v>
      </c>
      <c r="H308" s="2">
        <v>0.69</v>
      </c>
      <c r="I308" s="4">
        <v>-178.77</v>
      </c>
      <c r="J308" s="5">
        <v>110.98</v>
      </c>
      <c r="K308" s="5">
        <v>13.99</v>
      </c>
      <c r="L308" s="1" t="s">
        <v>5</v>
      </c>
      <c r="M308" s="1" t="s">
        <v>38</v>
      </c>
      <c r="N308" s="1" t="s">
        <v>15</v>
      </c>
      <c r="O308" s="1" t="s">
        <v>3</v>
      </c>
      <c r="P308" s="1" t="s">
        <v>18</v>
      </c>
      <c r="Q308" s="6">
        <f>C308+1</f>
        <v>40717</v>
      </c>
    </row>
    <row r="309" spans="1:17" ht="15.75" x14ac:dyDescent="0.3">
      <c r="A309" s="1">
        <v>1430</v>
      </c>
      <c r="B309" s="2">
        <v>10340</v>
      </c>
      <c r="C309" s="3">
        <f>DATE(2012,12,31)-558</f>
        <v>40716</v>
      </c>
      <c r="D309" s="1" t="s">
        <v>17</v>
      </c>
      <c r="E309" s="2">
        <v>15</v>
      </c>
      <c r="F309" s="2">
        <v>311.98</v>
      </c>
      <c r="G309" s="2">
        <v>0.09</v>
      </c>
      <c r="H309" s="2">
        <v>0.59</v>
      </c>
      <c r="I309" s="4">
        <v>-9.7799999999999994</v>
      </c>
      <c r="J309" s="5">
        <v>22.01</v>
      </c>
      <c r="K309" s="5">
        <v>5.53</v>
      </c>
      <c r="L309" s="1" t="s">
        <v>5</v>
      </c>
      <c r="M309" s="1" t="s">
        <v>38</v>
      </c>
      <c r="N309" s="1" t="s">
        <v>15</v>
      </c>
      <c r="O309" s="1" t="s">
        <v>6</v>
      </c>
      <c r="P309" s="1" t="s">
        <v>20</v>
      </c>
      <c r="Q309" s="6">
        <f>C309+3</f>
        <v>40719</v>
      </c>
    </row>
    <row r="310" spans="1:17" ht="15.75" x14ac:dyDescent="0.3">
      <c r="A310" s="1">
        <v>1533</v>
      </c>
      <c r="B310" s="2">
        <v>11044</v>
      </c>
      <c r="C310" s="3">
        <f>DATE(2012,12,31)-190</f>
        <v>41084</v>
      </c>
      <c r="D310" s="1" t="s">
        <v>12</v>
      </c>
      <c r="E310" s="2">
        <v>3</v>
      </c>
      <c r="F310" s="2">
        <v>14.49</v>
      </c>
      <c r="G310" s="2">
        <v>0.09</v>
      </c>
      <c r="H310" s="2">
        <v>0.56000000000000005</v>
      </c>
      <c r="I310" s="4">
        <v>-12.58</v>
      </c>
      <c r="J310" s="5">
        <v>3.28</v>
      </c>
      <c r="K310" s="5">
        <v>5</v>
      </c>
      <c r="L310" s="1" t="s">
        <v>5</v>
      </c>
      <c r="M310" s="1" t="s">
        <v>38</v>
      </c>
      <c r="N310" s="1" t="s">
        <v>15</v>
      </c>
      <c r="O310" s="1" t="s">
        <v>6</v>
      </c>
      <c r="P310" s="1" t="s">
        <v>14</v>
      </c>
      <c r="Q310" s="6">
        <f>C310+1</f>
        <v>41085</v>
      </c>
    </row>
    <row r="311" spans="1:17" ht="15.75" x14ac:dyDescent="0.3">
      <c r="A311" s="1">
        <v>1849</v>
      </c>
      <c r="B311" s="2">
        <v>13313</v>
      </c>
      <c r="C311" s="3">
        <f>DATE(2012,12,31)-1264</f>
        <v>40010</v>
      </c>
      <c r="D311" s="1" t="s">
        <v>8</v>
      </c>
      <c r="E311" s="2">
        <v>18</v>
      </c>
      <c r="F311" s="2">
        <v>243.51</v>
      </c>
      <c r="G311" s="2">
        <v>0.02</v>
      </c>
      <c r="H311" s="2">
        <v>0.73</v>
      </c>
      <c r="I311" s="4">
        <v>-159.86000000000001</v>
      </c>
      <c r="J311" s="5">
        <v>12.99</v>
      </c>
      <c r="K311" s="5">
        <v>14.37</v>
      </c>
      <c r="L311" s="1" t="s">
        <v>5</v>
      </c>
      <c r="M311" s="1" t="s">
        <v>38</v>
      </c>
      <c r="N311" s="1" t="s">
        <v>15</v>
      </c>
      <c r="O311" s="1" t="s">
        <v>3</v>
      </c>
      <c r="P311" s="1" t="s">
        <v>10</v>
      </c>
      <c r="Q311" s="6">
        <f>C311+2</f>
        <v>40012</v>
      </c>
    </row>
    <row r="312" spans="1:17" ht="15.75" x14ac:dyDescent="0.3">
      <c r="A312" s="1">
        <v>1850</v>
      </c>
      <c r="B312" s="2">
        <v>13313</v>
      </c>
      <c r="C312" s="3">
        <f>DATE(2012,12,31)-1264</f>
        <v>40010</v>
      </c>
      <c r="D312" s="1" t="s">
        <v>8</v>
      </c>
      <c r="E312" s="2">
        <v>22</v>
      </c>
      <c r="F312" s="2">
        <v>755.6</v>
      </c>
      <c r="G312" s="2">
        <v>0.05</v>
      </c>
      <c r="H312" s="2">
        <v>0.38</v>
      </c>
      <c r="I312" s="4">
        <v>223.44</v>
      </c>
      <c r="J312" s="5">
        <v>35.44</v>
      </c>
      <c r="K312" s="5">
        <v>7.5</v>
      </c>
      <c r="L312" s="1" t="s">
        <v>5</v>
      </c>
      <c r="M312" s="1" t="s">
        <v>38</v>
      </c>
      <c r="N312" s="1" t="s">
        <v>15</v>
      </c>
      <c r="O312" s="1" t="s">
        <v>6</v>
      </c>
      <c r="P312" s="1" t="s">
        <v>7</v>
      </c>
      <c r="Q312" s="6">
        <f>C312+2</f>
        <v>40012</v>
      </c>
    </row>
    <row r="313" spans="1:17" ht="15.75" x14ac:dyDescent="0.3">
      <c r="A313" s="1">
        <v>1851</v>
      </c>
      <c r="B313" s="2">
        <v>13313</v>
      </c>
      <c r="C313" s="3">
        <f>DATE(2012,12,31)-1264</f>
        <v>40010</v>
      </c>
      <c r="D313" s="1" t="s">
        <v>8</v>
      </c>
      <c r="E313" s="2">
        <v>45</v>
      </c>
      <c r="F313" s="2">
        <v>592.73</v>
      </c>
      <c r="G313" s="2">
        <v>0.02</v>
      </c>
      <c r="H313" s="2">
        <v>0.6</v>
      </c>
      <c r="I313" s="4">
        <v>75.010000000000005</v>
      </c>
      <c r="J313" s="5">
        <v>12.98</v>
      </c>
      <c r="K313" s="5">
        <v>3.14</v>
      </c>
      <c r="L313" s="1" t="s">
        <v>5</v>
      </c>
      <c r="M313" s="1" t="s">
        <v>38</v>
      </c>
      <c r="N313" s="1" t="s">
        <v>15</v>
      </c>
      <c r="O313" s="1" t="s">
        <v>6</v>
      </c>
      <c r="P313" s="1" t="s">
        <v>20</v>
      </c>
      <c r="Q313" s="6">
        <f>C313+3</f>
        <v>40013</v>
      </c>
    </row>
    <row r="314" spans="1:17" ht="15.75" x14ac:dyDescent="0.3">
      <c r="A314" s="1">
        <v>2182</v>
      </c>
      <c r="B314" s="2">
        <v>15718</v>
      </c>
      <c r="C314" s="3">
        <f>DATE(2012,12,31)-1434</f>
        <v>39840</v>
      </c>
      <c r="D314" s="1" t="s">
        <v>0</v>
      </c>
      <c r="E314" s="2">
        <v>36</v>
      </c>
      <c r="F314" s="2">
        <v>100.87</v>
      </c>
      <c r="G314" s="2">
        <v>0.09</v>
      </c>
      <c r="H314" s="2">
        <v>0.57999999999999996</v>
      </c>
      <c r="I314" s="4">
        <v>8.4</v>
      </c>
      <c r="J314" s="5">
        <v>2.94</v>
      </c>
      <c r="K314" s="5">
        <v>0.7</v>
      </c>
      <c r="L314" s="1" t="s">
        <v>5</v>
      </c>
      <c r="M314" s="1" t="s">
        <v>38</v>
      </c>
      <c r="N314" s="1" t="s">
        <v>2</v>
      </c>
      <c r="O314" s="1" t="s">
        <v>6</v>
      </c>
      <c r="P314" s="1" t="s">
        <v>14</v>
      </c>
      <c r="Q314" s="6">
        <f>C314+1</f>
        <v>39841</v>
      </c>
    </row>
    <row r="315" spans="1:17" ht="15.75" x14ac:dyDescent="0.3">
      <c r="A315" s="1">
        <v>2410</v>
      </c>
      <c r="B315" s="2">
        <v>17506</v>
      </c>
      <c r="C315" s="3">
        <f>DATE(2012,12,31)-1037</f>
        <v>40237</v>
      </c>
      <c r="D315" s="1" t="s">
        <v>16</v>
      </c>
      <c r="E315" s="2">
        <v>33</v>
      </c>
      <c r="F315" s="2">
        <v>9473.31</v>
      </c>
      <c r="G315" s="2">
        <v>0.03</v>
      </c>
      <c r="H315" s="2">
        <v>0.56999999999999995</v>
      </c>
      <c r="I315" s="4">
        <v>1939.11</v>
      </c>
      <c r="J315" s="5">
        <v>294.62</v>
      </c>
      <c r="K315" s="5">
        <v>42.52</v>
      </c>
      <c r="L315" s="1" t="s">
        <v>1</v>
      </c>
      <c r="M315" s="1" t="s">
        <v>38</v>
      </c>
      <c r="N315" s="1" t="s">
        <v>15</v>
      </c>
      <c r="O315" s="1" t="s">
        <v>6</v>
      </c>
      <c r="P315" s="1" t="s">
        <v>4</v>
      </c>
      <c r="Q315" s="6">
        <f>C315+4</f>
        <v>40241</v>
      </c>
    </row>
    <row r="316" spans="1:17" ht="15.75" x14ac:dyDescent="0.3">
      <c r="A316" s="1">
        <v>2766</v>
      </c>
      <c r="B316" s="2">
        <v>20003</v>
      </c>
      <c r="C316" s="3">
        <f>DATE(2012,12,31)-336</f>
        <v>40938</v>
      </c>
      <c r="D316" s="1" t="s">
        <v>12</v>
      </c>
      <c r="E316" s="2">
        <v>39</v>
      </c>
      <c r="F316" s="2">
        <v>796.08</v>
      </c>
      <c r="G316" s="2">
        <v>0.05</v>
      </c>
      <c r="H316" s="2">
        <v>0.68</v>
      </c>
      <c r="I316" s="4">
        <v>30.29</v>
      </c>
      <c r="J316" s="5">
        <v>19.98</v>
      </c>
      <c r="K316" s="5">
        <v>4</v>
      </c>
      <c r="L316" s="1" t="s">
        <v>5</v>
      </c>
      <c r="M316" s="1" t="s">
        <v>38</v>
      </c>
      <c r="N316" s="1" t="s">
        <v>2</v>
      </c>
      <c r="O316" s="1" t="s">
        <v>11</v>
      </c>
      <c r="P316" s="1" t="s">
        <v>7</v>
      </c>
      <c r="Q316" s="6">
        <f>C316+1</f>
        <v>40939</v>
      </c>
    </row>
    <row r="317" spans="1:17" ht="15.75" x14ac:dyDescent="0.3">
      <c r="A317" s="1">
        <v>2882</v>
      </c>
      <c r="B317" s="2">
        <v>20805</v>
      </c>
      <c r="C317" s="3">
        <f>DATE(2012,12,31)-721</f>
        <v>40553</v>
      </c>
      <c r="D317" s="1" t="s">
        <v>17</v>
      </c>
      <c r="E317" s="2">
        <v>12</v>
      </c>
      <c r="F317" s="2">
        <v>69.98</v>
      </c>
      <c r="G317" s="2">
        <v>0.06</v>
      </c>
      <c r="H317" s="2">
        <v>0.39</v>
      </c>
      <c r="I317" s="4">
        <v>-58.327999999999996</v>
      </c>
      <c r="J317" s="5">
        <v>5.53</v>
      </c>
      <c r="K317" s="5">
        <v>6.98</v>
      </c>
      <c r="L317" s="1" t="s">
        <v>5</v>
      </c>
      <c r="M317" s="1" t="s">
        <v>38</v>
      </c>
      <c r="N317" s="1" t="s">
        <v>15</v>
      </c>
      <c r="O317" s="1" t="s">
        <v>6</v>
      </c>
      <c r="P317" s="1" t="s">
        <v>7</v>
      </c>
      <c r="Q317" s="6">
        <f>C317+3</f>
        <v>40556</v>
      </c>
    </row>
    <row r="318" spans="1:17" ht="15.75" x14ac:dyDescent="0.3">
      <c r="A318" s="1">
        <v>2883</v>
      </c>
      <c r="B318" s="2">
        <v>20805</v>
      </c>
      <c r="C318" s="3">
        <f>DATE(2012,12,31)-721</f>
        <v>40553</v>
      </c>
      <c r="D318" s="1" t="s">
        <v>17</v>
      </c>
      <c r="E318" s="2">
        <v>35</v>
      </c>
      <c r="F318" s="2">
        <v>418.34</v>
      </c>
      <c r="G318" s="2">
        <v>0.08</v>
      </c>
      <c r="H318" s="2">
        <v>0.43</v>
      </c>
      <c r="I318" s="4">
        <v>73.569999999999993</v>
      </c>
      <c r="J318" s="5">
        <v>12.58</v>
      </c>
      <c r="K318" s="5">
        <v>5.16</v>
      </c>
      <c r="L318" s="1" t="s">
        <v>5</v>
      </c>
      <c r="M318" s="1" t="s">
        <v>38</v>
      </c>
      <c r="N318" s="1" t="s">
        <v>15</v>
      </c>
      <c r="O318" s="1" t="s">
        <v>3</v>
      </c>
      <c r="P318" s="1" t="s">
        <v>7</v>
      </c>
      <c r="Q318" s="6">
        <f>C318+2</f>
        <v>40555</v>
      </c>
    </row>
    <row r="319" spans="1:17" ht="15.75" x14ac:dyDescent="0.3">
      <c r="A319" s="1">
        <v>2884</v>
      </c>
      <c r="B319" s="2">
        <v>20805</v>
      </c>
      <c r="C319" s="3">
        <f>DATE(2012,12,31)-721</f>
        <v>40553</v>
      </c>
      <c r="D319" s="1" t="s">
        <v>17</v>
      </c>
      <c r="E319" s="2">
        <v>3</v>
      </c>
      <c r="F319" s="2">
        <v>17.7</v>
      </c>
      <c r="G319" s="2">
        <v>0.06</v>
      </c>
      <c r="H319" s="2">
        <v>0.4</v>
      </c>
      <c r="I319" s="4">
        <v>-10.37</v>
      </c>
      <c r="J319" s="5">
        <v>4.28</v>
      </c>
      <c r="K319" s="5">
        <v>4.79</v>
      </c>
      <c r="L319" s="1" t="s">
        <v>5</v>
      </c>
      <c r="M319" s="1" t="s">
        <v>38</v>
      </c>
      <c r="N319" s="1" t="s">
        <v>15</v>
      </c>
      <c r="O319" s="1" t="s">
        <v>6</v>
      </c>
      <c r="P319" s="1" t="s">
        <v>7</v>
      </c>
      <c r="Q319" s="6">
        <f>C319+1</f>
        <v>40554</v>
      </c>
    </row>
    <row r="320" spans="1:17" ht="15.75" x14ac:dyDescent="0.3">
      <c r="A320" s="1">
        <v>2885</v>
      </c>
      <c r="B320" s="2">
        <v>20805</v>
      </c>
      <c r="C320" s="3">
        <f>DATE(2012,12,31)-721</f>
        <v>40553</v>
      </c>
      <c r="D320" s="1" t="s">
        <v>17</v>
      </c>
      <c r="E320" s="2">
        <v>12</v>
      </c>
      <c r="F320" s="2">
        <v>45.61</v>
      </c>
      <c r="G320" s="2">
        <v>0.1</v>
      </c>
      <c r="H320" s="2">
        <v>0.44</v>
      </c>
      <c r="I320" s="4">
        <v>9.18</v>
      </c>
      <c r="J320" s="5">
        <v>3.85</v>
      </c>
      <c r="K320" s="5">
        <v>0.7</v>
      </c>
      <c r="L320" s="1" t="s">
        <v>5</v>
      </c>
      <c r="M320" s="1" t="s">
        <v>38</v>
      </c>
      <c r="N320" s="1" t="s">
        <v>15</v>
      </c>
      <c r="O320" s="1" t="s">
        <v>6</v>
      </c>
      <c r="P320" s="1" t="s">
        <v>14</v>
      </c>
      <c r="Q320" s="6">
        <f>C320+1</f>
        <v>40554</v>
      </c>
    </row>
    <row r="321" spans="1:17" ht="15.75" x14ac:dyDescent="0.3">
      <c r="A321" s="1">
        <v>3290</v>
      </c>
      <c r="B321" s="2">
        <v>23524</v>
      </c>
      <c r="C321" s="3">
        <f>DATE(2012,12,31)-1343</f>
        <v>39931</v>
      </c>
      <c r="D321" s="1" t="s">
        <v>17</v>
      </c>
      <c r="E321" s="2">
        <v>28</v>
      </c>
      <c r="F321" s="2">
        <v>129.33000000000001</v>
      </c>
      <c r="G321" s="2">
        <v>0.04</v>
      </c>
      <c r="H321" s="2">
        <v>0.39</v>
      </c>
      <c r="I321" s="4">
        <v>48.25</v>
      </c>
      <c r="J321" s="5">
        <v>4.13</v>
      </c>
      <c r="K321" s="5">
        <v>0.99</v>
      </c>
      <c r="L321" s="1" t="s">
        <v>9</v>
      </c>
      <c r="M321" s="1" t="s">
        <v>38</v>
      </c>
      <c r="N321" s="1" t="s">
        <v>15</v>
      </c>
      <c r="O321" s="1" t="s">
        <v>6</v>
      </c>
      <c r="P321" s="1" t="s">
        <v>7</v>
      </c>
      <c r="Q321" s="6">
        <f>C321+2</f>
        <v>39933</v>
      </c>
    </row>
    <row r="322" spans="1:17" ht="15.75" x14ac:dyDescent="0.3">
      <c r="A322" s="1">
        <v>3291</v>
      </c>
      <c r="B322" s="2">
        <v>23524</v>
      </c>
      <c r="C322" s="3">
        <f>DATE(2012,12,31)-1343</f>
        <v>39931</v>
      </c>
      <c r="D322" s="1" t="s">
        <v>17</v>
      </c>
      <c r="E322" s="2">
        <v>46</v>
      </c>
      <c r="F322" s="2">
        <v>2461.23</v>
      </c>
      <c r="G322" s="2">
        <v>0.06</v>
      </c>
      <c r="H322" s="2">
        <v>0.37</v>
      </c>
      <c r="I322" s="4">
        <v>748.2</v>
      </c>
      <c r="J322" s="5">
        <v>55.48</v>
      </c>
      <c r="K322" s="5">
        <v>14.3</v>
      </c>
      <c r="L322" s="1" t="s">
        <v>5</v>
      </c>
      <c r="M322" s="1" t="s">
        <v>38</v>
      </c>
      <c r="N322" s="1" t="s">
        <v>15</v>
      </c>
      <c r="O322" s="1" t="s">
        <v>6</v>
      </c>
      <c r="P322" s="1" t="s">
        <v>7</v>
      </c>
      <c r="Q322" s="6">
        <f>C322+2</f>
        <v>39933</v>
      </c>
    </row>
    <row r="323" spans="1:17" ht="15.75" x14ac:dyDescent="0.3">
      <c r="A323" s="1">
        <v>4201</v>
      </c>
      <c r="B323" s="2">
        <v>29860</v>
      </c>
      <c r="C323" s="3">
        <f>DATE(2012,12,31)-1205</f>
        <v>40069</v>
      </c>
      <c r="D323" s="1" t="s">
        <v>0</v>
      </c>
      <c r="E323" s="2">
        <v>48</v>
      </c>
      <c r="F323" s="2">
        <v>8295.2900000000009</v>
      </c>
      <c r="G323" s="2">
        <v>0.08</v>
      </c>
      <c r="H323" s="2">
        <v>0.55000000000000004</v>
      </c>
      <c r="I323" s="4">
        <v>2267.2199999999998</v>
      </c>
      <c r="J323" s="5">
        <v>178.47</v>
      </c>
      <c r="K323" s="5">
        <v>19.989999999999998</v>
      </c>
      <c r="L323" s="1" t="s">
        <v>5</v>
      </c>
      <c r="M323" s="1" t="s">
        <v>38</v>
      </c>
      <c r="N323" s="1" t="s">
        <v>15</v>
      </c>
      <c r="O323" s="1" t="s">
        <v>6</v>
      </c>
      <c r="P323" s="1" t="s">
        <v>7</v>
      </c>
      <c r="Q323" s="6">
        <f>C323+3</f>
        <v>40072</v>
      </c>
    </row>
    <row r="324" spans="1:17" ht="15.75" x14ac:dyDescent="0.3">
      <c r="A324" s="1">
        <v>4325</v>
      </c>
      <c r="B324" s="2">
        <v>30787</v>
      </c>
      <c r="C324" s="3">
        <f>DATE(2012,12,31)-461</f>
        <v>40813</v>
      </c>
      <c r="D324" s="1" t="s">
        <v>17</v>
      </c>
      <c r="E324" s="2">
        <v>43</v>
      </c>
      <c r="F324" s="2">
        <v>6477.4589999999998</v>
      </c>
      <c r="G324" s="2">
        <v>0.05</v>
      </c>
      <c r="H324" s="2">
        <v>0.56999999999999995</v>
      </c>
      <c r="I324" s="4">
        <v>1836.4590000000001</v>
      </c>
      <c r="J324" s="5">
        <v>175.99</v>
      </c>
      <c r="K324" s="5">
        <v>8.99</v>
      </c>
      <c r="L324" s="1" t="s">
        <v>5</v>
      </c>
      <c r="M324" s="1" t="s">
        <v>38</v>
      </c>
      <c r="N324" s="1" t="s">
        <v>15</v>
      </c>
      <c r="O324" s="1" t="s">
        <v>11</v>
      </c>
      <c r="P324" s="1" t="s">
        <v>7</v>
      </c>
      <c r="Q324" s="6">
        <f>C324+1</f>
        <v>40814</v>
      </c>
    </row>
    <row r="325" spans="1:17" ht="15.75" x14ac:dyDescent="0.3">
      <c r="A325" s="1">
        <v>5258</v>
      </c>
      <c r="B325" s="2">
        <v>37440</v>
      </c>
      <c r="C325" s="3">
        <f>DATE(2012,12,31)-922</f>
        <v>40352</v>
      </c>
      <c r="D325" s="1" t="s">
        <v>8</v>
      </c>
      <c r="E325" s="2">
        <v>31</v>
      </c>
      <c r="F325" s="2">
        <v>295.45</v>
      </c>
      <c r="G325" s="2">
        <v>0.03</v>
      </c>
      <c r="H325" s="2">
        <v>0.56999999999999995</v>
      </c>
      <c r="I325" s="4">
        <v>-4.3600000000000003</v>
      </c>
      <c r="J325" s="5">
        <v>9.3800000000000008</v>
      </c>
      <c r="K325" s="5">
        <v>4.93</v>
      </c>
      <c r="L325" s="1" t="s">
        <v>5</v>
      </c>
      <c r="M325" s="1" t="s">
        <v>38</v>
      </c>
      <c r="N325" s="1" t="s">
        <v>2</v>
      </c>
      <c r="O325" s="1" t="s">
        <v>3</v>
      </c>
      <c r="P325" s="1" t="s">
        <v>7</v>
      </c>
      <c r="Q325" s="6">
        <f>C325+2</f>
        <v>40354</v>
      </c>
    </row>
    <row r="326" spans="1:17" ht="15.75" x14ac:dyDescent="0.3">
      <c r="A326" s="1">
        <v>5633</v>
      </c>
      <c r="B326" s="2">
        <v>39872</v>
      </c>
      <c r="C326" s="3">
        <f>DATE(2012,12,31)-1043</f>
        <v>40231</v>
      </c>
      <c r="D326" s="1" t="s">
        <v>0</v>
      </c>
      <c r="E326" s="2">
        <v>5</v>
      </c>
      <c r="F326" s="2">
        <v>16.239999999999998</v>
      </c>
      <c r="G326" s="2">
        <v>0.01</v>
      </c>
      <c r="H326" s="2">
        <v>0.36</v>
      </c>
      <c r="I326" s="4">
        <v>0.35000000000000053</v>
      </c>
      <c r="J326" s="5">
        <v>2.88</v>
      </c>
      <c r="K326" s="5">
        <v>0.99</v>
      </c>
      <c r="L326" s="1" t="s">
        <v>5</v>
      </c>
      <c r="M326" s="1" t="s">
        <v>38</v>
      </c>
      <c r="N326" s="1" t="s">
        <v>15</v>
      </c>
      <c r="O326" s="1" t="s">
        <v>6</v>
      </c>
      <c r="P326" s="1" t="s">
        <v>7</v>
      </c>
      <c r="Q326" s="6">
        <f>C326+1</f>
        <v>40232</v>
      </c>
    </row>
    <row r="327" spans="1:17" ht="15.75" x14ac:dyDescent="0.3">
      <c r="A327" s="1">
        <v>5646</v>
      </c>
      <c r="B327" s="2">
        <v>39943</v>
      </c>
      <c r="C327" s="3">
        <f>DATE(2012,12,31)-207</f>
        <v>41067</v>
      </c>
      <c r="D327" s="1" t="s">
        <v>17</v>
      </c>
      <c r="E327" s="2">
        <v>16</v>
      </c>
      <c r="F327" s="2">
        <v>28.65</v>
      </c>
      <c r="G327" s="2">
        <v>0.02</v>
      </c>
      <c r="H327" s="2">
        <v>0.51</v>
      </c>
      <c r="I327" s="4">
        <v>-23.86</v>
      </c>
      <c r="J327" s="5">
        <v>1.7</v>
      </c>
      <c r="K327" s="5">
        <v>1.99</v>
      </c>
      <c r="L327" s="1" t="s">
        <v>5</v>
      </c>
      <c r="M327" s="1" t="s">
        <v>38</v>
      </c>
      <c r="N327" s="1" t="s">
        <v>21</v>
      </c>
      <c r="O327" s="1" t="s">
        <v>11</v>
      </c>
      <c r="P327" s="1" t="s">
        <v>20</v>
      </c>
      <c r="Q327" s="6">
        <f>C327+1</f>
        <v>41068</v>
      </c>
    </row>
    <row r="328" spans="1:17" ht="15.75" x14ac:dyDescent="0.3">
      <c r="A328" s="1">
        <v>5647</v>
      </c>
      <c r="B328" s="2">
        <v>39943</v>
      </c>
      <c r="C328" s="3">
        <f>DATE(2012,12,31)-207</f>
        <v>41067</v>
      </c>
      <c r="D328" s="1" t="s">
        <v>17</v>
      </c>
      <c r="E328" s="2">
        <v>12</v>
      </c>
      <c r="F328" s="2">
        <v>201.535</v>
      </c>
      <c r="G328" s="2">
        <v>0.09</v>
      </c>
      <c r="H328" s="2">
        <v>0.81</v>
      </c>
      <c r="I328" s="4">
        <v>-122.617</v>
      </c>
      <c r="J328" s="5">
        <v>20.99</v>
      </c>
      <c r="K328" s="5">
        <v>3.3</v>
      </c>
      <c r="L328" s="1" t="s">
        <v>5</v>
      </c>
      <c r="M328" s="1" t="s">
        <v>38</v>
      </c>
      <c r="N328" s="1" t="s">
        <v>21</v>
      </c>
      <c r="O328" s="1" t="s">
        <v>11</v>
      </c>
      <c r="P328" s="1" t="s">
        <v>20</v>
      </c>
      <c r="Q328" s="6">
        <f>C328+2</f>
        <v>41069</v>
      </c>
    </row>
    <row r="329" spans="1:17" ht="15.75" x14ac:dyDescent="0.3">
      <c r="A329" s="1">
        <v>5985</v>
      </c>
      <c r="B329" s="2">
        <v>42405</v>
      </c>
      <c r="C329" s="3">
        <f>DATE(2012,12,31)-1075</f>
        <v>40199</v>
      </c>
      <c r="D329" s="1" t="s">
        <v>17</v>
      </c>
      <c r="E329" s="2">
        <v>13</v>
      </c>
      <c r="F329" s="2">
        <v>81.680000000000007</v>
      </c>
      <c r="G329" s="2">
        <v>0.08</v>
      </c>
      <c r="H329" s="2">
        <v>0.36</v>
      </c>
      <c r="I329" s="4">
        <v>-25.22</v>
      </c>
      <c r="J329" s="5">
        <v>5.98</v>
      </c>
      <c r="K329" s="5">
        <v>5.15</v>
      </c>
      <c r="L329" s="1" t="s">
        <v>5</v>
      </c>
      <c r="M329" s="1" t="s">
        <v>38</v>
      </c>
      <c r="N329" s="1" t="s">
        <v>15</v>
      </c>
      <c r="O329" s="1" t="s">
        <v>6</v>
      </c>
      <c r="P329" s="1" t="s">
        <v>7</v>
      </c>
      <c r="Q329" s="6">
        <f>C329+2</f>
        <v>40201</v>
      </c>
    </row>
    <row r="330" spans="1:17" ht="15.75" x14ac:dyDescent="0.3">
      <c r="A330" s="1">
        <v>6631</v>
      </c>
      <c r="B330" s="2">
        <v>47171</v>
      </c>
      <c r="C330" s="3">
        <f>DATE(2012,12,31)-1089</f>
        <v>40185</v>
      </c>
      <c r="D330" s="1" t="s">
        <v>12</v>
      </c>
      <c r="E330" s="2">
        <v>21</v>
      </c>
      <c r="F330" s="2">
        <v>147.16</v>
      </c>
      <c r="G330" s="2">
        <v>0.01</v>
      </c>
      <c r="H330" s="2">
        <v>0.37</v>
      </c>
      <c r="I330" s="4">
        <v>-92.55</v>
      </c>
      <c r="J330" s="5">
        <v>6.48</v>
      </c>
      <c r="K330" s="5">
        <v>8.4</v>
      </c>
      <c r="L330" s="1" t="s">
        <v>5</v>
      </c>
      <c r="M330" s="1" t="s">
        <v>38</v>
      </c>
      <c r="N330" s="1" t="s">
        <v>15</v>
      </c>
      <c r="O330" s="1" t="s">
        <v>6</v>
      </c>
      <c r="P330" s="1" t="s">
        <v>7</v>
      </c>
      <c r="Q330" s="6">
        <f>C330+1</f>
        <v>40186</v>
      </c>
    </row>
    <row r="331" spans="1:17" ht="15.75" x14ac:dyDescent="0.3">
      <c r="A331" s="1">
        <v>6632</v>
      </c>
      <c r="B331" s="2">
        <v>47171</v>
      </c>
      <c r="C331" s="3">
        <f>DATE(2012,12,31)-1089</f>
        <v>40185</v>
      </c>
      <c r="D331" s="1" t="s">
        <v>12</v>
      </c>
      <c r="E331" s="2">
        <v>19</v>
      </c>
      <c r="F331" s="2">
        <v>50.07</v>
      </c>
      <c r="G331" s="2">
        <v>0.03</v>
      </c>
      <c r="H331" s="2">
        <v>0.56999999999999995</v>
      </c>
      <c r="I331" s="4">
        <v>-0.53</v>
      </c>
      <c r="J331" s="5">
        <v>2.67</v>
      </c>
      <c r="K331" s="5">
        <v>0.86</v>
      </c>
      <c r="L331" s="1" t="s">
        <v>5</v>
      </c>
      <c r="M331" s="1" t="s">
        <v>38</v>
      </c>
      <c r="N331" s="1" t="s">
        <v>15</v>
      </c>
      <c r="O331" s="1" t="s">
        <v>6</v>
      </c>
      <c r="P331" s="1" t="s">
        <v>14</v>
      </c>
      <c r="Q331" s="6">
        <f>C331+1</f>
        <v>40186</v>
      </c>
    </row>
    <row r="332" spans="1:17" ht="15.75" x14ac:dyDescent="0.3">
      <c r="A332" s="1">
        <v>6633</v>
      </c>
      <c r="B332" s="2">
        <v>47171</v>
      </c>
      <c r="C332" s="3">
        <f>DATE(2012,12,31)-1089</f>
        <v>40185</v>
      </c>
      <c r="D332" s="1" t="s">
        <v>12</v>
      </c>
      <c r="E332" s="2">
        <v>32</v>
      </c>
      <c r="F332" s="2">
        <v>6982.87</v>
      </c>
      <c r="G332" s="2">
        <v>0.05</v>
      </c>
      <c r="H332" s="2">
        <v>0.68</v>
      </c>
      <c r="I332" s="4">
        <v>875.55</v>
      </c>
      <c r="J332" s="5">
        <v>217.85</v>
      </c>
      <c r="K332" s="5">
        <v>29.1</v>
      </c>
      <c r="L332" s="1" t="s">
        <v>1</v>
      </c>
      <c r="M332" s="1" t="s">
        <v>38</v>
      </c>
      <c r="N332" s="1" t="s">
        <v>15</v>
      </c>
      <c r="O332" s="1" t="s">
        <v>3</v>
      </c>
      <c r="P332" s="1" t="s">
        <v>19</v>
      </c>
      <c r="Q332" s="6">
        <f>C332+0</f>
        <v>40185</v>
      </c>
    </row>
    <row r="333" spans="1:17" ht="15.75" x14ac:dyDescent="0.3">
      <c r="A333" s="1">
        <v>6820</v>
      </c>
      <c r="B333" s="2">
        <v>48576</v>
      </c>
      <c r="C333" s="3">
        <f>DATE(2012,12,31)-30</f>
        <v>41244</v>
      </c>
      <c r="D333" s="1" t="s">
        <v>8</v>
      </c>
      <c r="E333" s="2">
        <v>17</v>
      </c>
      <c r="F333" s="2">
        <v>464.59</v>
      </c>
      <c r="G333" s="2">
        <v>7.0000000000000007E-2</v>
      </c>
      <c r="H333" s="2">
        <v>0.38</v>
      </c>
      <c r="I333" s="4">
        <v>168.215</v>
      </c>
      <c r="J333" s="5">
        <v>28.53</v>
      </c>
      <c r="K333" s="5">
        <v>1.49</v>
      </c>
      <c r="L333" s="1" t="s">
        <v>5</v>
      </c>
      <c r="M333" s="1" t="s">
        <v>38</v>
      </c>
      <c r="N333" s="1" t="s">
        <v>15</v>
      </c>
      <c r="O333" s="1" t="s">
        <v>6</v>
      </c>
      <c r="P333" s="1" t="s">
        <v>7</v>
      </c>
      <c r="Q333" s="6">
        <f>C333+1</f>
        <v>41245</v>
      </c>
    </row>
    <row r="334" spans="1:17" ht="15.75" x14ac:dyDescent="0.3">
      <c r="A334" s="1">
        <v>6821</v>
      </c>
      <c r="B334" s="2">
        <v>48576</v>
      </c>
      <c r="C334" s="3">
        <f>DATE(2012,12,31)-30</f>
        <v>41244</v>
      </c>
      <c r="D334" s="1" t="s">
        <v>8</v>
      </c>
      <c r="E334" s="2">
        <v>47</v>
      </c>
      <c r="F334" s="2">
        <v>316.68</v>
      </c>
      <c r="G334" s="2">
        <v>0.06</v>
      </c>
      <c r="H334" s="2">
        <v>0.37</v>
      </c>
      <c r="I334" s="4">
        <v>-161</v>
      </c>
      <c r="J334" s="5">
        <v>6.48</v>
      </c>
      <c r="K334" s="5">
        <v>7.49</v>
      </c>
      <c r="L334" s="1" t="s">
        <v>5</v>
      </c>
      <c r="M334" s="1" t="s">
        <v>38</v>
      </c>
      <c r="N334" s="1" t="s">
        <v>15</v>
      </c>
      <c r="O334" s="1" t="s">
        <v>6</v>
      </c>
      <c r="P334" s="1" t="s">
        <v>7</v>
      </c>
      <c r="Q334" s="6">
        <f>C334+2</f>
        <v>41246</v>
      </c>
    </row>
    <row r="335" spans="1:17" ht="15.75" x14ac:dyDescent="0.3">
      <c r="A335" s="1">
        <v>7547</v>
      </c>
      <c r="B335" s="2">
        <v>53984</v>
      </c>
      <c r="C335" s="3">
        <f>DATE(2012,12,31)-21</f>
        <v>41253</v>
      </c>
      <c r="D335" s="1" t="s">
        <v>12</v>
      </c>
      <c r="E335" s="2">
        <v>23</v>
      </c>
      <c r="F335" s="2">
        <v>172.9</v>
      </c>
      <c r="G335" s="2">
        <v>0</v>
      </c>
      <c r="H335" s="2">
        <v>0.39</v>
      </c>
      <c r="I335" s="4">
        <v>51.43</v>
      </c>
      <c r="J335" s="5">
        <v>6.88</v>
      </c>
      <c r="K335" s="5">
        <v>2</v>
      </c>
      <c r="L335" s="1" t="s">
        <v>5</v>
      </c>
      <c r="M335" s="1" t="s">
        <v>38</v>
      </c>
      <c r="N335" s="1" t="s">
        <v>2</v>
      </c>
      <c r="O335" s="1" t="s">
        <v>6</v>
      </c>
      <c r="P335" s="1" t="s">
        <v>14</v>
      </c>
      <c r="Q335" s="6">
        <f>C335+1</f>
        <v>41254</v>
      </c>
    </row>
    <row r="336" spans="1:17" ht="15.75" x14ac:dyDescent="0.3">
      <c r="A336" s="1">
        <v>18</v>
      </c>
      <c r="B336" s="2">
        <v>129</v>
      </c>
      <c r="C336" s="3">
        <f>DATE(2012,12,31)-43</f>
        <v>41231</v>
      </c>
      <c r="D336" s="1" t="s">
        <v>16</v>
      </c>
      <c r="E336" s="2">
        <v>4</v>
      </c>
      <c r="F336" s="2">
        <v>32.72</v>
      </c>
      <c r="G336" s="2">
        <v>0.09</v>
      </c>
      <c r="H336" s="2">
        <v>0.37</v>
      </c>
      <c r="I336" s="4">
        <v>-22.59</v>
      </c>
      <c r="J336" s="5">
        <v>6.48</v>
      </c>
      <c r="K336" s="5">
        <v>8.19</v>
      </c>
      <c r="L336" s="1" t="s">
        <v>5</v>
      </c>
      <c r="M336" s="1" t="s">
        <v>38</v>
      </c>
      <c r="N336" s="1" t="s">
        <v>2</v>
      </c>
      <c r="O336" s="1" t="s">
        <v>6</v>
      </c>
      <c r="P336" s="1" t="s">
        <v>7</v>
      </c>
      <c r="Q336" s="6">
        <f>C336+9</f>
        <v>41240</v>
      </c>
    </row>
    <row r="337" spans="1:17" ht="15.75" x14ac:dyDescent="0.3">
      <c r="A337" s="1">
        <v>68</v>
      </c>
      <c r="B337" s="2">
        <v>388</v>
      </c>
      <c r="C337" s="3">
        <f>DATE(2012,12,31)-16</f>
        <v>41258</v>
      </c>
      <c r="D337" s="1" t="s">
        <v>8</v>
      </c>
      <c r="E337" s="2">
        <v>46</v>
      </c>
      <c r="F337" s="2">
        <v>517.92999999999995</v>
      </c>
      <c r="G337" s="2">
        <v>0.06</v>
      </c>
      <c r="H337" s="2">
        <v>0.5</v>
      </c>
      <c r="I337" s="4">
        <v>-94.73</v>
      </c>
      <c r="J337" s="5">
        <v>11.7</v>
      </c>
      <c r="K337" s="5">
        <v>6.96</v>
      </c>
      <c r="L337" s="1" t="s">
        <v>5</v>
      </c>
      <c r="M337" s="1" t="s">
        <v>38</v>
      </c>
      <c r="N337" s="1" t="s">
        <v>15</v>
      </c>
      <c r="O337" s="1" t="s">
        <v>6</v>
      </c>
      <c r="P337" s="1" t="s">
        <v>18</v>
      </c>
      <c r="Q337" s="6">
        <f>C337+3</f>
        <v>41261</v>
      </c>
    </row>
    <row r="338" spans="1:17" ht="15.75" x14ac:dyDescent="0.3">
      <c r="A338" s="1">
        <v>205</v>
      </c>
      <c r="B338" s="2">
        <v>1345</v>
      </c>
      <c r="C338" s="3">
        <f>DATE(2012,12,31)-65</f>
        <v>41209</v>
      </c>
      <c r="D338" s="1" t="s">
        <v>16</v>
      </c>
      <c r="E338" s="2">
        <v>24</v>
      </c>
      <c r="F338" s="2">
        <v>2443.85</v>
      </c>
      <c r="G338" s="2">
        <v>0.08</v>
      </c>
      <c r="H338" s="2">
        <v>0.62</v>
      </c>
      <c r="I338" s="4">
        <v>-120.85</v>
      </c>
      <c r="J338" s="5">
        <v>100.98</v>
      </c>
      <c r="K338" s="5">
        <v>35.840000000000003</v>
      </c>
      <c r="L338" s="1" t="s">
        <v>1</v>
      </c>
      <c r="M338" s="1" t="s">
        <v>38</v>
      </c>
      <c r="N338" s="1" t="s">
        <v>2</v>
      </c>
      <c r="O338" s="1" t="s">
        <v>3</v>
      </c>
      <c r="P338" s="1" t="s">
        <v>19</v>
      </c>
      <c r="Q338" s="6">
        <f>C338+4</f>
        <v>41213</v>
      </c>
    </row>
    <row r="339" spans="1:17" ht="15.75" x14ac:dyDescent="0.3">
      <c r="A339" s="1">
        <v>257</v>
      </c>
      <c r="B339" s="2">
        <v>1793</v>
      </c>
      <c r="C339" s="3">
        <f>DATE(2012,12,31)-173</f>
        <v>41101</v>
      </c>
      <c r="D339" s="1" t="s">
        <v>8</v>
      </c>
      <c r="E339" s="2">
        <v>36</v>
      </c>
      <c r="F339" s="2">
        <v>233.43</v>
      </c>
      <c r="G339" s="2">
        <v>0.03</v>
      </c>
      <c r="H339" s="2">
        <v>0.4</v>
      </c>
      <c r="I339" s="4">
        <v>-71.897999999999996</v>
      </c>
      <c r="J339" s="5">
        <v>6.28</v>
      </c>
      <c r="K339" s="5">
        <v>5.36</v>
      </c>
      <c r="L339" s="1" t="s">
        <v>5</v>
      </c>
      <c r="M339" s="1" t="s">
        <v>38</v>
      </c>
      <c r="N339" s="1" t="s">
        <v>15</v>
      </c>
      <c r="O339" s="1" t="s">
        <v>6</v>
      </c>
      <c r="P339" s="1" t="s">
        <v>7</v>
      </c>
      <c r="Q339" s="6">
        <f>C339+0</f>
        <v>41101</v>
      </c>
    </row>
    <row r="340" spans="1:17" ht="15.75" x14ac:dyDescent="0.3">
      <c r="A340" s="1">
        <v>316</v>
      </c>
      <c r="B340" s="2">
        <v>2209</v>
      </c>
      <c r="C340" s="3">
        <f>DATE(2012,12,31)-175</f>
        <v>41099</v>
      </c>
      <c r="D340" s="1" t="s">
        <v>17</v>
      </c>
      <c r="E340" s="2">
        <v>27</v>
      </c>
      <c r="F340" s="2">
        <v>9418.73</v>
      </c>
      <c r="G340" s="2">
        <v>0</v>
      </c>
      <c r="H340" s="2">
        <v>0.56999999999999995</v>
      </c>
      <c r="I340" s="4">
        <v>2245.2399999999998</v>
      </c>
      <c r="J340" s="5">
        <v>320.98</v>
      </c>
      <c r="K340" s="5">
        <v>58.95</v>
      </c>
      <c r="L340" s="1" t="s">
        <v>1</v>
      </c>
      <c r="M340" s="1" t="s">
        <v>38</v>
      </c>
      <c r="N340" s="1" t="s">
        <v>21</v>
      </c>
      <c r="O340" s="1" t="s">
        <v>3</v>
      </c>
      <c r="P340" s="1" t="s">
        <v>4</v>
      </c>
      <c r="Q340" s="6">
        <f>C340+2</f>
        <v>41101</v>
      </c>
    </row>
    <row r="341" spans="1:17" ht="15.75" x14ac:dyDescent="0.3">
      <c r="A341" s="1">
        <v>317</v>
      </c>
      <c r="B341" s="2">
        <v>2209</v>
      </c>
      <c r="C341" s="3">
        <f>DATE(2012,12,31)-175</f>
        <v>41099</v>
      </c>
      <c r="D341" s="1" t="s">
        <v>17</v>
      </c>
      <c r="E341" s="2">
        <v>1</v>
      </c>
      <c r="F341" s="2">
        <v>5.68</v>
      </c>
      <c r="G341" s="2">
        <v>0.02</v>
      </c>
      <c r="H341" s="2">
        <v>0.39</v>
      </c>
      <c r="I341" s="4">
        <v>-1.82</v>
      </c>
      <c r="J341" s="5">
        <v>4.76</v>
      </c>
      <c r="K341" s="5">
        <v>0.88</v>
      </c>
      <c r="L341" s="1" t="s">
        <v>5</v>
      </c>
      <c r="M341" s="1" t="s">
        <v>38</v>
      </c>
      <c r="N341" s="1" t="s">
        <v>21</v>
      </c>
      <c r="O341" s="1" t="s">
        <v>6</v>
      </c>
      <c r="P341" s="1" t="s">
        <v>14</v>
      </c>
      <c r="Q341" s="6">
        <f>C341+1</f>
        <v>41100</v>
      </c>
    </row>
    <row r="342" spans="1:17" ht="15.75" x14ac:dyDescent="0.3">
      <c r="A342" s="1">
        <v>318</v>
      </c>
      <c r="B342" s="2">
        <v>2209</v>
      </c>
      <c r="C342" s="3">
        <f>DATE(2012,12,31)-175</f>
        <v>41099</v>
      </c>
      <c r="D342" s="1" t="s">
        <v>17</v>
      </c>
      <c r="E342" s="2">
        <v>42</v>
      </c>
      <c r="F342" s="2">
        <v>174.59</v>
      </c>
      <c r="G342" s="2">
        <v>0.08</v>
      </c>
      <c r="H342" s="2">
        <v>0.56000000000000005</v>
      </c>
      <c r="I342" s="4">
        <v>25.88</v>
      </c>
      <c r="J342" s="5">
        <v>4.28</v>
      </c>
      <c r="K342" s="5">
        <v>0.94</v>
      </c>
      <c r="L342" s="1" t="s">
        <v>5</v>
      </c>
      <c r="M342" s="1" t="s">
        <v>38</v>
      </c>
      <c r="N342" s="1" t="s">
        <v>21</v>
      </c>
      <c r="O342" s="1" t="s">
        <v>6</v>
      </c>
      <c r="P342" s="1" t="s">
        <v>14</v>
      </c>
      <c r="Q342" s="6">
        <f>C342+0</f>
        <v>41099</v>
      </c>
    </row>
    <row r="343" spans="1:17" ht="15.75" x14ac:dyDescent="0.3">
      <c r="A343" s="1">
        <v>319</v>
      </c>
      <c r="B343" s="2">
        <v>2209</v>
      </c>
      <c r="C343" s="3">
        <f>DATE(2012,12,31)-175</f>
        <v>41099</v>
      </c>
      <c r="D343" s="1" t="s">
        <v>17</v>
      </c>
      <c r="E343" s="2">
        <v>13</v>
      </c>
      <c r="F343" s="2">
        <v>1265.4969999999998</v>
      </c>
      <c r="G343" s="2">
        <v>0.1</v>
      </c>
      <c r="H343" s="2">
        <v>0.59</v>
      </c>
      <c r="I343" s="4">
        <v>-161.11699999999999</v>
      </c>
      <c r="J343" s="5">
        <v>125.99</v>
      </c>
      <c r="K343" s="5">
        <v>3</v>
      </c>
      <c r="L343" s="1" t="s">
        <v>5</v>
      </c>
      <c r="M343" s="1" t="s">
        <v>38</v>
      </c>
      <c r="N343" s="1" t="s">
        <v>21</v>
      </c>
      <c r="O343" s="1" t="s">
        <v>11</v>
      </c>
      <c r="P343" s="1" t="s">
        <v>7</v>
      </c>
      <c r="Q343" s="6">
        <f>C343+1</f>
        <v>41100</v>
      </c>
    </row>
    <row r="344" spans="1:17" ht="15.75" x14ac:dyDescent="0.3">
      <c r="A344" s="1">
        <v>439</v>
      </c>
      <c r="B344" s="2">
        <v>2947</v>
      </c>
      <c r="C344" s="3">
        <f>DATE(2012,12,31)-616</f>
        <v>40658</v>
      </c>
      <c r="D344" s="1" t="s">
        <v>0</v>
      </c>
      <c r="E344" s="2">
        <v>8</v>
      </c>
      <c r="F344" s="2">
        <v>57.04</v>
      </c>
      <c r="G344" s="2">
        <v>0.05</v>
      </c>
      <c r="H344" s="2">
        <v>0.36</v>
      </c>
      <c r="I344" s="4">
        <v>-29.06</v>
      </c>
      <c r="J344" s="5">
        <v>6.48</v>
      </c>
      <c r="K344" s="5">
        <v>6.81</v>
      </c>
      <c r="L344" s="1" t="s">
        <v>5</v>
      </c>
      <c r="M344" s="1" t="s">
        <v>38</v>
      </c>
      <c r="N344" s="1" t="s">
        <v>21</v>
      </c>
      <c r="O344" s="1" t="s">
        <v>6</v>
      </c>
      <c r="P344" s="1" t="s">
        <v>7</v>
      </c>
      <c r="Q344" s="6">
        <f>C344+2</f>
        <v>40660</v>
      </c>
    </row>
    <row r="345" spans="1:17" ht="15.75" x14ac:dyDescent="0.3">
      <c r="A345" s="1">
        <v>474</v>
      </c>
      <c r="B345" s="2">
        <v>3271</v>
      </c>
      <c r="C345" s="3">
        <f>DATE(2012,12,31)-366</f>
        <v>40908</v>
      </c>
      <c r="D345" s="1" t="s">
        <v>0</v>
      </c>
      <c r="E345" s="2">
        <v>45</v>
      </c>
      <c r="F345" s="2">
        <v>11532.99</v>
      </c>
      <c r="G345" s="2">
        <v>7.0000000000000007E-2</v>
      </c>
      <c r="H345" s="2">
        <v>0.57999999999999996</v>
      </c>
      <c r="I345" s="4">
        <v>2753.39</v>
      </c>
      <c r="J345" s="5">
        <v>264.98</v>
      </c>
      <c r="K345" s="5">
        <v>17.86</v>
      </c>
      <c r="L345" s="1" t="s">
        <v>1</v>
      </c>
      <c r="M345" s="1" t="s">
        <v>38</v>
      </c>
      <c r="N345" s="1" t="s">
        <v>15</v>
      </c>
      <c r="O345" s="1" t="s">
        <v>11</v>
      </c>
      <c r="P345" s="1" t="s">
        <v>4</v>
      </c>
      <c r="Q345" s="6">
        <f>C345+0</f>
        <v>40908</v>
      </c>
    </row>
    <row r="346" spans="1:17" ht="15.75" x14ac:dyDescent="0.3">
      <c r="A346" s="1">
        <v>475</v>
      </c>
      <c r="B346" s="2">
        <v>3271</v>
      </c>
      <c r="C346" s="3">
        <f>DATE(2012,12,31)-366</f>
        <v>40908</v>
      </c>
      <c r="D346" s="1" t="s">
        <v>0</v>
      </c>
      <c r="E346" s="2">
        <v>18</v>
      </c>
      <c r="F346" s="2">
        <v>146.1</v>
      </c>
      <c r="G346" s="2">
        <v>0.06</v>
      </c>
      <c r="H346" s="2">
        <v>0.35</v>
      </c>
      <c r="I346" s="4">
        <v>51.14</v>
      </c>
      <c r="J346" s="5">
        <v>8.34</v>
      </c>
      <c r="K346" s="5">
        <v>1.43</v>
      </c>
      <c r="L346" s="1" t="s">
        <v>9</v>
      </c>
      <c r="M346" s="1" t="s">
        <v>38</v>
      </c>
      <c r="N346" s="1" t="s">
        <v>15</v>
      </c>
      <c r="O346" s="1" t="s">
        <v>6</v>
      </c>
      <c r="P346" s="1" t="s">
        <v>14</v>
      </c>
      <c r="Q346" s="6">
        <f>C346+1</f>
        <v>40909</v>
      </c>
    </row>
    <row r="347" spans="1:17" ht="15.75" x14ac:dyDescent="0.3">
      <c r="A347" s="1">
        <v>623</v>
      </c>
      <c r="B347" s="2">
        <v>4321</v>
      </c>
      <c r="C347" s="3">
        <f>DATE(2012,12,31)-1263</f>
        <v>40011</v>
      </c>
      <c r="D347" s="1" t="s">
        <v>12</v>
      </c>
      <c r="E347" s="2">
        <v>47</v>
      </c>
      <c r="F347" s="2">
        <v>1505.57</v>
      </c>
      <c r="G347" s="2">
        <v>0.02</v>
      </c>
      <c r="H347" s="2">
        <v>0.39</v>
      </c>
      <c r="I347" s="4">
        <v>-54.63</v>
      </c>
      <c r="J347" s="5">
        <v>30.53</v>
      </c>
      <c r="K347" s="5">
        <v>19.989999999999998</v>
      </c>
      <c r="L347" s="1" t="s">
        <v>9</v>
      </c>
      <c r="M347" s="1" t="s">
        <v>38</v>
      </c>
      <c r="N347" s="1" t="s">
        <v>2</v>
      </c>
      <c r="O347" s="1" t="s">
        <v>6</v>
      </c>
      <c r="P347" s="1" t="s">
        <v>7</v>
      </c>
      <c r="Q347" s="6">
        <f>C347+2</f>
        <v>40013</v>
      </c>
    </row>
    <row r="348" spans="1:17" ht="15.75" x14ac:dyDescent="0.3">
      <c r="A348" s="1">
        <v>643</v>
      </c>
      <c r="B348" s="2">
        <v>4545</v>
      </c>
      <c r="C348" s="3">
        <f>DATE(2012,12,31)-1080</f>
        <v>40194</v>
      </c>
      <c r="D348" s="1" t="s">
        <v>8</v>
      </c>
      <c r="E348" s="2">
        <v>33</v>
      </c>
      <c r="F348" s="2">
        <v>126.38</v>
      </c>
      <c r="G348" s="2">
        <v>0.08</v>
      </c>
      <c r="H348" s="2">
        <v>0.37</v>
      </c>
      <c r="I348" s="4">
        <v>26.64</v>
      </c>
      <c r="J348" s="5">
        <v>4</v>
      </c>
      <c r="K348" s="5">
        <v>1.3</v>
      </c>
      <c r="L348" s="1" t="s">
        <v>5</v>
      </c>
      <c r="M348" s="1" t="s">
        <v>38</v>
      </c>
      <c r="N348" s="1" t="s">
        <v>13</v>
      </c>
      <c r="O348" s="1" t="s">
        <v>6</v>
      </c>
      <c r="P348" s="1" t="s">
        <v>14</v>
      </c>
      <c r="Q348" s="6">
        <f>C348+2</f>
        <v>40196</v>
      </c>
    </row>
    <row r="349" spans="1:17" ht="15.75" x14ac:dyDescent="0.3">
      <c r="A349" s="1">
        <v>644</v>
      </c>
      <c r="B349" s="2">
        <v>4545</v>
      </c>
      <c r="C349" s="3">
        <f>DATE(2012,12,31)-1080</f>
        <v>40194</v>
      </c>
      <c r="D349" s="1" t="s">
        <v>8</v>
      </c>
      <c r="E349" s="2">
        <v>4</v>
      </c>
      <c r="F349" s="2">
        <v>33.1</v>
      </c>
      <c r="G349" s="2">
        <v>0.06</v>
      </c>
      <c r="H349" s="2">
        <v>0.36</v>
      </c>
      <c r="I349" s="4">
        <v>-24.15</v>
      </c>
      <c r="J349" s="5">
        <v>6.48</v>
      </c>
      <c r="K349" s="5">
        <v>8.74</v>
      </c>
      <c r="L349" s="1" t="s">
        <v>5</v>
      </c>
      <c r="M349" s="1" t="s">
        <v>38</v>
      </c>
      <c r="N349" s="1" t="s">
        <v>13</v>
      </c>
      <c r="O349" s="1" t="s">
        <v>6</v>
      </c>
      <c r="P349" s="1" t="s">
        <v>7</v>
      </c>
      <c r="Q349" s="6">
        <f>C349+1</f>
        <v>40195</v>
      </c>
    </row>
    <row r="350" spans="1:17" ht="15.75" x14ac:dyDescent="0.3">
      <c r="A350" s="1">
        <v>783</v>
      </c>
      <c r="B350" s="2">
        <v>5572</v>
      </c>
      <c r="C350" s="3">
        <f>DATE(2012,12,31)-1264</f>
        <v>40010</v>
      </c>
      <c r="D350" s="1" t="s">
        <v>17</v>
      </c>
      <c r="E350" s="2">
        <v>37</v>
      </c>
      <c r="F350" s="2">
        <v>288.55</v>
      </c>
      <c r="G350" s="2">
        <v>0.03</v>
      </c>
      <c r="H350" s="2">
        <v>0.69</v>
      </c>
      <c r="I350" s="4">
        <v>-133.69999999999999</v>
      </c>
      <c r="J350" s="5">
        <v>7.37</v>
      </c>
      <c r="K350" s="5">
        <v>5.53</v>
      </c>
      <c r="L350" s="1" t="s">
        <v>5</v>
      </c>
      <c r="M350" s="1" t="s">
        <v>38</v>
      </c>
      <c r="N350" s="1" t="s">
        <v>2</v>
      </c>
      <c r="O350" s="1" t="s">
        <v>11</v>
      </c>
      <c r="P350" s="1" t="s">
        <v>20</v>
      </c>
      <c r="Q350" s="6">
        <f>C350+2</f>
        <v>40012</v>
      </c>
    </row>
    <row r="351" spans="1:17" ht="15.75" x14ac:dyDescent="0.3">
      <c r="A351" s="1">
        <v>800</v>
      </c>
      <c r="B351" s="2">
        <v>5703</v>
      </c>
      <c r="C351" s="3">
        <f>DATE(2012,12,31)-961</f>
        <v>40313</v>
      </c>
      <c r="D351" s="1" t="s">
        <v>12</v>
      </c>
      <c r="E351" s="2">
        <v>29</v>
      </c>
      <c r="F351" s="2">
        <v>357.96</v>
      </c>
      <c r="G351" s="2">
        <v>0.06</v>
      </c>
      <c r="H351" s="2">
        <v>0.38</v>
      </c>
      <c r="I351" s="4">
        <v>10.44</v>
      </c>
      <c r="J351" s="5">
        <v>12.28</v>
      </c>
      <c r="K351" s="5">
        <v>6.47</v>
      </c>
      <c r="L351" s="1" t="s">
        <v>5</v>
      </c>
      <c r="M351" s="1" t="s">
        <v>38</v>
      </c>
      <c r="N351" s="1" t="s">
        <v>21</v>
      </c>
      <c r="O351" s="1" t="s">
        <v>6</v>
      </c>
      <c r="P351" s="1" t="s">
        <v>7</v>
      </c>
      <c r="Q351" s="6">
        <f>C351+1</f>
        <v>40314</v>
      </c>
    </row>
    <row r="352" spans="1:17" ht="15.75" x14ac:dyDescent="0.3">
      <c r="A352" s="1">
        <v>819</v>
      </c>
      <c r="B352" s="2">
        <v>5920</v>
      </c>
      <c r="C352" s="3">
        <f>DATE(2012,12,31)-1138</f>
        <v>40136</v>
      </c>
      <c r="D352" s="1" t="s">
        <v>17</v>
      </c>
      <c r="E352" s="2">
        <v>4</v>
      </c>
      <c r="F352" s="2">
        <v>582.59</v>
      </c>
      <c r="G352" s="2">
        <v>7.0000000000000007E-2</v>
      </c>
      <c r="H352" s="2">
        <v>0.59</v>
      </c>
      <c r="I352" s="4">
        <v>-121.75</v>
      </c>
      <c r="J352" s="5">
        <v>155.06</v>
      </c>
      <c r="K352" s="5">
        <v>7.07</v>
      </c>
      <c r="L352" s="1" t="s">
        <v>5</v>
      </c>
      <c r="M352" s="1" t="s">
        <v>38</v>
      </c>
      <c r="N352" s="1" t="s">
        <v>21</v>
      </c>
      <c r="O352" s="1" t="s">
        <v>6</v>
      </c>
      <c r="P352" s="1" t="s">
        <v>7</v>
      </c>
      <c r="Q352" s="6">
        <f>C352+0</f>
        <v>40136</v>
      </c>
    </row>
    <row r="353" spans="1:17" ht="15.75" x14ac:dyDescent="0.3">
      <c r="A353" s="1">
        <v>880</v>
      </c>
      <c r="B353" s="2">
        <v>6311</v>
      </c>
      <c r="C353" s="3">
        <f>DATE(2012,12,31)-1055</f>
        <v>40219</v>
      </c>
      <c r="D353" s="1" t="s">
        <v>12</v>
      </c>
      <c r="E353" s="2">
        <v>18</v>
      </c>
      <c r="F353" s="2">
        <v>1297.4485</v>
      </c>
      <c r="G353" s="2">
        <v>0.04</v>
      </c>
      <c r="H353" s="2">
        <v>0.57999999999999996</v>
      </c>
      <c r="I353" s="4">
        <v>4.212000000000006</v>
      </c>
      <c r="J353" s="5">
        <v>85.99</v>
      </c>
      <c r="K353" s="5">
        <v>10.78</v>
      </c>
      <c r="L353" s="1" t="s">
        <v>5</v>
      </c>
      <c r="M353" s="1" t="s">
        <v>38</v>
      </c>
      <c r="N353" s="1" t="s">
        <v>2</v>
      </c>
      <c r="O353" s="1" t="s">
        <v>11</v>
      </c>
      <c r="P353" s="1" t="s">
        <v>7</v>
      </c>
      <c r="Q353" s="6">
        <f>C353+3</f>
        <v>40222</v>
      </c>
    </row>
    <row r="354" spans="1:17" ht="15.75" x14ac:dyDescent="0.3">
      <c r="A354" s="1">
        <v>1125</v>
      </c>
      <c r="B354" s="2">
        <v>8231</v>
      </c>
      <c r="C354" s="3">
        <f>DATE(2012,12,31)-74</f>
        <v>41200</v>
      </c>
      <c r="D354" s="1" t="s">
        <v>0</v>
      </c>
      <c r="E354" s="2">
        <v>27</v>
      </c>
      <c r="F354" s="2">
        <v>79.44</v>
      </c>
      <c r="G354" s="2">
        <v>0.06</v>
      </c>
      <c r="H354" s="2">
        <v>0.39</v>
      </c>
      <c r="I354" s="4">
        <v>29.85</v>
      </c>
      <c r="J354" s="5">
        <v>2.88</v>
      </c>
      <c r="K354" s="5">
        <v>0.5</v>
      </c>
      <c r="L354" s="1" t="s">
        <v>5</v>
      </c>
      <c r="M354" s="1" t="s">
        <v>38</v>
      </c>
      <c r="N354" s="1" t="s">
        <v>2</v>
      </c>
      <c r="O354" s="1" t="s">
        <v>6</v>
      </c>
      <c r="P354" s="1" t="s">
        <v>7</v>
      </c>
      <c r="Q354" s="6">
        <f>C354+2</f>
        <v>41202</v>
      </c>
    </row>
    <row r="355" spans="1:17" ht="15.75" x14ac:dyDescent="0.3">
      <c r="A355" s="1">
        <v>1126</v>
      </c>
      <c r="B355" s="2">
        <v>8231</v>
      </c>
      <c r="C355" s="3">
        <f>DATE(2012,12,31)-74</f>
        <v>41200</v>
      </c>
      <c r="D355" s="1" t="s">
        <v>0</v>
      </c>
      <c r="E355" s="2">
        <v>5</v>
      </c>
      <c r="F355" s="2">
        <v>110.03</v>
      </c>
      <c r="G355" s="2">
        <v>0.06</v>
      </c>
      <c r="H355" s="2">
        <v>0.49</v>
      </c>
      <c r="I355" s="4">
        <v>-31.33</v>
      </c>
      <c r="J355" s="5">
        <v>19.98</v>
      </c>
      <c r="K355" s="5">
        <v>10.49</v>
      </c>
      <c r="L355" s="1" t="s">
        <v>5</v>
      </c>
      <c r="M355" s="1" t="s">
        <v>38</v>
      </c>
      <c r="N355" s="1" t="s">
        <v>2</v>
      </c>
      <c r="O355" s="1" t="s">
        <v>3</v>
      </c>
      <c r="P355" s="1" t="s">
        <v>7</v>
      </c>
      <c r="Q355" s="6">
        <f>C355+1</f>
        <v>41201</v>
      </c>
    </row>
    <row r="356" spans="1:17" ht="15.75" x14ac:dyDescent="0.3">
      <c r="A356" s="1">
        <v>1191</v>
      </c>
      <c r="B356" s="2">
        <v>8709</v>
      </c>
      <c r="C356" s="3">
        <f>DATE(2012,12,31)-1394</f>
        <v>39880</v>
      </c>
      <c r="D356" s="1" t="s">
        <v>17</v>
      </c>
      <c r="E356" s="2">
        <v>50</v>
      </c>
      <c r="F356" s="2">
        <v>2451.41</v>
      </c>
      <c r="G356" s="2">
        <v>7.0000000000000007E-2</v>
      </c>
      <c r="H356" s="2">
        <v>0.37</v>
      </c>
      <c r="I356" s="4">
        <v>773.36</v>
      </c>
      <c r="J356" s="5">
        <v>51.98</v>
      </c>
      <c r="K356" s="5">
        <v>10.17</v>
      </c>
      <c r="L356" s="1" t="s">
        <v>5</v>
      </c>
      <c r="M356" s="1" t="s">
        <v>38</v>
      </c>
      <c r="N356" s="1" t="s">
        <v>15</v>
      </c>
      <c r="O356" s="1" t="s">
        <v>11</v>
      </c>
      <c r="P356" s="1" t="s">
        <v>18</v>
      </c>
      <c r="Q356" s="6">
        <f>C356+2</f>
        <v>39882</v>
      </c>
    </row>
    <row r="357" spans="1:17" ht="15.75" x14ac:dyDescent="0.3">
      <c r="A357" s="1">
        <v>1192</v>
      </c>
      <c r="B357" s="2">
        <v>8709</v>
      </c>
      <c r="C357" s="3">
        <f>DATE(2012,12,31)-1394</f>
        <v>39880</v>
      </c>
      <c r="D357" s="1" t="s">
        <v>17</v>
      </c>
      <c r="E357" s="2">
        <v>11</v>
      </c>
      <c r="F357" s="2">
        <v>851.24</v>
      </c>
      <c r="G357" s="2">
        <v>0.1</v>
      </c>
      <c r="H357" s="2">
        <v>0.37</v>
      </c>
      <c r="I357" s="4">
        <v>-149.4573</v>
      </c>
      <c r="J357" s="5">
        <v>80.97</v>
      </c>
      <c r="K357" s="5">
        <v>33.6</v>
      </c>
      <c r="L357" s="1" t="s">
        <v>1</v>
      </c>
      <c r="M357" s="1" t="s">
        <v>38</v>
      </c>
      <c r="N357" s="1" t="s">
        <v>15</v>
      </c>
      <c r="O357" s="1" t="s">
        <v>11</v>
      </c>
      <c r="P357" s="1" t="s">
        <v>4</v>
      </c>
      <c r="Q357" s="6">
        <f>C357+3</f>
        <v>39883</v>
      </c>
    </row>
    <row r="358" spans="1:17" ht="15.75" x14ac:dyDescent="0.3">
      <c r="A358" s="1">
        <v>1338</v>
      </c>
      <c r="B358" s="2">
        <v>9765</v>
      </c>
      <c r="C358" s="3">
        <f>DATE(2012,12,31)-80</f>
        <v>41194</v>
      </c>
      <c r="D358" s="1" t="s">
        <v>16</v>
      </c>
      <c r="E358" s="2">
        <v>26</v>
      </c>
      <c r="F358" s="2">
        <v>3505.6</v>
      </c>
      <c r="G358" s="2">
        <v>0.03</v>
      </c>
      <c r="H358" s="2"/>
      <c r="I358" s="4">
        <v>1019.7</v>
      </c>
      <c r="J358" s="5">
        <v>128.24</v>
      </c>
      <c r="K358" s="5">
        <v>12.65</v>
      </c>
      <c r="L358" s="1" t="s">
        <v>5</v>
      </c>
      <c r="M358" s="1" t="s">
        <v>38</v>
      </c>
      <c r="N358" s="1" t="s">
        <v>15</v>
      </c>
      <c r="O358" s="1" t="s">
        <v>3</v>
      </c>
      <c r="P358" s="1" t="s">
        <v>18</v>
      </c>
      <c r="Q358" s="6">
        <f>C358+7</f>
        <v>41201</v>
      </c>
    </row>
    <row r="359" spans="1:17" ht="15.75" x14ac:dyDescent="0.3">
      <c r="A359" s="1">
        <v>1399</v>
      </c>
      <c r="B359" s="2">
        <v>10147</v>
      </c>
      <c r="C359" s="3">
        <f>DATE(2012,12,31)-814</f>
        <v>40460</v>
      </c>
      <c r="D359" s="1" t="s">
        <v>17</v>
      </c>
      <c r="E359" s="2">
        <v>22</v>
      </c>
      <c r="F359" s="2">
        <v>96.75</v>
      </c>
      <c r="G359" s="2">
        <v>0.04</v>
      </c>
      <c r="H359" s="2">
        <v>0.35</v>
      </c>
      <c r="I359" s="4">
        <v>-72.91</v>
      </c>
      <c r="J359" s="5">
        <v>4.24</v>
      </c>
      <c r="K359" s="5">
        <v>5.41</v>
      </c>
      <c r="L359" s="1" t="s">
        <v>5</v>
      </c>
      <c r="M359" s="1" t="s">
        <v>38</v>
      </c>
      <c r="N359" s="1" t="s">
        <v>15</v>
      </c>
      <c r="O359" s="1" t="s">
        <v>6</v>
      </c>
      <c r="P359" s="1" t="s">
        <v>7</v>
      </c>
      <c r="Q359" s="6">
        <f>C359+1</f>
        <v>40461</v>
      </c>
    </row>
    <row r="360" spans="1:17" ht="15.75" x14ac:dyDescent="0.3">
      <c r="A360" s="1">
        <v>1645</v>
      </c>
      <c r="B360" s="2">
        <v>11876</v>
      </c>
      <c r="C360" s="3">
        <f>DATE(2012,12,31)-547</f>
        <v>40727</v>
      </c>
      <c r="D360" s="1" t="s">
        <v>17</v>
      </c>
      <c r="E360" s="2">
        <v>47</v>
      </c>
      <c r="F360" s="2">
        <v>5051.8900000000003</v>
      </c>
      <c r="G360" s="2">
        <v>0.02</v>
      </c>
      <c r="H360" s="2">
        <v>0.65</v>
      </c>
      <c r="I360" s="4">
        <v>1708.84</v>
      </c>
      <c r="J360" s="5">
        <v>107.53</v>
      </c>
      <c r="K360" s="5">
        <v>5.81</v>
      </c>
      <c r="L360" s="1" t="s">
        <v>5</v>
      </c>
      <c r="M360" s="1" t="s">
        <v>38</v>
      </c>
      <c r="N360" s="1" t="s">
        <v>15</v>
      </c>
      <c r="O360" s="1" t="s">
        <v>3</v>
      </c>
      <c r="P360" s="1" t="s">
        <v>18</v>
      </c>
      <c r="Q360" s="6">
        <f>C360+3</f>
        <v>40730</v>
      </c>
    </row>
    <row r="361" spans="1:17" ht="15.75" x14ac:dyDescent="0.3">
      <c r="A361" s="1">
        <v>1692</v>
      </c>
      <c r="B361" s="2">
        <v>12224</v>
      </c>
      <c r="C361" s="3">
        <f>DATE(2012,12,31)-1115</f>
        <v>40159</v>
      </c>
      <c r="D361" s="1" t="s">
        <v>17</v>
      </c>
      <c r="E361" s="2">
        <v>2</v>
      </c>
      <c r="F361" s="2">
        <v>302.91000000000003</v>
      </c>
      <c r="G361" s="2">
        <v>0.04</v>
      </c>
      <c r="H361" s="2">
        <v>0.63</v>
      </c>
      <c r="I361" s="4">
        <v>-186.12900000000002</v>
      </c>
      <c r="J361" s="5">
        <v>124.49</v>
      </c>
      <c r="K361" s="5">
        <v>51.94</v>
      </c>
      <c r="L361" s="1" t="s">
        <v>1</v>
      </c>
      <c r="M361" s="1" t="s">
        <v>38</v>
      </c>
      <c r="N361" s="1" t="s">
        <v>21</v>
      </c>
      <c r="O361" s="1" t="s">
        <v>3</v>
      </c>
      <c r="P361" s="1" t="s">
        <v>19</v>
      </c>
      <c r="Q361" s="6">
        <f>C361+2</f>
        <v>40161</v>
      </c>
    </row>
    <row r="362" spans="1:17" ht="15.75" x14ac:dyDescent="0.3">
      <c r="A362" s="1">
        <v>1693</v>
      </c>
      <c r="B362" s="2">
        <v>12224</v>
      </c>
      <c r="C362" s="3">
        <f>DATE(2012,12,31)-1115</f>
        <v>40159</v>
      </c>
      <c r="D362" s="1" t="s">
        <v>17</v>
      </c>
      <c r="E362" s="2">
        <v>29</v>
      </c>
      <c r="F362" s="2">
        <v>842.61349999999993</v>
      </c>
      <c r="G362" s="2">
        <v>0.1</v>
      </c>
      <c r="H362" s="2">
        <v>0.82</v>
      </c>
      <c r="I362" s="4">
        <v>-208.428</v>
      </c>
      <c r="J362" s="5">
        <v>35.99</v>
      </c>
      <c r="K362" s="5">
        <v>5</v>
      </c>
      <c r="L362" s="1" t="s">
        <v>5</v>
      </c>
      <c r="M362" s="1" t="s">
        <v>38</v>
      </c>
      <c r="N362" s="1" t="s">
        <v>21</v>
      </c>
      <c r="O362" s="1" t="s">
        <v>11</v>
      </c>
      <c r="P362" s="1" t="s">
        <v>14</v>
      </c>
      <c r="Q362" s="6">
        <f>C362+0</f>
        <v>40159</v>
      </c>
    </row>
    <row r="363" spans="1:17" ht="15.75" x14ac:dyDescent="0.3">
      <c r="A363" s="1">
        <v>1696</v>
      </c>
      <c r="B363" s="2">
        <v>12256</v>
      </c>
      <c r="C363" s="3">
        <f>DATE(2012,12,31)-13</f>
        <v>41261</v>
      </c>
      <c r="D363" s="1" t="s">
        <v>12</v>
      </c>
      <c r="E363" s="2">
        <v>44</v>
      </c>
      <c r="F363" s="2">
        <v>117.97</v>
      </c>
      <c r="G363" s="2">
        <v>0.1</v>
      </c>
      <c r="H363" s="2">
        <v>0.36</v>
      </c>
      <c r="I363" s="4">
        <v>44.59</v>
      </c>
      <c r="J363" s="5">
        <v>2.88</v>
      </c>
      <c r="K363" s="5">
        <v>0.5</v>
      </c>
      <c r="L363" s="1" t="s">
        <v>5</v>
      </c>
      <c r="M363" s="1" t="s">
        <v>38</v>
      </c>
      <c r="N363" s="1" t="s">
        <v>15</v>
      </c>
      <c r="O363" s="1" t="s">
        <v>6</v>
      </c>
      <c r="P363" s="1" t="s">
        <v>7</v>
      </c>
      <c r="Q363" s="6">
        <f>C363+2</f>
        <v>41263</v>
      </c>
    </row>
    <row r="364" spans="1:17" ht="15.75" x14ac:dyDescent="0.3">
      <c r="A364" s="1">
        <v>1703</v>
      </c>
      <c r="B364" s="2">
        <v>12261</v>
      </c>
      <c r="C364" s="3">
        <f>DATE(2012,12,31)-800</f>
        <v>40474</v>
      </c>
      <c r="D364" s="1" t="s">
        <v>16</v>
      </c>
      <c r="E364" s="2">
        <v>12</v>
      </c>
      <c r="F364" s="2">
        <v>2237.7600000000002</v>
      </c>
      <c r="G364" s="2">
        <v>0.1</v>
      </c>
      <c r="H364" s="2">
        <v>0.57999999999999996</v>
      </c>
      <c r="I364" s="4">
        <v>151.86000000000001</v>
      </c>
      <c r="J364" s="5">
        <v>200.98</v>
      </c>
      <c r="K364" s="5">
        <v>23.76</v>
      </c>
      <c r="L364" s="1" t="s">
        <v>1</v>
      </c>
      <c r="M364" s="1" t="s">
        <v>38</v>
      </c>
      <c r="N364" s="1" t="s">
        <v>2</v>
      </c>
      <c r="O364" s="1" t="s">
        <v>3</v>
      </c>
      <c r="P364" s="1" t="s">
        <v>4</v>
      </c>
      <c r="Q364" s="6">
        <f>C364+5</f>
        <v>40479</v>
      </c>
    </row>
    <row r="365" spans="1:17" ht="15.75" x14ac:dyDescent="0.3">
      <c r="A365" s="1">
        <v>1704</v>
      </c>
      <c r="B365" s="2">
        <v>12261</v>
      </c>
      <c r="C365" s="3">
        <f>DATE(2012,12,31)-800</f>
        <v>40474</v>
      </c>
      <c r="D365" s="1" t="s">
        <v>16</v>
      </c>
      <c r="E365" s="2">
        <v>4</v>
      </c>
      <c r="F365" s="2">
        <v>20.59</v>
      </c>
      <c r="G365" s="2">
        <v>0.02</v>
      </c>
      <c r="H365" s="2">
        <v>0.51</v>
      </c>
      <c r="I365" s="4">
        <v>1.19</v>
      </c>
      <c r="J365" s="5">
        <v>3.98</v>
      </c>
      <c r="K365" s="5">
        <v>0.83</v>
      </c>
      <c r="L365" s="1" t="s">
        <v>9</v>
      </c>
      <c r="M365" s="1" t="s">
        <v>38</v>
      </c>
      <c r="N365" s="1" t="s">
        <v>2</v>
      </c>
      <c r="O365" s="1" t="s">
        <v>6</v>
      </c>
      <c r="P365" s="1" t="s">
        <v>14</v>
      </c>
      <c r="Q365" s="6">
        <f>C365+4</f>
        <v>40478</v>
      </c>
    </row>
    <row r="366" spans="1:17" ht="15.75" x14ac:dyDescent="0.3">
      <c r="A366" s="1">
        <v>1705</v>
      </c>
      <c r="B366" s="2">
        <v>12261</v>
      </c>
      <c r="C366" s="3">
        <f>DATE(2012,12,31)-800</f>
        <v>40474</v>
      </c>
      <c r="D366" s="1" t="s">
        <v>16</v>
      </c>
      <c r="E366" s="2">
        <v>19</v>
      </c>
      <c r="F366" s="2">
        <v>281.74</v>
      </c>
      <c r="G366" s="2">
        <v>0.06</v>
      </c>
      <c r="H366" s="2">
        <v>0.57999999999999996</v>
      </c>
      <c r="I366" s="4">
        <v>25.67</v>
      </c>
      <c r="J366" s="5">
        <v>14.56</v>
      </c>
      <c r="K366" s="5">
        <v>3.5</v>
      </c>
      <c r="L366" s="1" t="s">
        <v>5</v>
      </c>
      <c r="M366" s="1" t="s">
        <v>38</v>
      </c>
      <c r="N366" s="1" t="s">
        <v>2</v>
      </c>
      <c r="O366" s="1" t="s">
        <v>6</v>
      </c>
      <c r="P366" s="1" t="s">
        <v>7</v>
      </c>
      <c r="Q366" s="6">
        <f>C366+5</f>
        <v>40479</v>
      </c>
    </row>
    <row r="367" spans="1:17" ht="15.75" x14ac:dyDescent="0.3">
      <c r="A367" s="1">
        <v>1706</v>
      </c>
      <c r="B367" s="2">
        <v>12261</v>
      </c>
      <c r="C367" s="3">
        <f>DATE(2012,12,31)-800</f>
        <v>40474</v>
      </c>
      <c r="D367" s="1" t="s">
        <v>16</v>
      </c>
      <c r="E367" s="2">
        <v>23</v>
      </c>
      <c r="F367" s="2">
        <v>217.35</v>
      </c>
      <c r="G367" s="2">
        <v>0</v>
      </c>
      <c r="H367" s="2">
        <v>0.38</v>
      </c>
      <c r="I367" s="4">
        <v>-67.19</v>
      </c>
      <c r="J367" s="5">
        <v>8.74</v>
      </c>
      <c r="K367" s="5">
        <v>8.2899999999999991</v>
      </c>
      <c r="L367" s="1" t="s">
        <v>5</v>
      </c>
      <c r="M367" s="1" t="s">
        <v>38</v>
      </c>
      <c r="N367" s="1" t="s">
        <v>2</v>
      </c>
      <c r="O367" s="1" t="s">
        <v>6</v>
      </c>
      <c r="P367" s="1" t="s">
        <v>7</v>
      </c>
      <c r="Q367" s="6">
        <f>C367+7</f>
        <v>40481</v>
      </c>
    </row>
    <row r="368" spans="1:17" ht="15.75" x14ac:dyDescent="0.3">
      <c r="A368" s="1">
        <v>1707</v>
      </c>
      <c r="B368" s="2">
        <v>12261</v>
      </c>
      <c r="C368" s="3">
        <f>DATE(2012,12,31)-800</f>
        <v>40474</v>
      </c>
      <c r="D368" s="1" t="s">
        <v>16</v>
      </c>
      <c r="E368" s="2">
        <v>15</v>
      </c>
      <c r="F368" s="2">
        <v>2746.57</v>
      </c>
      <c r="G368" s="2">
        <v>0.03</v>
      </c>
      <c r="H368" s="2">
        <v>0.55000000000000004</v>
      </c>
      <c r="I368" s="4">
        <v>617.4</v>
      </c>
      <c r="J368" s="5">
        <v>178.47</v>
      </c>
      <c r="K368" s="5">
        <v>19.989999999999998</v>
      </c>
      <c r="L368" s="1" t="s">
        <v>5</v>
      </c>
      <c r="M368" s="1" t="s">
        <v>38</v>
      </c>
      <c r="N368" s="1" t="s">
        <v>2</v>
      </c>
      <c r="O368" s="1" t="s">
        <v>6</v>
      </c>
      <c r="P368" s="1" t="s">
        <v>7</v>
      </c>
      <c r="Q368" s="6">
        <f>C368+5</f>
        <v>40479</v>
      </c>
    </row>
    <row r="369" spans="1:17" ht="15.75" x14ac:dyDescent="0.3">
      <c r="A369" s="1">
        <v>1863</v>
      </c>
      <c r="B369" s="2">
        <v>13408</v>
      </c>
      <c r="C369" s="3">
        <f>DATE(2012,12,31)-1416</f>
        <v>39858</v>
      </c>
      <c r="D369" s="1" t="s">
        <v>16</v>
      </c>
      <c r="E369" s="2">
        <v>4</v>
      </c>
      <c r="F369" s="2">
        <v>256.77</v>
      </c>
      <c r="G369" s="2">
        <v>0.04</v>
      </c>
      <c r="H369" s="2">
        <v>0.64</v>
      </c>
      <c r="I369" s="4">
        <v>173.89</v>
      </c>
      <c r="J369" s="5">
        <v>60.65</v>
      </c>
      <c r="K369" s="5">
        <v>12.23</v>
      </c>
      <c r="L369" s="1" t="s">
        <v>5</v>
      </c>
      <c r="M369" s="1" t="s">
        <v>38</v>
      </c>
      <c r="N369" s="1" t="s">
        <v>15</v>
      </c>
      <c r="O369" s="1" t="s">
        <v>3</v>
      </c>
      <c r="P369" s="1" t="s">
        <v>18</v>
      </c>
      <c r="Q369" s="6">
        <f>C369+2</f>
        <v>39860</v>
      </c>
    </row>
    <row r="370" spans="1:17" ht="15.75" x14ac:dyDescent="0.3">
      <c r="A370" s="1">
        <v>1868</v>
      </c>
      <c r="B370" s="2">
        <v>13444</v>
      </c>
      <c r="C370" s="3">
        <f>DATE(2012,12,31)-361</f>
        <v>40913</v>
      </c>
      <c r="D370" s="1" t="s">
        <v>17</v>
      </c>
      <c r="E370" s="2">
        <v>33</v>
      </c>
      <c r="F370" s="2">
        <v>154.44</v>
      </c>
      <c r="G370" s="2">
        <v>0.06</v>
      </c>
      <c r="H370" s="2">
        <v>0.39</v>
      </c>
      <c r="I370" s="4">
        <v>54.62</v>
      </c>
      <c r="J370" s="5">
        <v>4.76</v>
      </c>
      <c r="K370" s="5">
        <v>0.88</v>
      </c>
      <c r="L370" s="1" t="s">
        <v>5</v>
      </c>
      <c r="M370" s="1" t="s">
        <v>38</v>
      </c>
      <c r="N370" s="1" t="s">
        <v>21</v>
      </c>
      <c r="O370" s="1" t="s">
        <v>6</v>
      </c>
      <c r="P370" s="1" t="s">
        <v>14</v>
      </c>
      <c r="Q370" s="6">
        <f>C370+3</f>
        <v>40916</v>
      </c>
    </row>
    <row r="371" spans="1:17" ht="15.75" x14ac:dyDescent="0.3">
      <c r="A371" s="1">
        <v>1893</v>
      </c>
      <c r="B371" s="2">
        <v>13601</v>
      </c>
      <c r="C371" s="3">
        <f>DATE(2012,12,31)-137</f>
        <v>41137</v>
      </c>
      <c r="D371" s="1" t="s">
        <v>16</v>
      </c>
      <c r="E371" s="2">
        <v>17</v>
      </c>
      <c r="F371" s="2">
        <v>822.91</v>
      </c>
      <c r="G371" s="2">
        <v>0.09</v>
      </c>
      <c r="H371" s="2">
        <v>0.56999999999999995</v>
      </c>
      <c r="I371" s="4">
        <v>-94.76</v>
      </c>
      <c r="J371" s="5">
        <v>49.43</v>
      </c>
      <c r="K371" s="5">
        <v>19.989999999999998</v>
      </c>
      <c r="L371" s="1" t="s">
        <v>5</v>
      </c>
      <c r="M371" s="1" t="s">
        <v>38</v>
      </c>
      <c r="N371" s="1" t="s">
        <v>21</v>
      </c>
      <c r="O371" s="1" t="s">
        <v>6</v>
      </c>
      <c r="P371" s="1" t="s">
        <v>7</v>
      </c>
      <c r="Q371" s="6">
        <f>C371+4</f>
        <v>41141</v>
      </c>
    </row>
    <row r="372" spans="1:17" ht="15.75" x14ac:dyDescent="0.3">
      <c r="A372" s="1">
        <v>1938</v>
      </c>
      <c r="B372" s="2">
        <v>13894</v>
      </c>
      <c r="C372" s="3">
        <f>DATE(2012,12,31)-265</f>
        <v>41009</v>
      </c>
      <c r="D372" s="1" t="s">
        <v>12</v>
      </c>
      <c r="E372" s="2">
        <v>31</v>
      </c>
      <c r="F372" s="2">
        <v>89.18</v>
      </c>
      <c r="G372" s="2">
        <v>0.04</v>
      </c>
      <c r="H372" s="2">
        <v>0.4</v>
      </c>
      <c r="I372" s="4">
        <v>21.73</v>
      </c>
      <c r="J372" s="5">
        <v>2.94</v>
      </c>
      <c r="K372" s="5">
        <v>0.81</v>
      </c>
      <c r="L372" s="1" t="s">
        <v>5</v>
      </c>
      <c r="M372" s="1" t="s">
        <v>38</v>
      </c>
      <c r="N372" s="1" t="s">
        <v>15</v>
      </c>
      <c r="O372" s="1" t="s">
        <v>6</v>
      </c>
      <c r="P372" s="1" t="s">
        <v>14</v>
      </c>
      <c r="Q372" s="6">
        <f>C372+1</f>
        <v>41010</v>
      </c>
    </row>
    <row r="373" spans="1:17" ht="15.75" x14ac:dyDescent="0.3">
      <c r="A373" s="1">
        <v>1939</v>
      </c>
      <c r="B373" s="2">
        <v>13894</v>
      </c>
      <c r="C373" s="3">
        <f>DATE(2012,12,31)-265</f>
        <v>41009</v>
      </c>
      <c r="D373" s="1" t="s">
        <v>12</v>
      </c>
      <c r="E373" s="2">
        <v>50</v>
      </c>
      <c r="F373" s="2">
        <v>1540.2850000000001</v>
      </c>
      <c r="G373" s="2">
        <v>0.05</v>
      </c>
      <c r="H373" s="2">
        <v>0.36</v>
      </c>
      <c r="I373" s="4">
        <v>829.64700000000005</v>
      </c>
      <c r="J373" s="5">
        <v>35.99</v>
      </c>
      <c r="K373" s="5">
        <v>1.25</v>
      </c>
      <c r="L373" s="1" t="s">
        <v>5</v>
      </c>
      <c r="M373" s="1" t="s">
        <v>38</v>
      </c>
      <c r="N373" s="1" t="s">
        <v>15</v>
      </c>
      <c r="O373" s="1" t="s">
        <v>11</v>
      </c>
      <c r="P373" s="1" t="s">
        <v>20</v>
      </c>
      <c r="Q373" s="6">
        <f>C373+1</f>
        <v>41010</v>
      </c>
    </row>
    <row r="374" spans="1:17" ht="15.75" x14ac:dyDescent="0.3">
      <c r="A374" s="1">
        <v>2286</v>
      </c>
      <c r="B374" s="2">
        <v>16480</v>
      </c>
      <c r="C374" s="3">
        <f>DATE(2012,12,31)-1121</f>
        <v>40153</v>
      </c>
      <c r="D374" s="1" t="s">
        <v>8</v>
      </c>
      <c r="E374" s="2">
        <v>14</v>
      </c>
      <c r="F374" s="2">
        <v>87.23</v>
      </c>
      <c r="G374" s="2">
        <v>0.09</v>
      </c>
      <c r="H374" s="2">
        <v>0.37</v>
      </c>
      <c r="I374" s="4">
        <v>-69.528999999999996</v>
      </c>
      <c r="J374" s="5">
        <v>5.4</v>
      </c>
      <c r="K374" s="5">
        <v>7.78</v>
      </c>
      <c r="L374" s="1" t="s">
        <v>9</v>
      </c>
      <c r="M374" s="1" t="s">
        <v>38</v>
      </c>
      <c r="N374" s="1" t="s">
        <v>21</v>
      </c>
      <c r="O374" s="1" t="s">
        <v>6</v>
      </c>
      <c r="P374" s="1" t="s">
        <v>7</v>
      </c>
      <c r="Q374" s="6">
        <f>C374+2</f>
        <v>40155</v>
      </c>
    </row>
    <row r="375" spans="1:17" ht="15.75" x14ac:dyDescent="0.3">
      <c r="A375" s="1">
        <v>2455</v>
      </c>
      <c r="B375" s="2">
        <v>17858</v>
      </c>
      <c r="C375" s="3">
        <f>DATE(2012,12,31)-828</f>
        <v>40446</v>
      </c>
      <c r="D375" s="1" t="s">
        <v>12</v>
      </c>
      <c r="E375" s="2">
        <v>21</v>
      </c>
      <c r="F375" s="2">
        <v>187.14</v>
      </c>
      <c r="G375" s="2">
        <v>0.02</v>
      </c>
      <c r="H375" s="2">
        <v>0.52</v>
      </c>
      <c r="I375" s="4">
        <v>21.07</v>
      </c>
      <c r="J375" s="5">
        <v>8.33</v>
      </c>
      <c r="K375" s="5">
        <v>1.99</v>
      </c>
      <c r="L375" s="1" t="s">
        <v>5</v>
      </c>
      <c r="M375" s="1" t="s">
        <v>38</v>
      </c>
      <c r="N375" s="1" t="s">
        <v>21</v>
      </c>
      <c r="O375" s="1" t="s">
        <v>11</v>
      </c>
      <c r="P375" s="1" t="s">
        <v>20</v>
      </c>
      <c r="Q375" s="6">
        <f>C375+2</f>
        <v>40448</v>
      </c>
    </row>
    <row r="376" spans="1:17" ht="15.75" x14ac:dyDescent="0.3">
      <c r="A376" s="1">
        <v>2456</v>
      </c>
      <c r="B376" s="2">
        <v>17858</v>
      </c>
      <c r="C376" s="3">
        <f>DATE(2012,12,31)-828</f>
        <v>40446</v>
      </c>
      <c r="D376" s="1" t="s">
        <v>12</v>
      </c>
      <c r="E376" s="2">
        <v>12</v>
      </c>
      <c r="F376" s="2">
        <v>385.7</v>
      </c>
      <c r="G376" s="2">
        <v>0</v>
      </c>
      <c r="H376" s="2">
        <v>0.79</v>
      </c>
      <c r="I376" s="4">
        <v>-109.91</v>
      </c>
      <c r="J376" s="5">
        <v>30.98</v>
      </c>
      <c r="K376" s="5">
        <v>6.5</v>
      </c>
      <c r="L376" s="1" t="s">
        <v>5</v>
      </c>
      <c r="M376" s="1" t="s">
        <v>38</v>
      </c>
      <c r="N376" s="1" t="s">
        <v>21</v>
      </c>
      <c r="O376" s="1" t="s">
        <v>11</v>
      </c>
      <c r="P376" s="1" t="s">
        <v>7</v>
      </c>
      <c r="Q376" s="6">
        <f>C376+1</f>
        <v>40447</v>
      </c>
    </row>
    <row r="377" spans="1:17" ht="15.75" x14ac:dyDescent="0.3">
      <c r="A377" s="1">
        <v>2457</v>
      </c>
      <c r="B377" s="2">
        <v>17858</v>
      </c>
      <c r="C377" s="3">
        <f>DATE(2012,12,31)-828</f>
        <v>40446</v>
      </c>
      <c r="D377" s="1" t="s">
        <v>12</v>
      </c>
      <c r="E377" s="2">
        <v>46</v>
      </c>
      <c r="F377" s="2">
        <v>1048.3900000000001</v>
      </c>
      <c r="G377" s="2">
        <v>0.06</v>
      </c>
      <c r="H377" s="2">
        <v>0.51</v>
      </c>
      <c r="I377" s="4">
        <v>206.56</v>
      </c>
      <c r="J377" s="5">
        <v>22.98</v>
      </c>
      <c r="K377" s="5">
        <v>7.58</v>
      </c>
      <c r="L377" s="1" t="s">
        <v>9</v>
      </c>
      <c r="M377" s="1" t="s">
        <v>38</v>
      </c>
      <c r="N377" s="1" t="s">
        <v>21</v>
      </c>
      <c r="O377" s="1" t="s">
        <v>3</v>
      </c>
      <c r="P377" s="1" t="s">
        <v>7</v>
      </c>
      <c r="Q377" s="6">
        <f>C377+1</f>
        <v>40447</v>
      </c>
    </row>
    <row r="378" spans="1:17" ht="15.75" x14ac:dyDescent="0.3">
      <c r="A378" s="1">
        <v>2571</v>
      </c>
      <c r="B378" s="2">
        <v>18561</v>
      </c>
      <c r="C378" s="3">
        <f>DATE(2012,12,31)-1452</f>
        <v>39822</v>
      </c>
      <c r="D378" s="1" t="s">
        <v>8</v>
      </c>
      <c r="E378" s="2">
        <v>9</v>
      </c>
      <c r="F378" s="2">
        <v>45.87</v>
      </c>
      <c r="G378" s="2">
        <v>0.02</v>
      </c>
      <c r="H378" s="2">
        <v>0.39</v>
      </c>
      <c r="I378" s="4">
        <v>-38.9</v>
      </c>
      <c r="J378" s="5">
        <v>4.13</v>
      </c>
      <c r="K378" s="5">
        <v>6.89</v>
      </c>
      <c r="L378" s="1" t="s">
        <v>5</v>
      </c>
      <c r="M378" s="1" t="s">
        <v>38</v>
      </c>
      <c r="N378" s="1" t="s">
        <v>15</v>
      </c>
      <c r="O378" s="1" t="s">
        <v>6</v>
      </c>
      <c r="P378" s="1" t="s">
        <v>7</v>
      </c>
      <c r="Q378" s="6">
        <f>C378+1</f>
        <v>39823</v>
      </c>
    </row>
    <row r="379" spans="1:17" ht="15.75" x14ac:dyDescent="0.3">
      <c r="A379" s="1">
        <v>2739</v>
      </c>
      <c r="B379" s="2">
        <v>19777</v>
      </c>
      <c r="C379" s="3">
        <f>DATE(2012,12,31)-73</f>
        <v>41201</v>
      </c>
      <c r="D379" s="1" t="s">
        <v>8</v>
      </c>
      <c r="E379" s="2">
        <v>22</v>
      </c>
      <c r="F379" s="2">
        <v>321.91000000000003</v>
      </c>
      <c r="G379" s="2">
        <v>0.06</v>
      </c>
      <c r="H379" s="2">
        <v>0.39</v>
      </c>
      <c r="I379" s="4">
        <v>-24.954999999999998</v>
      </c>
      <c r="J379" s="5">
        <v>15.01</v>
      </c>
      <c r="K379" s="5">
        <v>8.4</v>
      </c>
      <c r="L379" s="1" t="s">
        <v>5</v>
      </c>
      <c r="M379" s="1" t="s">
        <v>38</v>
      </c>
      <c r="N379" s="1" t="s">
        <v>2</v>
      </c>
      <c r="O379" s="1" t="s">
        <v>6</v>
      </c>
      <c r="P379" s="1" t="s">
        <v>7</v>
      </c>
      <c r="Q379" s="6">
        <f>C379+0</f>
        <v>41201</v>
      </c>
    </row>
    <row r="380" spans="1:17" ht="15.75" x14ac:dyDescent="0.3">
      <c r="A380" s="1">
        <v>2740</v>
      </c>
      <c r="B380" s="2">
        <v>19777</v>
      </c>
      <c r="C380" s="3">
        <f>DATE(2012,12,31)-73</f>
        <v>41201</v>
      </c>
      <c r="D380" s="1" t="s">
        <v>8</v>
      </c>
      <c r="E380" s="2">
        <v>2</v>
      </c>
      <c r="F380" s="2">
        <v>132.96</v>
      </c>
      <c r="G380" s="2">
        <v>0.05</v>
      </c>
      <c r="H380" s="2">
        <v>0.39</v>
      </c>
      <c r="I380" s="4">
        <v>-61.881500000000003</v>
      </c>
      <c r="J380" s="5">
        <v>59.78</v>
      </c>
      <c r="K380" s="5">
        <v>10.29</v>
      </c>
      <c r="L380" s="1" t="s">
        <v>5</v>
      </c>
      <c r="M380" s="1" t="s">
        <v>38</v>
      </c>
      <c r="N380" s="1" t="s">
        <v>2</v>
      </c>
      <c r="O380" s="1" t="s">
        <v>6</v>
      </c>
      <c r="P380" s="1" t="s">
        <v>7</v>
      </c>
      <c r="Q380" s="6">
        <f>C380+2</f>
        <v>41203</v>
      </c>
    </row>
    <row r="381" spans="1:17" ht="15.75" x14ac:dyDescent="0.3">
      <c r="A381" s="1">
        <v>2741</v>
      </c>
      <c r="B381" s="2">
        <v>19777</v>
      </c>
      <c r="C381" s="3">
        <f>DATE(2012,12,31)-73</f>
        <v>41201</v>
      </c>
      <c r="D381" s="1" t="s">
        <v>8</v>
      </c>
      <c r="E381" s="2">
        <v>24</v>
      </c>
      <c r="F381" s="2">
        <v>3268.7514999999999</v>
      </c>
      <c r="G381" s="2">
        <v>0.04</v>
      </c>
      <c r="H381" s="2">
        <v>0.6</v>
      </c>
      <c r="I381" s="4">
        <v>562.91399999999999</v>
      </c>
      <c r="J381" s="5">
        <v>155.99</v>
      </c>
      <c r="K381" s="5">
        <v>8.08</v>
      </c>
      <c r="L381" s="1" t="s">
        <v>5</v>
      </c>
      <c r="M381" s="1" t="s">
        <v>38</v>
      </c>
      <c r="N381" s="1" t="s">
        <v>2</v>
      </c>
      <c r="O381" s="1" t="s">
        <v>11</v>
      </c>
      <c r="P381" s="1" t="s">
        <v>7</v>
      </c>
      <c r="Q381" s="6">
        <f>C381+2</f>
        <v>41203</v>
      </c>
    </row>
    <row r="382" spans="1:17" ht="15.75" x14ac:dyDescent="0.3">
      <c r="A382" s="1">
        <v>2992</v>
      </c>
      <c r="B382" s="2">
        <v>21601</v>
      </c>
      <c r="C382" s="3">
        <f>DATE(2012,12,31)-635</f>
        <v>40639</v>
      </c>
      <c r="D382" s="1" t="s">
        <v>16</v>
      </c>
      <c r="E382" s="2">
        <v>20</v>
      </c>
      <c r="F382" s="2">
        <v>2227.34</v>
      </c>
      <c r="G382" s="2">
        <v>0.09</v>
      </c>
      <c r="H382" s="2"/>
      <c r="I382" s="4">
        <v>-609.09</v>
      </c>
      <c r="J382" s="5">
        <v>113.64</v>
      </c>
      <c r="K382" s="5">
        <v>35</v>
      </c>
      <c r="L382" s="1" t="s">
        <v>5</v>
      </c>
      <c r="M382" s="1" t="s">
        <v>38</v>
      </c>
      <c r="N382" s="1" t="s">
        <v>21</v>
      </c>
      <c r="O382" s="1" t="s">
        <v>6</v>
      </c>
      <c r="P382" s="1" t="s">
        <v>10</v>
      </c>
      <c r="Q382" s="6">
        <f>C382+0</f>
        <v>40639</v>
      </c>
    </row>
    <row r="383" spans="1:17" ht="15.75" x14ac:dyDescent="0.3">
      <c r="A383" s="1">
        <v>3013</v>
      </c>
      <c r="B383" s="2">
        <v>21670</v>
      </c>
      <c r="C383" s="3">
        <f>DATE(2012,12,31)-720</f>
        <v>40554</v>
      </c>
      <c r="D383" s="1" t="s">
        <v>17</v>
      </c>
      <c r="E383" s="2">
        <v>24</v>
      </c>
      <c r="F383" s="2">
        <v>1965.21</v>
      </c>
      <c r="G383" s="2">
        <v>0</v>
      </c>
      <c r="H383" s="2">
        <v>0.43</v>
      </c>
      <c r="I383" s="4">
        <v>830.75</v>
      </c>
      <c r="J383" s="5">
        <v>78.69</v>
      </c>
      <c r="K383" s="5">
        <v>19.989999999999998</v>
      </c>
      <c r="L383" s="1" t="s">
        <v>5</v>
      </c>
      <c r="M383" s="1" t="s">
        <v>38</v>
      </c>
      <c r="N383" s="1" t="s">
        <v>15</v>
      </c>
      <c r="O383" s="1" t="s">
        <v>3</v>
      </c>
      <c r="P383" s="1" t="s">
        <v>7</v>
      </c>
      <c r="Q383" s="6">
        <f>C383+1</f>
        <v>40555</v>
      </c>
    </row>
    <row r="384" spans="1:17" ht="15.75" x14ac:dyDescent="0.3">
      <c r="A384" s="1">
        <v>3285</v>
      </c>
      <c r="B384" s="2">
        <v>23489</v>
      </c>
      <c r="C384" s="3">
        <f>DATE(2012,12,31)-125</f>
        <v>41149</v>
      </c>
      <c r="D384" s="1" t="s">
        <v>17</v>
      </c>
      <c r="E384" s="2">
        <v>42</v>
      </c>
      <c r="F384" s="2">
        <v>2004.6</v>
      </c>
      <c r="G384" s="2">
        <v>0.02</v>
      </c>
      <c r="H384" s="2">
        <v>0.71</v>
      </c>
      <c r="I384" s="4">
        <v>230.3</v>
      </c>
      <c r="J384" s="5">
        <v>47.98</v>
      </c>
      <c r="K384" s="5">
        <v>3.61</v>
      </c>
      <c r="L384" s="1" t="s">
        <v>9</v>
      </c>
      <c r="M384" s="1" t="s">
        <v>38</v>
      </c>
      <c r="N384" s="1" t="s">
        <v>2</v>
      </c>
      <c r="O384" s="1" t="s">
        <v>11</v>
      </c>
      <c r="P384" s="1" t="s">
        <v>20</v>
      </c>
      <c r="Q384" s="6">
        <f>C384+0</f>
        <v>41149</v>
      </c>
    </row>
    <row r="385" spans="1:17" ht="15.75" x14ac:dyDescent="0.3">
      <c r="A385" s="1">
        <v>3432</v>
      </c>
      <c r="B385" s="2">
        <v>24486</v>
      </c>
      <c r="C385" s="3">
        <f>DATE(2012,12,31)-619</f>
        <v>40655</v>
      </c>
      <c r="D385" s="1" t="s">
        <v>12</v>
      </c>
      <c r="E385" s="2">
        <v>3</v>
      </c>
      <c r="F385" s="2">
        <v>28.11</v>
      </c>
      <c r="G385" s="2">
        <v>0.03</v>
      </c>
      <c r="H385" s="2">
        <v>0.77</v>
      </c>
      <c r="I385" s="4">
        <v>-31.62</v>
      </c>
      <c r="J385" s="5">
        <v>8.1199999999999992</v>
      </c>
      <c r="K385" s="5">
        <v>2.83</v>
      </c>
      <c r="L385" s="1" t="s">
        <v>5</v>
      </c>
      <c r="M385" s="1" t="s">
        <v>38</v>
      </c>
      <c r="N385" s="1" t="s">
        <v>21</v>
      </c>
      <c r="O385" s="1" t="s">
        <v>11</v>
      </c>
      <c r="P385" s="1" t="s">
        <v>20</v>
      </c>
      <c r="Q385" s="6">
        <f>C385+1</f>
        <v>40656</v>
      </c>
    </row>
    <row r="386" spans="1:17" ht="15.75" x14ac:dyDescent="0.3">
      <c r="A386" s="1">
        <v>3433</v>
      </c>
      <c r="B386" s="2">
        <v>24486</v>
      </c>
      <c r="C386" s="3">
        <f>DATE(2012,12,31)-619</f>
        <v>40655</v>
      </c>
      <c r="D386" s="1" t="s">
        <v>12</v>
      </c>
      <c r="E386" s="2">
        <v>14</v>
      </c>
      <c r="F386" s="2">
        <v>27.06</v>
      </c>
      <c r="G386" s="2">
        <v>0</v>
      </c>
      <c r="H386" s="2">
        <v>0.56000000000000005</v>
      </c>
      <c r="I386" s="4">
        <v>-6.0000000000000053E-2</v>
      </c>
      <c r="J386" s="5">
        <v>1.76</v>
      </c>
      <c r="K386" s="5">
        <v>0.7</v>
      </c>
      <c r="L386" s="1" t="s">
        <v>5</v>
      </c>
      <c r="M386" s="1" t="s">
        <v>38</v>
      </c>
      <c r="N386" s="1" t="s">
        <v>21</v>
      </c>
      <c r="O386" s="1" t="s">
        <v>6</v>
      </c>
      <c r="P386" s="1" t="s">
        <v>14</v>
      </c>
      <c r="Q386" s="6">
        <f>C386+1</f>
        <v>40656</v>
      </c>
    </row>
    <row r="387" spans="1:17" ht="15.75" x14ac:dyDescent="0.3">
      <c r="A387" s="1">
        <v>3490</v>
      </c>
      <c r="B387" s="2">
        <v>24869</v>
      </c>
      <c r="C387" s="3">
        <f>DATE(2012,12,31)-1300</f>
        <v>39974</v>
      </c>
      <c r="D387" s="1" t="s">
        <v>8</v>
      </c>
      <c r="E387" s="2">
        <v>14</v>
      </c>
      <c r="F387" s="2">
        <v>132.72</v>
      </c>
      <c r="G387" s="2">
        <v>0.05</v>
      </c>
      <c r="H387" s="2">
        <v>0.36</v>
      </c>
      <c r="I387" s="4">
        <v>-9.1769999999999996</v>
      </c>
      <c r="J387" s="5">
        <v>8.85</v>
      </c>
      <c r="K387" s="5">
        <v>5.6</v>
      </c>
      <c r="L387" s="1" t="s">
        <v>5</v>
      </c>
      <c r="M387" s="1" t="s">
        <v>38</v>
      </c>
      <c r="N387" s="1" t="s">
        <v>21</v>
      </c>
      <c r="O387" s="1" t="s">
        <v>6</v>
      </c>
      <c r="P387" s="1" t="s">
        <v>7</v>
      </c>
      <c r="Q387" s="6">
        <f>C387+1</f>
        <v>39975</v>
      </c>
    </row>
    <row r="388" spans="1:17" ht="15.75" x14ac:dyDescent="0.3">
      <c r="A388" s="1">
        <v>3601</v>
      </c>
      <c r="B388" s="2">
        <v>25697</v>
      </c>
      <c r="C388" s="3">
        <f>DATE(2012,12,31)-615</f>
        <v>40659</v>
      </c>
      <c r="D388" s="1" t="s">
        <v>16</v>
      </c>
      <c r="E388" s="2">
        <v>46</v>
      </c>
      <c r="F388" s="2">
        <v>400.25</v>
      </c>
      <c r="G388" s="2">
        <v>0.02</v>
      </c>
      <c r="H388" s="2">
        <v>0.61</v>
      </c>
      <c r="I388" s="4">
        <v>-37.5</v>
      </c>
      <c r="J388" s="5">
        <v>8.4600000000000009</v>
      </c>
      <c r="K388" s="5">
        <v>3.62</v>
      </c>
      <c r="L388" s="1" t="s">
        <v>5</v>
      </c>
      <c r="M388" s="1" t="s">
        <v>38</v>
      </c>
      <c r="N388" s="1" t="s">
        <v>21</v>
      </c>
      <c r="O388" s="1" t="s">
        <v>11</v>
      </c>
      <c r="P388" s="1" t="s">
        <v>20</v>
      </c>
      <c r="Q388" s="6">
        <f>C388+0</f>
        <v>40659</v>
      </c>
    </row>
    <row r="389" spans="1:17" ht="15.75" x14ac:dyDescent="0.3">
      <c r="A389" s="1">
        <v>3854</v>
      </c>
      <c r="B389" s="2">
        <v>27490</v>
      </c>
      <c r="C389" s="3">
        <f>DATE(2012,12,31)-292</f>
        <v>40982</v>
      </c>
      <c r="D389" s="1" t="s">
        <v>8</v>
      </c>
      <c r="E389" s="2">
        <v>18</v>
      </c>
      <c r="F389" s="2">
        <v>611.71</v>
      </c>
      <c r="G389" s="2">
        <v>0.02</v>
      </c>
      <c r="H389" s="2">
        <v>0.37</v>
      </c>
      <c r="I389" s="4">
        <v>93.228000000000009</v>
      </c>
      <c r="J389" s="5">
        <v>31.74</v>
      </c>
      <c r="K389" s="5">
        <v>12.62</v>
      </c>
      <c r="L389" s="1" t="s">
        <v>5</v>
      </c>
      <c r="M389" s="1" t="s">
        <v>38</v>
      </c>
      <c r="N389" s="1" t="s">
        <v>2</v>
      </c>
      <c r="O389" s="1" t="s">
        <v>6</v>
      </c>
      <c r="P389" s="1" t="s">
        <v>7</v>
      </c>
      <c r="Q389" s="6">
        <f>C389+2</f>
        <v>40984</v>
      </c>
    </row>
    <row r="390" spans="1:17" ht="15.75" x14ac:dyDescent="0.3">
      <c r="A390" s="1">
        <v>3906</v>
      </c>
      <c r="B390" s="2">
        <v>27844</v>
      </c>
      <c r="C390" s="3">
        <f>DATE(2012,12,31)-551</f>
        <v>40723</v>
      </c>
      <c r="D390" s="1" t="s">
        <v>16</v>
      </c>
      <c r="E390" s="2">
        <v>27</v>
      </c>
      <c r="F390" s="2">
        <v>135.86000000000001</v>
      </c>
      <c r="G390" s="2">
        <v>0.04</v>
      </c>
      <c r="H390" s="2">
        <v>0.38</v>
      </c>
      <c r="I390" s="4">
        <v>-73.42</v>
      </c>
      <c r="J390" s="5">
        <v>4.9800000000000004</v>
      </c>
      <c r="K390" s="5">
        <v>5.49</v>
      </c>
      <c r="L390" s="1" t="s">
        <v>5</v>
      </c>
      <c r="M390" s="1" t="s">
        <v>38</v>
      </c>
      <c r="N390" s="1" t="s">
        <v>15</v>
      </c>
      <c r="O390" s="1" t="s">
        <v>6</v>
      </c>
      <c r="P390" s="1" t="s">
        <v>7</v>
      </c>
      <c r="Q390" s="6">
        <f>C390+2</f>
        <v>40725</v>
      </c>
    </row>
    <row r="391" spans="1:17" ht="15.75" x14ac:dyDescent="0.3">
      <c r="A391" s="1">
        <v>3981</v>
      </c>
      <c r="B391" s="2">
        <v>28451</v>
      </c>
      <c r="C391" s="3">
        <f>DATE(2012,12,31)-1456</f>
        <v>39818</v>
      </c>
      <c r="D391" s="1" t="s">
        <v>0</v>
      </c>
      <c r="E391" s="2">
        <v>21</v>
      </c>
      <c r="F391" s="2">
        <v>4201.08</v>
      </c>
      <c r="G391" s="2">
        <v>0.01</v>
      </c>
      <c r="H391" s="2">
        <v>0.59</v>
      </c>
      <c r="I391" s="4">
        <v>1162.76</v>
      </c>
      <c r="J391" s="5">
        <v>194.3</v>
      </c>
      <c r="K391" s="5">
        <v>11.54</v>
      </c>
      <c r="L391" s="1" t="s">
        <v>5</v>
      </c>
      <c r="M391" s="1" t="s">
        <v>38</v>
      </c>
      <c r="N391" s="1" t="s">
        <v>13</v>
      </c>
      <c r="O391" s="1" t="s">
        <v>3</v>
      </c>
      <c r="P391" s="1" t="s">
        <v>10</v>
      </c>
      <c r="Q391" s="6">
        <f>C391+2</f>
        <v>39820</v>
      </c>
    </row>
    <row r="392" spans="1:17" ht="15.75" x14ac:dyDescent="0.3">
      <c r="A392" s="1">
        <v>3982</v>
      </c>
      <c r="B392" s="2">
        <v>28451</v>
      </c>
      <c r="C392" s="3">
        <f>DATE(2012,12,31)-1456</f>
        <v>39818</v>
      </c>
      <c r="D392" s="1" t="s">
        <v>0</v>
      </c>
      <c r="E392" s="2">
        <v>41</v>
      </c>
      <c r="F392" s="2">
        <v>8958.4599999999991</v>
      </c>
      <c r="G392" s="2">
        <v>0.02</v>
      </c>
      <c r="H392" s="2">
        <v>0.59</v>
      </c>
      <c r="I392" s="4">
        <v>2593.14</v>
      </c>
      <c r="J392" s="5">
        <v>209.84</v>
      </c>
      <c r="K392" s="5">
        <v>21.21</v>
      </c>
      <c r="L392" s="1" t="s">
        <v>5</v>
      </c>
      <c r="M392" s="1" t="s">
        <v>38</v>
      </c>
      <c r="N392" s="1" t="s">
        <v>13</v>
      </c>
      <c r="O392" s="1" t="s">
        <v>3</v>
      </c>
      <c r="P392" s="1" t="s">
        <v>10</v>
      </c>
      <c r="Q392" s="6">
        <f>C392+1</f>
        <v>39819</v>
      </c>
    </row>
    <row r="393" spans="1:17" ht="15.75" x14ac:dyDescent="0.3">
      <c r="A393" s="1">
        <v>3983</v>
      </c>
      <c r="B393" s="2">
        <v>28451</v>
      </c>
      <c r="C393" s="3">
        <f>DATE(2012,12,31)-1456</f>
        <v>39818</v>
      </c>
      <c r="D393" s="1" t="s">
        <v>0</v>
      </c>
      <c r="E393" s="2">
        <v>33</v>
      </c>
      <c r="F393" s="2">
        <v>4913.7</v>
      </c>
      <c r="G393" s="2">
        <v>0</v>
      </c>
      <c r="H393" s="2">
        <v>0.56000000000000005</v>
      </c>
      <c r="I393" s="4">
        <v>1054.93</v>
      </c>
      <c r="J393" s="5">
        <v>145.44999999999999</v>
      </c>
      <c r="K393" s="5">
        <v>17.850000000000001</v>
      </c>
      <c r="L393" s="1" t="s">
        <v>1</v>
      </c>
      <c r="M393" s="1" t="s">
        <v>38</v>
      </c>
      <c r="N393" s="1" t="s">
        <v>13</v>
      </c>
      <c r="O393" s="1" t="s">
        <v>11</v>
      </c>
      <c r="P393" s="1" t="s">
        <v>4</v>
      </c>
      <c r="Q393" s="6">
        <f>C393+2</f>
        <v>39820</v>
      </c>
    </row>
    <row r="394" spans="1:17" ht="15.75" x14ac:dyDescent="0.3">
      <c r="A394" s="1">
        <v>3989</v>
      </c>
      <c r="B394" s="2">
        <v>28482</v>
      </c>
      <c r="C394" s="3">
        <f>DATE(2012,12,31)-1029</f>
        <v>40245</v>
      </c>
      <c r="D394" s="1" t="s">
        <v>0</v>
      </c>
      <c r="E394" s="2">
        <v>22</v>
      </c>
      <c r="F394" s="2">
        <v>119.63</v>
      </c>
      <c r="G394" s="2">
        <v>0.03</v>
      </c>
      <c r="H394" s="2">
        <v>0.51</v>
      </c>
      <c r="I394" s="4">
        <v>-27.39</v>
      </c>
      <c r="J394" s="5">
        <v>5.08</v>
      </c>
      <c r="K394" s="5">
        <v>3.63</v>
      </c>
      <c r="L394" s="1" t="s">
        <v>5</v>
      </c>
      <c r="M394" s="1" t="s">
        <v>38</v>
      </c>
      <c r="N394" s="1" t="s">
        <v>15</v>
      </c>
      <c r="O394" s="1" t="s">
        <v>3</v>
      </c>
      <c r="P394" s="1" t="s">
        <v>14</v>
      </c>
      <c r="Q394" s="6">
        <f>C394+2</f>
        <v>40247</v>
      </c>
    </row>
    <row r="395" spans="1:17" ht="15.75" x14ac:dyDescent="0.3">
      <c r="A395" s="1">
        <v>3990</v>
      </c>
      <c r="B395" s="2">
        <v>28482</v>
      </c>
      <c r="C395" s="3">
        <f>DATE(2012,12,31)-1029</f>
        <v>40245</v>
      </c>
      <c r="D395" s="1" t="s">
        <v>0</v>
      </c>
      <c r="E395" s="2">
        <v>40</v>
      </c>
      <c r="F395" s="2">
        <v>177.92</v>
      </c>
      <c r="G395" s="2">
        <v>0</v>
      </c>
      <c r="H395" s="2">
        <v>0.4</v>
      </c>
      <c r="I395" s="4">
        <v>-167.92</v>
      </c>
      <c r="J395" s="5">
        <v>4.28</v>
      </c>
      <c r="K395" s="5">
        <v>6.72</v>
      </c>
      <c r="L395" s="1" t="s">
        <v>5</v>
      </c>
      <c r="M395" s="1" t="s">
        <v>38</v>
      </c>
      <c r="N395" s="1" t="s">
        <v>15</v>
      </c>
      <c r="O395" s="1" t="s">
        <v>6</v>
      </c>
      <c r="P395" s="1" t="s">
        <v>7</v>
      </c>
      <c r="Q395" s="6">
        <f>C395+0</f>
        <v>40245</v>
      </c>
    </row>
    <row r="396" spans="1:17" ht="15.75" x14ac:dyDescent="0.3">
      <c r="A396" s="1">
        <v>4012</v>
      </c>
      <c r="B396" s="2">
        <v>28642</v>
      </c>
      <c r="C396" s="3">
        <f>DATE(2012,12,31)-713</f>
        <v>40561</v>
      </c>
      <c r="D396" s="1" t="s">
        <v>17</v>
      </c>
      <c r="E396" s="2">
        <v>41</v>
      </c>
      <c r="F396" s="2">
        <v>230.29</v>
      </c>
      <c r="G396" s="2">
        <v>0</v>
      </c>
      <c r="H396" s="2">
        <v>0.37</v>
      </c>
      <c r="I396" s="4">
        <v>14.484</v>
      </c>
      <c r="J396" s="5">
        <v>5.28</v>
      </c>
      <c r="K396" s="5">
        <v>2.99</v>
      </c>
      <c r="L396" s="1" t="s">
        <v>5</v>
      </c>
      <c r="M396" s="1" t="s">
        <v>38</v>
      </c>
      <c r="N396" s="1" t="s">
        <v>2</v>
      </c>
      <c r="O396" s="1" t="s">
        <v>6</v>
      </c>
      <c r="P396" s="1" t="s">
        <v>7</v>
      </c>
      <c r="Q396" s="6">
        <f>C396+2</f>
        <v>40563</v>
      </c>
    </row>
    <row r="397" spans="1:17" ht="15.75" x14ac:dyDescent="0.3">
      <c r="A397" s="1">
        <v>4013</v>
      </c>
      <c r="B397" s="2">
        <v>28642</v>
      </c>
      <c r="C397" s="3">
        <f>DATE(2012,12,31)-713</f>
        <v>40561</v>
      </c>
      <c r="D397" s="1" t="s">
        <v>17</v>
      </c>
      <c r="E397" s="2">
        <v>27</v>
      </c>
      <c r="F397" s="2">
        <v>1592.0415</v>
      </c>
      <c r="G397" s="2">
        <v>0</v>
      </c>
      <c r="H397" s="2">
        <v>0.59</v>
      </c>
      <c r="I397" s="4">
        <v>-52.700999999999993</v>
      </c>
      <c r="J397" s="5">
        <v>65.989999999999995</v>
      </c>
      <c r="K397" s="5">
        <v>19.989999999999998</v>
      </c>
      <c r="L397" s="1" t="s">
        <v>5</v>
      </c>
      <c r="M397" s="1" t="s">
        <v>38</v>
      </c>
      <c r="N397" s="1" t="s">
        <v>2</v>
      </c>
      <c r="O397" s="1" t="s">
        <v>11</v>
      </c>
      <c r="P397" s="1" t="s">
        <v>7</v>
      </c>
      <c r="Q397" s="6">
        <f>C397+2</f>
        <v>40563</v>
      </c>
    </row>
    <row r="398" spans="1:17" ht="15.75" x14ac:dyDescent="0.3">
      <c r="A398" s="1">
        <v>4136</v>
      </c>
      <c r="B398" s="2">
        <v>29380</v>
      </c>
      <c r="C398" s="3">
        <f>DATE(2012,12,31)-1344</f>
        <v>39930</v>
      </c>
      <c r="D398" s="1" t="s">
        <v>8</v>
      </c>
      <c r="E398" s="2">
        <v>13</v>
      </c>
      <c r="F398" s="2">
        <v>150.13</v>
      </c>
      <c r="G398" s="2">
        <v>0.09</v>
      </c>
      <c r="H398" s="2">
        <v>0.38</v>
      </c>
      <c r="I398" s="4">
        <v>1.73</v>
      </c>
      <c r="J398" s="5">
        <v>12.28</v>
      </c>
      <c r="K398" s="5">
        <v>4.8600000000000003</v>
      </c>
      <c r="L398" s="1" t="s">
        <v>5</v>
      </c>
      <c r="M398" s="1" t="s">
        <v>38</v>
      </c>
      <c r="N398" s="1" t="s">
        <v>2</v>
      </c>
      <c r="O398" s="1" t="s">
        <v>6</v>
      </c>
      <c r="P398" s="1" t="s">
        <v>7</v>
      </c>
      <c r="Q398" s="6">
        <f>C398+1</f>
        <v>39931</v>
      </c>
    </row>
    <row r="399" spans="1:17" ht="15.75" x14ac:dyDescent="0.3">
      <c r="A399" s="1">
        <v>4499</v>
      </c>
      <c r="B399" s="2">
        <v>32036</v>
      </c>
      <c r="C399" s="3">
        <f>DATE(2012,12,31)-453</f>
        <v>40821</v>
      </c>
      <c r="D399" s="1" t="s">
        <v>12</v>
      </c>
      <c r="E399" s="2">
        <v>6</v>
      </c>
      <c r="F399" s="2">
        <v>338.89</v>
      </c>
      <c r="G399" s="2">
        <v>7.0000000000000007E-2</v>
      </c>
      <c r="H399" s="2">
        <v>0.36</v>
      </c>
      <c r="I399" s="4">
        <v>45.76</v>
      </c>
      <c r="J399" s="5">
        <v>54.96</v>
      </c>
      <c r="K399" s="5">
        <v>10.75</v>
      </c>
      <c r="L399" s="1" t="s">
        <v>5</v>
      </c>
      <c r="M399" s="1" t="s">
        <v>38</v>
      </c>
      <c r="N399" s="1" t="s">
        <v>2</v>
      </c>
      <c r="O399" s="1" t="s">
        <v>6</v>
      </c>
      <c r="P399" s="1" t="s">
        <v>7</v>
      </c>
      <c r="Q399" s="6">
        <f>C399+2</f>
        <v>40823</v>
      </c>
    </row>
    <row r="400" spans="1:17" ht="15.75" x14ac:dyDescent="0.3">
      <c r="A400" s="1">
        <v>4500</v>
      </c>
      <c r="B400" s="2">
        <v>32036</v>
      </c>
      <c r="C400" s="3">
        <f>DATE(2012,12,31)-453</f>
        <v>40821</v>
      </c>
      <c r="D400" s="1" t="s">
        <v>12</v>
      </c>
      <c r="E400" s="2">
        <v>25</v>
      </c>
      <c r="F400" s="2">
        <v>362.52</v>
      </c>
      <c r="G400" s="2">
        <v>7.0000000000000007E-2</v>
      </c>
      <c r="H400" s="2">
        <v>0.56999999999999995</v>
      </c>
      <c r="I400" s="4">
        <v>-68.489999999999995</v>
      </c>
      <c r="J400" s="5">
        <v>14.97</v>
      </c>
      <c r="K400" s="5">
        <v>7.51</v>
      </c>
      <c r="L400" s="1" t="s">
        <v>5</v>
      </c>
      <c r="M400" s="1" t="s">
        <v>38</v>
      </c>
      <c r="N400" s="1" t="s">
        <v>2</v>
      </c>
      <c r="O400" s="1" t="s">
        <v>6</v>
      </c>
      <c r="P400" s="1" t="s">
        <v>7</v>
      </c>
      <c r="Q400" s="6">
        <f>C400+1</f>
        <v>40822</v>
      </c>
    </row>
    <row r="401" spans="1:17" ht="15.75" x14ac:dyDescent="0.3">
      <c r="A401" s="1">
        <v>4540</v>
      </c>
      <c r="B401" s="2">
        <v>32295</v>
      </c>
      <c r="C401" s="3">
        <f>DATE(2012,12,31)-1454</f>
        <v>39820</v>
      </c>
      <c r="D401" s="1" t="s">
        <v>17</v>
      </c>
      <c r="E401" s="2">
        <v>11</v>
      </c>
      <c r="F401" s="2">
        <v>607.59699999999998</v>
      </c>
      <c r="G401" s="2">
        <v>7.0000000000000007E-2</v>
      </c>
      <c r="H401" s="2">
        <v>0.57999999999999996</v>
      </c>
      <c r="I401" s="4">
        <v>-112.244</v>
      </c>
      <c r="J401" s="5">
        <v>65.989999999999995</v>
      </c>
      <c r="K401" s="5">
        <v>5.99</v>
      </c>
      <c r="L401" s="1" t="s">
        <v>5</v>
      </c>
      <c r="M401" s="1" t="s">
        <v>38</v>
      </c>
      <c r="N401" s="1" t="s">
        <v>13</v>
      </c>
      <c r="O401" s="1" t="s">
        <v>11</v>
      </c>
      <c r="P401" s="1" t="s">
        <v>7</v>
      </c>
      <c r="Q401" s="6">
        <f>C401+1</f>
        <v>39821</v>
      </c>
    </row>
    <row r="402" spans="1:17" ht="15.75" x14ac:dyDescent="0.3">
      <c r="A402" s="1">
        <v>4702</v>
      </c>
      <c r="B402" s="2">
        <v>33505</v>
      </c>
      <c r="C402" s="3">
        <f>DATE(2012,12,31)-828</f>
        <v>40446</v>
      </c>
      <c r="D402" s="1" t="s">
        <v>16</v>
      </c>
      <c r="E402" s="2">
        <v>32</v>
      </c>
      <c r="F402" s="2">
        <v>117.78</v>
      </c>
      <c r="G402" s="2">
        <v>0.09</v>
      </c>
      <c r="H402" s="2">
        <v>0.37</v>
      </c>
      <c r="I402" s="4">
        <v>20.82</v>
      </c>
      <c r="J402" s="5">
        <v>4</v>
      </c>
      <c r="K402" s="5">
        <v>1.3</v>
      </c>
      <c r="L402" s="1" t="s">
        <v>5</v>
      </c>
      <c r="M402" s="1" t="s">
        <v>38</v>
      </c>
      <c r="N402" s="1" t="s">
        <v>21</v>
      </c>
      <c r="O402" s="1" t="s">
        <v>6</v>
      </c>
      <c r="P402" s="1" t="s">
        <v>14</v>
      </c>
      <c r="Q402" s="6">
        <f>C402+4</f>
        <v>40450</v>
      </c>
    </row>
    <row r="403" spans="1:17" ht="15.75" x14ac:dyDescent="0.3">
      <c r="A403" s="1">
        <v>4703</v>
      </c>
      <c r="B403" s="2">
        <v>33505</v>
      </c>
      <c r="C403" s="3">
        <f>DATE(2012,12,31)-828</f>
        <v>40446</v>
      </c>
      <c r="D403" s="1" t="s">
        <v>16</v>
      </c>
      <c r="E403" s="2">
        <v>35</v>
      </c>
      <c r="F403" s="2">
        <v>2463.2404999999999</v>
      </c>
      <c r="G403" s="2">
        <v>7.0000000000000007E-2</v>
      </c>
      <c r="H403" s="2">
        <v>0.57999999999999996</v>
      </c>
      <c r="I403" s="4">
        <v>310.572</v>
      </c>
      <c r="J403" s="5">
        <v>85.99</v>
      </c>
      <c r="K403" s="5">
        <v>10.78</v>
      </c>
      <c r="L403" s="1" t="s">
        <v>9</v>
      </c>
      <c r="M403" s="1" t="s">
        <v>38</v>
      </c>
      <c r="N403" s="1" t="s">
        <v>21</v>
      </c>
      <c r="O403" s="1" t="s">
        <v>11</v>
      </c>
      <c r="P403" s="1" t="s">
        <v>7</v>
      </c>
      <c r="Q403" s="6">
        <f>C403+0</f>
        <v>40446</v>
      </c>
    </row>
    <row r="404" spans="1:17" ht="15.75" x14ac:dyDescent="0.3">
      <c r="A404" s="1">
        <v>4797</v>
      </c>
      <c r="B404" s="2">
        <v>34086</v>
      </c>
      <c r="C404" s="3">
        <f>DATE(2012,12,31)-246</f>
        <v>41028</v>
      </c>
      <c r="D404" s="1" t="s">
        <v>17</v>
      </c>
      <c r="E404" s="2">
        <v>41</v>
      </c>
      <c r="F404" s="2">
        <v>2251.9135000000001</v>
      </c>
      <c r="G404" s="2">
        <v>0.04</v>
      </c>
      <c r="H404" s="2">
        <v>0.55000000000000004</v>
      </c>
      <c r="I404" s="4">
        <v>655.91099999999994</v>
      </c>
      <c r="J404" s="5">
        <v>65.989999999999995</v>
      </c>
      <c r="K404" s="5">
        <v>2.5</v>
      </c>
      <c r="L404" s="1" t="s">
        <v>5</v>
      </c>
      <c r="M404" s="1" t="s">
        <v>38</v>
      </c>
      <c r="N404" s="1" t="s">
        <v>21</v>
      </c>
      <c r="O404" s="1" t="s">
        <v>11</v>
      </c>
      <c r="P404" s="1" t="s">
        <v>7</v>
      </c>
      <c r="Q404" s="6">
        <f>C404+2</f>
        <v>41030</v>
      </c>
    </row>
    <row r="405" spans="1:17" ht="15.75" x14ac:dyDescent="0.3">
      <c r="A405" s="1">
        <v>4809</v>
      </c>
      <c r="B405" s="2">
        <v>34209</v>
      </c>
      <c r="C405" s="3">
        <f>DATE(2012,12,31)-860</f>
        <v>40414</v>
      </c>
      <c r="D405" s="1" t="s">
        <v>17</v>
      </c>
      <c r="E405" s="2">
        <v>48</v>
      </c>
      <c r="F405" s="2">
        <v>705.44</v>
      </c>
      <c r="G405" s="2">
        <v>0.04</v>
      </c>
      <c r="H405" s="2">
        <v>0.46</v>
      </c>
      <c r="I405" s="4">
        <v>165.9</v>
      </c>
      <c r="J405" s="5">
        <v>14.2</v>
      </c>
      <c r="K405" s="5">
        <v>5.3</v>
      </c>
      <c r="L405" s="1" t="s">
        <v>5</v>
      </c>
      <c r="M405" s="1" t="s">
        <v>38</v>
      </c>
      <c r="N405" s="1" t="s">
        <v>2</v>
      </c>
      <c r="O405" s="1" t="s">
        <v>3</v>
      </c>
      <c r="P405" s="1" t="s">
        <v>14</v>
      </c>
      <c r="Q405" s="6">
        <f>C405+2</f>
        <v>40416</v>
      </c>
    </row>
    <row r="406" spans="1:17" ht="15.75" x14ac:dyDescent="0.3">
      <c r="A406" s="1">
        <v>4810</v>
      </c>
      <c r="B406" s="2">
        <v>34209</v>
      </c>
      <c r="C406" s="3">
        <f>DATE(2012,12,31)-860</f>
        <v>40414</v>
      </c>
      <c r="D406" s="1" t="s">
        <v>17</v>
      </c>
      <c r="E406" s="2">
        <v>29</v>
      </c>
      <c r="F406" s="2">
        <v>1041.72</v>
      </c>
      <c r="G406" s="2">
        <v>0.03</v>
      </c>
      <c r="H406" s="2">
        <v>0.38</v>
      </c>
      <c r="I406" s="4">
        <v>437.61</v>
      </c>
      <c r="J406" s="5">
        <v>35.44</v>
      </c>
      <c r="K406" s="5">
        <v>4.92</v>
      </c>
      <c r="L406" s="1" t="s">
        <v>5</v>
      </c>
      <c r="M406" s="1" t="s">
        <v>38</v>
      </c>
      <c r="N406" s="1" t="s">
        <v>2</v>
      </c>
      <c r="O406" s="1" t="s">
        <v>6</v>
      </c>
      <c r="P406" s="1" t="s">
        <v>7</v>
      </c>
      <c r="Q406" s="6">
        <f>C406+2</f>
        <v>40416</v>
      </c>
    </row>
    <row r="407" spans="1:17" ht="15.75" x14ac:dyDescent="0.3">
      <c r="A407" s="1">
        <v>5176</v>
      </c>
      <c r="B407" s="2">
        <v>36807</v>
      </c>
      <c r="C407" s="3">
        <f>DATE(2012,12,31)-1386</f>
        <v>39888</v>
      </c>
      <c r="D407" s="1" t="s">
        <v>12</v>
      </c>
      <c r="E407" s="2">
        <v>14</v>
      </c>
      <c r="F407" s="2">
        <v>211.88</v>
      </c>
      <c r="G407" s="2">
        <v>0.1</v>
      </c>
      <c r="H407" s="2">
        <v>0.38</v>
      </c>
      <c r="I407" s="4">
        <v>78.45</v>
      </c>
      <c r="J407" s="5">
        <v>15.57</v>
      </c>
      <c r="K407" s="5">
        <v>1.39</v>
      </c>
      <c r="L407" s="1" t="s">
        <v>5</v>
      </c>
      <c r="M407" s="1" t="s">
        <v>38</v>
      </c>
      <c r="N407" s="1" t="s">
        <v>2</v>
      </c>
      <c r="O407" s="1" t="s">
        <v>6</v>
      </c>
      <c r="P407" s="1" t="s">
        <v>7</v>
      </c>
      <c r="Q407" s="6">
        <f>C407+1</f>
        <v>39889</v>
      </c>
    </row>
    <row r="408" spans="1:17" ht="15.75" x14ac:dyDescent="0.3">
      <c r="A408" s="1">
        <v>5247</v>
      </c>
      <c r="B408" s="2">
        <v>37318</v>
      </c>
      <c r="C408" s="3">
        <f>DATE(2012,12,31)-991</f>
        <v>40283</v>
      </c>
      <c r="D408" s="1" t="s">
        <v>12</v>
      </c>
      <c r="E408" s="2">
        <v>32</v>
      </c>
      <c r="F408" s="2">
        <v>1031.23</v>
      </c>
      <c r="G408" s="2">
        <v>7.0000000000000007E-2</v>
      </c>
      <c r="H408" s="2">
        <v>0.55000000000000004</v>
      </c>
      <c r="I408" s="4">
        <v>-138.54</v>
      </c>
      <c r="J408" s="5">
        <v>33.979999999999997</v>
      </c>
      <c r="K408" s="5">
        <v>19.989999999999998</v>
      </c>
      <c r="L408" s="1" t="s">
        <v>5</v>
      </c>
      <c r="M408" s="1" t="s">
        <v>38</v>
      </c>
      <c r="N408" s="1" t="s">
        <v>21</v>
      </c>
      <c r="O408" s="1" t="s">
        <v>3</v>
      </c>
      <c r="P408" s="1" t="s">
        <v>7</v>
      </c>
      <c r="Q408" s="6">
        <f>C408+2</f>
        <v>40285</v>
      </c>
    </row>
    <row r="409" spans="1:17" ht="15.75" x14ac:dyDescent="0.3">
      <c r="A409" s="1">
        <v>5412</v>
      </c>
      <c r="B409" s="2">
        <v>38496</v>
      </c>
      <c r="C409" s="3">
        <f>DATE(2012,12,31)-1045</f>
        <v>40229</v>
      </c>
      <c r="D409" s="1" t="s">
        <v>0</v>
      </c>
      <c r="E409" s="2">
        <v>23</v>
      </c>
      <c r="F409" s="2">
        <v>116.57</v>
      </c>
      <c r="G409" s="2">
        <v>7.0000000000000007E-2</v>
      </c>
      <c r="H409" s="2">
        <v>0.36</v>
      </c>
      <c r="I409" s="4">
        <v>-43.18</v>
      </c>
      <c r="J409" s="5">
        <v>4.9800000000000004</v>
      </c>
      <c r="K409" s="5">
        <v>4.72</v>
      </c>
      <c r="L409" s="1" t="s">
        <v>5</v>
      </c>
      <c r="M409" s="1" t="s">
        <v>38</v>
      </c>
      <c r="N409" s="1" t="s">
        <v>2</v>
      </c>
      <c r="O409" s="1" t="s">
        <v>6</v>
      </c>
      <c r="P409" s="1" t="s">
        <v>7</v>
      </c>
      <c r="Q409" s="6">
        <f>C409+2</f>
        <v>40231</v>
      </c>
    </row>
    <row r="410" spans="1:17" ht="15.75" x14ac:dyDescent="0.3">
      <c r="A410" s="1">
        <v>5878</v>
      </c>
      <c r="B410" s="2">
        <v>41702</v>
      </c>
      <c r="C410" s="3">
        <f>DATE(2012,12,31)-740</f>
        <v>40534</v>
      </c>
      <c r="D410" s="1" t="s">
        <v>8</v>
      </c>
      <c r="E410" s="2">
        <v>21</v>
      </c>
      <c r="F410" s="2">
        <v>3323.44</v>
      </c>
      <c r="G410" s="2">
        <v>0.03</v>
      </c>
      <c r="H410" s="2">
        <v>0.79</v>
      </c>
      <c r="I410" s="4">
        <v>99.879999999999939</v>
      </c>
      <c r="J410" s="5">
        <v>152.47999999999999</v>
      </c>
      <c r="K410" s="5">
        <v>4</v>
      </c>
      <c r="L410" s="1" t="s">
        <v>5</v>
      </c>
      <c r="M410" s="1" t="s">
        <v>38</v>
      </c>
      <c r="N410" s="1" t="s">
        <v>2</v>
      </c>
      <c r="O410" s="1" t="s">
        <v>11</v>
      </c>
      <c r="P410" s="1" t="s">
        <v>7</v>
      </c>
      <c r="Q410" s="6">
        <f>C410+1</f>
        <v>40535</v>
      </c>
    </row>
    <row r="411" spans="1:17" ht="15.75" x14ac:dyDescent="0.3">
      <c r="A411" s="1">
        <v>5879</v>
      </c>
      <c r="B411" s="2">
        <v>41702</v>
      </c>
      <c r="C411" s="3">
        <f>DATE(2012,12,31)-740</f>
        <v>40534</v>
      </c>
      <c r="D411" s="1" t="s">
        <v>8</v>
      </c>
      <c r="E411" s="2">
        <v>5</v>
      </c>
      <c r="F411" s="2">
        <v>27.9</v>
      </c>
      <c r="G411" s="2">
        <v>0.02</v>
      </c>
      <c r="H411" s="2">
        <v>0.4</v>
      </c>
      <c r="I411" s="4">
        <v>-22.82</v>
      </c>
      <c r="J411" s="5">
        <v>4.28</v>
      </c>
      <c r="K411" s="5">
        <v>6.72</v>
      </c>
      <c r="L411" s="1" t="s">
        <v>5</v>
      </c>
      <c r="M411" s="1" t="s">
        <v>38</v>
      </c>
      <c r="N411" s="1" t="s">
        <v>2</v>
      </c>
      <c r="O411" s="1" t="s">
        <v>6</v>
      </c>
      <c r="P411" s="1" t="s">
        <v>7</v>
      </c>
      <c r="Q411" s="6">
        <f>C411+2</f>
        <v>40536</v>
      </c>
    </row>
    <row r="412" spans="1:17" ht="15.75" x14ac:dyDescent="0.3">
      <c r="A412" s="1">
        <v>6317</v>
      </c>
      <c r="B412" s="2">
        <v>44706</v>
      </c>
      <c r="C412" s="3">
        <f>DATE(2012,12,31)-1007</f>
        <v>40267</v>
      </c>
      <c r="D412" s="1" t="s">
        <v>16</v>
      </c>
      <c r="E412" s="2">
        <v>18</v>
      </c>
      <c r="F412" s="2">
        <v>7556.61</v>
      </c>
      <c r="G412" s="2">
        <v>0.08</v>
      </c>
      <c r="H412" s="2">
        <v>0.67</v>
      </c>
      <c r="I412" s="4">
        <v>-352.24200000000002</v>
      </c>
      <c r="J412" s="5">
        <v>424.21</v>
      </c>
      <c r="K412" s="5">
        <v>110.2</v>
      </c>
      <c r="L412" s="1" t="s">
        <v>1</v>
      </c>
      <c r="M412" s="1" t="s">
        <v>38</v>
      </c>
      <c r="N412" s="1" t="s">
        <v>2</v>
      </c>
      <c r="O412" s="1" t="s">
        <v>3</v>
      </c>
      <c r="P412" s="1" t="s">
        <v>19</v>
      </c>
      <c r="Q412" s="6">
        <f>C412+2</f>
        <v>40269</v>
      </c>
    </row>
    <row r="413" spans="1:17" ht="15.75" x14ac:dyDescent="0.3">
      <c r="A413" s="1">
        <v>6318</v>
      </c>
      <c r="B413" s="2">
        <v>44706</v>
      </c>
      <c r="C413" s="3">
        <f>DATE(2012,12,31)-1007</f>
        <v>40267</v>
      </c>
      <c r="D413" s="1" t="s">
        <v>16</v>
      </c>
      <c r="E413" s="2">
        <v>33</v>
      </c>
      <c r="F413" s="2">
        <v>47.48</v>
      </c>
      <c r="G413" s="2">
        <v>7.0000000000000007E-2</v>
      </c>
      <c r="H413" s="2">
        <v>0.37</v>
      </c>
      <c r="I413" s="4">
        <v>3.35</v>
      </c>
      <c r="J413" s="5">
        <v>1.48</v>
      </c>
      <c r="K413" s="5">
        <v>0.7</v>
      </c>
      <c r="L413" s="1" t="s">
        <v>5</v>
      </c>
      <c r="M413" s="1" t="s">
        <v>38</v>
      </c>
      <c r="N413" s="1" t="s">
        <v>2</v>
      </c>
      <c r="O413" s="1" t="s">
        <v>6</v>
      </c>
      <c r="P413" s="1" t="s">
        <v>14</v>
      </c>
      <c r="Q413" s="6">
        <f>C413+5</f>
        <v>40272</v>
      </c>
    </row>
    <row r="414" spans="1:17" ht="15.75" x14ac:dyDescent="0.3">
      <c r="A414" s="1">
        <v>6383</v>
      </c>
      <c r="B414" s="2">
        <v>45347</v>
      </c>
      <c r="C414" s="3">
        <f>DATE(2012,12,31)-824</f>
        <v>40450</v>
      </c>
      <c r="D414" s="1" t="s">
        <v>12</v>
      </c>
      <c r="E414" s="2">
        <v>10</v>
      </c>
      <c r="F414" s="2">
        <v>8704.08</v>
      </c>
      <c r="G414" s="2">
        <v>0.05</v>
      </c>
      <c r="H414" s="2">
        <v>0.62</v>
      </c>
      <c r="I414" s="4">
        <v>1034.54</v>
      </c>
      <c r="J414" s="5">
        <v>880.98</v>
      </c>
      <c r="K414" s="5">
        <v>44.55</v>
      </c>
      <c r="L414" s="1" t="s">
        <v>1</v>
      </c>
      <c r="M414" s="1" t="s">
        <v>38</v>
      </c>
      <c r="N414" s="1" t="s">
        <v>2</v>
      </c>
      <c r="O414" s="1" t="s">
        <v>3</v>
      </c>
      <c r="P414" s="1" t="s">
        <v>19</v>
      </c>
      <c r="Q414" s="6">
        <f>C414+1</f>
        <v>40451</v>
      </c>
    </row>
    <row r="415" spans="1:17" ht="15.75" x14ac:dyDescent="0.3">
      <c r="A415" s="1">
        <v>6384</v>
      </c>
      <c r="B415" s="2">
        <v>45347</v>
      </c>
      <c r="C415" s="3">
        <f>DATE(2012,12,31)-824</f>
        <v>40450</v>
      </c>
      <c r="D415" s="1" t="s">
        <v>12</v>
      </c>
      <c r="E415" s="2">
        <v>41</v>
      </c>
      <c r="F415" s="2">
        <v>24051.49</v>
      </c>
      <c r="G415" s="2">
        <v>7.0000000000000007E-2</v>
      </c>
      <c r="H415" s="2">
        <v>0.37</v>
      </c>
      <c r="I415" s="4">
        <v>9791.0410000000011</v>
      </c>
      <c r="J415" s="5">
        <v>599.99</v>
      </c>
      <c r="K415" s="5">
        <v>24.49</v>
      </c>
      <c r="L415" s="1" t="s">
        <v>9</v>
      </c>
      <c r="M415" s="1" t="s">
        <v>38</v>
      </c>
      <c r="N415" s="1" t="s">
        <v>2</v>
      </c>
      <c r="O415" s="1" t="s">
        <v>11</v>
      </c>
      <c r="P415" s="1" t="s">
        <v>10</v>
      </c>
      <c r="Q415" s="6">
        <f>C415+2</f>
        <v>40452</v>
      </c>
    </row>
    <row r="416" spans="1:17" ht="15.75" x14ac:dyDescent="0.3">
      <c r="A416" s="1">
        <v>6559</v>
      </c>
      <c r="B416" s="2">
        <v>46627</v>
      </c>
      <c r="C416" s="3">
        <f>DATE(2012,12,31)-1299</f>
        <v>39975</v>
      </c>
      <c r="D416" s="1" t="s">
        <v>0</v>
      </c>
      <c r="E416" s="2">
        <v>3</v>
      </c>
      <c r="F416" s="2">
        <v>21.46</v>
      </c>
      <c r="G416" s="2">
        <v>0.05</v>
      </c>
      <c r="H416" s="2">
        <v>0.4</v>
      </c>
      <c r="I416" s="4">
        <v>-14.22</v>
      </c>
      <c r="J416" s="5">
        <v>5.28</v>
      </c>
      <c r="K416" s="5">
        <v>6.26</v>
      </c>
      <c r="L416" s="1" t="s">
        <v>5</v>
      </c>
      <c r="M416" s="1" t="s">
        <v>38</v>
      </c>
      <c r="N416" s="1" t="s">
        <v>15</v>
      </c>
      <c r="O416" s="1" t="s">
        <v>6</v>
      </c>
      <c r="P416" s="1" t="s">
        <v>7</v>
      </c>
      <c r="Q416" s="6">
        <f>C416+1</f>
        <v>39976</v>
      </c>
    </row>
    <row r="417" spans="1:17" ht="15.75" x14ac:dyDescent="0.3">
      <c r="A417" s="1">
        <v>6560</v>
      </c>
      <c r="B417" s="2">
        <v>46627</v>
      </c>
      <c r="C417" s="3">
        <f>DATE(2012,12,31)-1299</f>
        <v>39975</v>
      </c>
      <c r="D417" s="1" t="s">
        <v>0</v>
      </c>
      <c r="E417" s="2">
        <v>24</v>
      </c>
      <c r="F417" s="2">
        <v>1388.6279999999999</v>
      </c>
      <c r="G417" s="2">
        <v>0.03</v>
      </c>
      <c r="H417" s="2">
        <v>0.56000000000000005</v>
      </c>
      <c r="I417" s="4">
        <v>261.52199999999999</v>
      </c>
      <c r="J417" s="5">
        <v>65.989999999999995</v>
      </c>
      <c r="K417" s="5">
        <v>5.26</v>
      </c>
      <c r="L417" s="1" t="s">
        <v>5</v>
      </c>
      <c r="M417" s="1" t="s">
        <v>38</v>
      </c>
      <c r="N417" s="1" t="s">
        <v>15</v>
      </c>
      <c r="O417" s="1" t="s">
        <v>11</v>
      </c>
      <c r="P417" s="1" t="s">
        <v>7</v>
      </c>
      <c r="Q417" s="6">
        <f>C417+1</f>
        <v>39976</v>
      </c>
    </row>
    <row r="418" spans="1:17" ht="15.75" x14ac:dyDescent="0.3">
      <c r="A418" s="1">
        <v>6628</v>
      </c>
      <c r="B418" s="2">
        <v>47168</v>
      </c>
      <c r="C418" s="3">
        <f>DATE(2012,12,31)-1289</f>
        <v>39985</v>
      </c>
      <c r="D418" s="1" t="s">
        <v>8</v>
      </c>
      <c r="E418" s="2">
        <v>24</v>
      </c>
      <c r="F418" s="2">
        <v>2920.83</v>
      </c>
      <c r="G418" s="2">
        <v>0.02</v>
      </c>
      <c r="H418" s="2">
        <v>0.36</v>
      </c>
      <c r="I418" s="4">
        <v>1068.1600000000001</v>
      </c>
      <c r="J418" s="5">
        <v>119.99</v>
      </c>
      <c r="K418" s="5">
        <v>14</v>
      </c>
      <c r="L418" s="1" t="s">
        <v>1</v>
      </c>
      <c r="M418" s="1" t="s">
        <v>38</v>
      </c>
      <c r="N418" s="1" t="s">
        <v>2</v>
      </c>
      <c r="O418" s="1" t="s">
        <v>11</v>
      </c>
      <c r="P418" s="1" t="s">
        <v>4</v>
      </c>
      <c r="Q418" s="6">
        <f>C418+1</f>
        <v>39986</v>
      </c>
    </row>
    <row r="419" spans="1:17" ht="15.75" x14ac:dyDescent="0.3">
      <c r="A419" s="1">
        <v>6629</v>
      </c>
      <c r="B419" s="2">
        <v>47168</v>
      </c>
      <c r="C419" s="3">
        <f>DATE(2012,12,31)-1289</f>
        <v>39985</v>
      </c>
      <c r="D419" s="1" t="s">
        <v>8</v>
      </c>
      <c r="E419" s="2">
        <v>42</v>
      </c>
      <c r="F419" s="2">
        <v>262.3</v>
      </c>
      <c r="G419" s="2">
        <v>0.09</v>
      </c>
      <c r="H419" s="2">
        <v>0.36</v>
      </c>
      <c r="I419" s="4">
        <v>-255.2</v>
      </c>
      <c r="J419" s="5">
        <v>6.48</v>
      </c>
      <c r="K419" s="5">
        <v>9.68</v>
      </c>
      <c r="L419" s="1" t="s">
        <v>5</v>
      </c>
      <c r="M419" s="1" t="s">
        <v>38</v>
      </c>
      <c r="N419" s="1" t="s">
        <v>2</v>
      </c>
      <c r="O419" s="1" t="s">
        <v>6</v>
      </c>
      <c r="P419" s="1" t="s">
        <v>7</v>
      </c>
      <c r="Q419" s="6">
        <f>C419+1</f>
        <v>39986</v>
      </c>
    </row>
    <row r="420" spans="1:17" ht="15.75" x14ac:dyDescent="0.3">
      <c r="A420" s="1">
        <v>7011</v>
      </c>
      <c r="B420" s="2">
        <v>50051</v>
      </c>
      <c r="C420" s="3">
        <f>DATE(2012,12,31)-1184</f>
        <v>40090</v>
      </c>
      <c r="D420" s="1" t="s">
        <v>12</v>
      </c>
      <c r="E420" s="2">
        <v>17</v>
      </c>
      <c r="F420" s="2">
        <v>103.72</v>
      </c>
      <c r="G420" s="2">
        <v>0.02</v>
      </c>
      <c r="H420" s="2">
        <v>0.39</v>
      </c>
      <c r="I420" s="4">
        <v>-72.058999999999997</v>
      </c>
      <c r="J420" s="5">
        <v>5.53</v>
      </c>
      <c r="K420" s="5">
        <v>6.98</v>
      </c>
      <c r="L420" s="1" t="s">
        <v>5</v>
      </c>
      <c r="M420" s="1" t="s">
        <v>38</v>
      </c>
      <c r="N420" s="1" t="s">
        <v>2</v>
      </c>
      <c r="O420" s="1" t="s">
        <v>6</v>
      </c>
      <c r="P420" s="1" t="s">
        <v>7</v>
      </c>
      <c r="Q420" s="6">
        <f>C420+2</f>
        <v>40092</v>
      </c>
    </row>
    <row r="421" spans="1:17" ht="15.75" x14ac:dyDescent="0.3">
      <c r="A421" s="1">
        <v>7012</v>
      </c>
      <c r="B421" s="2">
        <v>50051</v>
      </c>
      <c r="C421" s="3">
        <f>DATE(2012,12,31)-1184</f>
        <v>40090</v>
      </c>
      <c r="D421" s="1" t="s">
        <v>12</v>
      </c>
      <c r="E421" s="2">
        <v>4</v>
      </c>
      <c r="F421" s="2">
        <v>185.15</v>
      </c>
      <c r="G421" s="2">
        <v>0.09</v>
      </c>
      <c r="H421" s="2">
        <v>0.73</v>
      </c>
      <c r="I421" s="4">
        <v>10.199999999999999</v>
      </c>
      <c r="J421" s="5">
        <v>41.47</v>
      </c>
      <c r="K421" s="5">
        <v>34.200000000000003</v>
      </c>
      <c r="L421" s="1" t="s">
        <v>5</v>
      </c>
      <c r="M421" s="1" t="s">
        <v>38</v>
      </c>
      <c r="N421" s="1" t="s">
        <v>2</v>
      </c>
      <c r="O421" s="1" t="s">
        <v>3</v>
      </c>
      <c r="P421" s="1" t="s">
        <v>14</v>
      </c>
      <c r="Q421" s="6">
        <f>C421+2</f>
        <v>40092</v>
      </c>
    </row>
    <row r="422" spans="1:17" ht="15.75" x14ac:dyDescent="0.3">
      <c r="A422" s="1">
        <v>7068</v>
      </c>
      <c r="B422" s="2">
        <v>50433</v>
      </c>
      <c r="C422" s="3">
        <f>DATE(2012,12,31)-347</f>
        <v>40927</v>
      </c>
      <c r="D422" s="1" t="s">
        <v>0</v>
      </c>
      <c r="E422" s="2">
        <v>50</v>
      </c>
      <c r="F422" s="2">
        <v>6628.55</v>
      </c>
      <c r="G422" s="2">
        <v>0.1</v>
      </c>
      <c r="H422" s="2">
        <v>0.56000000000000005</v>
      </c>
      <c r="I422" s="4">
        <v>1081.6500000000001</v>
      </c>
      <c r="J422" s="5">
        <v>145.44999999999999</v>
      </c>
      <c r="K422" s="5">
        <v>17.850000000000001</v>
      </c>
      <c r="L422" s="1" t="s">
        <v>1</v>
      </c>
      <c r="M422" s="1" t="s">
        <v>38</v>
      </c>
      <c r="N422" s="1" t="s">
        <v>15</v>
      </c>
      <c r="O422" s="1" t="s">
        <v>11</v>
      </c>
      <c r="P422" s="1" t="s">
        <v>4</v>
      </c>
      <c r="Q422" s="6">
        <f>C422+2</f>
        <v>40929</v>
      </c>
    </row>
    <row r="423" spans="1:17" ht="15.75" x14ac:dyDescent="0.3">
      <c r="A423" s="1">
        <v>7106</v>
      </c>
      <c r="B423" s="2">
        <v>50721</v>
      </c>
      <c r="C423" s="3">
        <f>DATE(2012,12,31)-308</f>
        <v>40966</v>
      </c>
      <c r="D423" s="1" t="s">
        <v>17</v>
      </c>
      <c r="E423" s="2">
        <v>33</v>
      </c>
      <c r="F423" s="2">
        <v>9758.7000000000007</v>
      </c>
      <c r="G423" s="2">
        <v>0.04</v>
      </c>
      <c r="H423" s="2">
        <v>0.4</v>
      </c>
      <c r="I423" s="4">
        <v>3793.7030000000004</v>
      </c>
      <c r="J423" s="5">
        <v>304.99</v>
      </c>
      <c r="K423" s="5">
        <v>19.989999999999998</v>
      </c>
      <c r="L423" s="1" t="s">
        <v>5</v>
      </c>
      <c r="M423" s="1" t="s">
        <v>38</v>
      </c>
      <c r="N423" s="1" t="s">
        <v>15</v>
      </c>
      <c r="O423" s="1" t="s">
        <v>6</v>
      </c>
      <c r="P423" s="1" t="s">
        <v>7</v>
      </c>
      <c r="Q423" s="6">
        <f>C423+2</f>
        <v>40968</v>
      </c>
    </row>
    <row r="424" spans="1:17" ht="15.75" x14ac:dyDescent="0.3">
      <c r="A424" s="1">
        <v>7114</v>
      </c>
      <c r="B424" s="2">
        <v>50758</v>
      </c>
      <c r="C424" s="3">
        <f>DATE(2012,12,31)-172</f>
        <v>41102</v>
      </c>
      <c r="D424" s="1" t="s">
        <v>12</v>
      </c>
      <c r="E424" s="2">
        <v>17</v>
      </c>
      <c r="F424" s="2">
        <v>128.5</v>
      </c>
      <c r="G424" s="2">
        <v>0.02</v>
      </c>
      <c r="H424" s="2">
        <v>0.37</v>
      </c>
      <c r="I424" s="4">
        <v>-44.69</v>
      </c>
      <c r="J424" s="5">
        <v>6.68</v>
      </c>
      <c r="K424" s="5">
        <v>6.93</v>
      </c>
      <c r="L424" s="1" t="s">
        <v>9</v>
      </c>
      <c r="M424" s="1" t="s">
        <v>38</v>
      </c>
      <c r="N424" s="1" t="s">
        <v>2</v>
      </c>
      <c r="O424" s="1" t="s">
        <v>6</v>
      </c>
      <c r="P424" s="1" t="s">
        <v>7</v>
      </c>
      <c r="Q424" s="6">
        <f>C424+2</f>
        <v>41104</v>
      </c>
    </row>
    <row r="425" spans="1:17" ht="15.75" x14ac:dyDescent="0.3">
      <c r="A425" s="1">
        <v>7135</v>
      </c>
      <c r="B425" s="2">
        <v>50883</v>
      </c>
      <c r="C425" s="3">
        <f>DATE(2012,12,31)-213</f>
        <v>41061</v>
      </c>
      <c r="D425" s="1" t="s">
        <v>16</v>
      </c>
      <c r="E425" s="2">
        <v>35</v>
      </c>
      <c r="F425" s="2">
        <v>6739.92</v>
      </c>
      <c r="G425" s="2">
        <v>0.01</v>
      </c>
      <c r="H425" s="2">
        <v>0.69</v>
      </c>
      <c r="I425" s="4">
        <v>957.29</v>
      </c>
      <c r="J425" s="5">
        <v>180.98</v>
      </c>
      <c r="K425" s="5">
        <v>30</v>
      </c>
      <c r="L425" s="1" t="s">
        <v>1</v>
      </c>
      <c r="M425" s="1" t="s">
        <v>38</v>
      </c>
      <c r="N425" s="1" t="s">
        <v>2</v>
      </c>
      <c r="O425" s="1" t="s">
        <v>3</v>
      </c>
      <c r="P425" s="1" t="s">
        <v>4</v>
      </c>
      <c r="Q425" s="6">
        <f>C425+0</f>
        <v>41061</v>
      </c>
    </row>
    <row r="426" spans="1:17" ht="15.75" x14ac:dyDescent="0.3">
      <c r="A426" s="1">
        <v>7219</v>
      </c>
      <c r="B426" s="2">
        <v>51524</v>
      </c>
      <c r="C426" s="3">
        <f>DATE(2012,12,31)-1023</f>
        <v>40251</v>
      </c>
      <c r="D426" s="1" t="s">
        <v>12</v>
      </c>
      <c r="E426" s="2">
        <v>16</v>
      </c>
      <c r="F426" s="2">
        <v>2723.1</v>
      </c>
      <c r="G426" s="2">
        <v>7.0000000000000007E-2</v>
      </c>
      <c r="H426" s="2">
        <v>0.85</v>
      </c>
      <c r="I426" s="4">
        <v>-446.31</v>
      </c>
      <c r="J426" s="5">
        <v>167.27</v>
      </c>
      <c r="K426" s="5">
        <v>35</v>
      </c>
      <c r="L426" s="1" t="s">
        <v>5</v>
      </c>
      <c r="M426" s="1" t="s">
        <v>38</v>
      </c>
      <c r="N426" s="1" t="s">
        <v>13</v>
      </c>
      <c r="O426" s="1" t="s">
        <v>6</v>
      </c>
      <c r="P426" s="1" t="s">
        <v>10</v>
      </c>
      <c r="Q426" s="6">
        <f>C426+1</f>
        <v>40252</v>
      </c>
    </row>
    <row r="427" spans="1:17" ht="15.75" x14ac:dyDescent="0.3">
      <c r="A427" s="1">
        <v>7220</v>
      </c>
      <c r="B427" s="2">
        <v>51524</v>
      </c>
      <c r="C427" s="3">
        <f>DATE(2012,12,31)-1023</f>
        <v>40251</v>
      </c>
      <c r="D427" s="1" t="s">
        <v>12</v>
      </c>
      <c r="E427" s="2">
        <v>20</v>
      </c>
      <c r="F427" s="2">
        <v>347.26749999999998</v>
      </c>
      <c r="G427" s="2">
        <v>0.06</v>
      </c>
      <c r="H427" s="2">
        <v>0.83</v>
      </c>
      <c r="I427" s="4">
        <v>-71.092999999999989</v>
      </c>
      <c r="J427" s="5">
        <v>20.99</v>
      </c>
      <c r="K427" s="5">
        <v>0.99</v>
      </c>
      <c r="L427" s="1" t="s">
        <v>9</v>
      </c>
      <c r="M427" s="1" t="s">
        <v>38</v>
      </c>
      <c r="N427" s="1" t="s">
        <v>13</v>
      </c>
      <c r="O427" s="1" t="s">
        <v>11</v>
      </c>
      <c r="P427" s="1" t="s">
        <v>20</v>
      </c>
      <c r="Q427" s="6">
        <f>C427+2</f>
        <v>40253</v>
      </c>
    </row>
    <row r="428" spans="1:17" ht="15.75" x14ac:dyDescent="0.3">
      <c r="A428" s="1">
        <v>7345</v>
      </c>
      <c r="B428" s="2">
        <v>52322</v>
      </c>
      <c r="C428" s="3">
        <f>DATE(2012,12,31)-1063</f>
        <v>40211</v>
      </c>
      <c r="D428" s="1" t="s">
        <v>16</v>
      </c>
      <c r="E428" s="2">
        <v>1</v>
      </c>
      <c r="F428" s="2">
        <v>5.7</v>
      </c>
      <c r="G428" s="2">
        <v>0.1</v>
      </c>
      <c r="H428" s="2">
        <v>0.53</v>
      </c>
      <c r="I428" s="4">
        <v>-2.34</v>
      </c>
      <c r="J428" s="5">
        <v>3.95</v>
      </c>
      <c r="K428" s="5">
        <v>2</v>
      </c>
      <c r="L428" s="1" t="s">
        <v>5</v>
      </c>
      <c r="M428" s="1" t="s">
        <v>38</v>
      </c>
      <c r="N428" s="1" t="s">
        <v>21</v>
      </c>
      <c r="O428" s="1" t="s">
        <v>6</v>
      </c>
      <c r="P428" s="1" t="s">
        <v>14</v>
      </c>
      <c r="Q428" s="6">
        <f>C428+7</f>
        <v>40218</v>
      </c>
    </row>
    <row r="429" spans="1:17" ht="15.75" x14ac:dyDescent="0.3">
      <c r="A429" s="1">
        <v>7427</v>
      </c>
      <c r="B429" s="2">
        <v>52932</v>
      </c>
      <c r="C429" s="3">
        <f>DATE(2012,12,31)-233</f>
        <v>41041</v>
      </c>
      <c r="D429" s="1" t="s">
        <v>16</v>
      </c>
      <c r="E429" s="2">
        <v>3</v>
      </c>
      <c r="F429" s="2">
        <v>26.23</v>
      </c>
      <c r="G429" s="2">
        <v>0</v>
      </c>
      <c r="H429" s="2">
        <v>0.37</v>
      </c>
      <c r="I429" s="4">
        <v>-13.72</v>
      </c>
      <c r="J429" s="5">
        <v>6.48</v>
      </c>
      <c r="K429" s="5">
        <v>6.6</v>
      </c>
      <c r="L429" s="1" t="s">
        <v>5</v>
      </c>
      <c r="M429" s="1" t="s">
        <v>38</v>
      </c>
      <c r="N429" s="1" t="s">
        <v>15</v>
      </c>
      <c r="O429" s="1" t="s">
        <v>6</v>
      </c>
      <c r="P429" s="1" t="s">
        <v>7</v>
      </c>
      <c r="Q429" s="6">
        <f>C429+5</f>
        <v>41046</v>
      </c>
    </row>
    <row r="430" spans="1:17" ht="15.75" x14ac:dyDescent="0.3">
      <c r="A430" s="1">
        <v>7431</v>
      </c>
      <c r="B430" s="2">
        <v>52995</v>
      </c>
      <c r="C430" s="3">
        <f>DATE(2012,12,31)-291</f>
        <v>40983</v>
      </c>
      <c r="D430" s="1" t="s">
        <v>8</v>
      </c>
      <c r="E430" s="2">
        <v>8</v>
      </c>
      <c r="F430" s="2">
        <v>33.39</v>
      </c>
      <c r="G430" s="2">
        <v>0.03</v>
      </c>
      <c r="H430" s="2">
        <v>0.4</v>
      </c>
      <c r="I430" s="4">
        <v>-35.512</v>
      </c>
      <c r="J430" s="5">
        <v>3.36</v>
      </c>
      <c r="K430" s="5">
        <v>6.27</v>
      </c>
      <c r="L430" s="1" t="s">
        <v>5</v>
      </c>
      <c r="M430" s="1" t="s">
        <v>38</v>
      </c>
      <c r="N430" s="1" t="s">
        <v>21</v>
      </c>
      <c r="O430" s="1" t="s">
        <v>6</v>
      </c>
      <c r="P430" s="1" t="s">
        <v>7</v>
      </c>
      <c r="Q430" s="6">
        <f>C430+0</f>
        <v>40983</v>
      </c>
    </row>
    <row r="431" spans="1:17" ht="15.75" x14ac:dyDescent="0.3">
      <c r="A431" s="1">
        <v>7435</v>
      </c>
      <c r="B431" s="2">
        <v>53024</v>
      </c>
      <c r="C431" s="3">
        <f>DATE(2012,12,31)-233</f>
        <v>41041</v>
      </c>
      <c r="D431" s="1" t="s">
        <v>8</v>
      </c>
      <c r="E431" s="2">
        <v>9</v>
      </c>
      <c r="F431" s="2">
        <v>187.13</v>
      </c>
      <c r="G431" s="2">
        <v>0.09</v>
      </c>
      <c r="H431" s="2">
        <v>0.47</v>
      </c>
      <c r="I431" s="4">
        <v>12.4</v>
      </c>
      <c r="J431" s="5">
        <v>20.28</v>
      </c>
      <c r="K431" s="5">
        <v>14.39</v>
      </c>
      <c r="L431" s="1" t="s">
        <v>5</v>
      </c>
      <c r="M431" s="1" t="s">
        <v>38</v>
      </c>
      <c r="N431" s="1" t="s">
        <v>2</v>
      </c>
      <c r="O431" s="1" t="s">
        <v>3</v>
      </c>
      <c r="P431" s="1" t="s">
        <v>7</v>
      </c>
      <c r="Q431" s="6">
        <f>C431+1</f>
        <v>41042</v>
      </c>
    </row>
    <row r="432" spans="1:17" ht="15.75" x14ac:dyDescent="0.3">
      <c r="A432" s="1">
        <v>7436</v>
      </c>
      <c r="B432" s="2">
        <v>53024</v>
      </c>
      <c r="C432" s="3">
        <f>DATE(2012,12,31)-233</f>
        <v>41041</v>
      </c>
      <c r="D432" s="1" t="s">
        <v>8</v>
      </c>
      <c r="E432" s="2">
        <v>46</v>
      </c>
      <c r="F432" s="2">
        <v>2255.1945000000001</v>
      </c>
      <c r="G432" s="2">
        <v>0.03</v>
      </c>
      <c r="H432" s="2">
        <v>0.8</v>
      </c>
      <c r="I432" s="4">
        <v>74.51100000000001</v>
      </c>
      <c r="J432" s="5">
        <v>55.99</v>
      </c>
      <c r="K432" s="5">
        <v>5</v>
      </c>
      <c r="L432" s="1" t="s">
        <v>5</v>
      </c>
      <c r="M432" s="1" t="s">
        <v>38</v>
      </c>
      <c r="N432" s="1" t="s">
        <v>2</v>
      </c>
      <c r="O432" s="1" t="s">
        <v>11</v>
      </c>
      <c r="P432" s="1" t="s">
        <v>20</v>
      </c>
      <c r="Q432" s="6">
        <f>C432+1</f>
        <v>41042</v>
      </c>
    </row>
    <row r="433" spans="1:17" ht="15.75" x14ac:dyDescent="0.3">
      <c r="A433" s="1">
        <v>7567</v>
      </c>
      <c r="B433" s="2">
        <v>54145</v>
      </c>
      <c r="C433" s="3">
        <f>DATE(2012,12,31)-1094</f>
        <v>40180</v>
      </c>
      <c r="D433" s="1" t="s">
        <v>16</v>
      </c>
      <c r="E433" s="2">
        <v>34</v>
      </c>
      <c r="F433" s="2">
        <v>70.25</v>
      </c>
      <c r="G433" s="2">
        <v>0.1</v>
      </c>
      <c r="H433" s="2">
        <v>0.43</v>
      </c>
      <c r="I433" s="4">
        <v>-133.06</v>
      </c>
      <c r="J433" s="5">
        <v>2.08</v>
      </c>
      <c r="K433" s="5">
        <v>5.33</v>
      </c>
      <c r="L433" s="1" t="s">
        <v>5</v>
      </c>
      <c r="M433" s="1" t="s">
        <v>38</v>
      </c>
      <c r="N433" s="1" t="s">
        <v>15</v>
      </c>
      <c r="O433" s="1" t="s">
        <v>3</v>
      </c>
      <c r="P433" s="1" t="s">
        <v>7</v>
      </c>
      <c r="Q433" s="6">
        <f>C433+0</f>
        <v>40180</v>
      </c>
    </row>
    <row r="434" spans="1:17" ht="15.75" x14ac:dyDescent="0.3">
      <c r="A434" s="1">
        <v>7804</v>
      </c>
      <c r="B434" s="2">
        <v>55840</v>
      </c>
      <c r="C434" s="3">
        <f>DATE(2012,12,31)-1232</f>
        <v>40042</v>
      </c>
      <c r="D434" s="1" t="s">
        <v>12</v>
      </c>
      <c r="E434" s="2">
        <v>11</v>
      </c>
      <c r="F434" s="2">
        <v>59.03</v>
      </c>
      <c r="G434" s="2">
        <v>0.04</v>
      </c>
      <c r="H434" s="2">
        <v>0.38</v>
      </c>
      <c r="I434" s="4">
        <v>-25.21</v>
      </c>
      <c r="J434" s="5">
        <v>4.9800000000000004</v>
      </c>
      <c r="K434" s="5">
        <v>4.8600000000000003</v>
      </c>
      <c r="L434" s="1" t="s">
        <v>5</v>
      </c>
      <c r="M434" s="1" t="s">
        <v>38</v>
      </c>
      <c r="N434" s="1" t="s">
        <v>15</v>
      </c>
      <c r="O434" s="1" t="s">
        <v>6</v>
      </c>
      <c r="P434" s="1" t="s">
        <v>7</v>
      </c>
      <c r="Q434" s="6">
        <f>C434+0</f>
        <v>40042</v>
      </c>
    </row>
    <row r="435" spans="1:17" ht="15.75" x14ac:dyDescent="0.3">
      <c r="A435" s="1">
        <v>7964</v>
      </c>
      <c r="B435" s="2">
        <v>56930</v>
      </c>
      <c r="C435" s="3">
        <f>DATE(2012,12,31)-136</f>
        <v>41138</v>
      </c>
      <c r="D435" s="1" t="s">
        <v>16</v>
      </c>
      <c r="E435" s="2">
        <v>10</v>
      </c>
      <c r="F435" s="2">
        <v>987.54</v>
      </c>
      <c r="G435" s="2">
        <v>7.0000000000000007E-2</v>
      </c>
      <c r="H435" s="2">
        <v>0.82</v>
      </c>
      <c r="I435" s="4">
        <v>-396.84</v>
      </c>
      <c r="J435" s="5">
        <v>101.41</v>
      </c>
      <c r="K435" s="5">
        <v>35</v>
      </c>
      <c r="L435" s="1" t="s">
        <v>5</v>
      </c>
      <c r="M435" s="1" t="s">
        <v>38</v>
      </c>
      <c r="N435" s="1" t="s">
        <v>15</v>
      </c>
      <c r="O435" s="1" t="s">
        <v>6</v>
      </c>
      <c r="P435" s="1" t="s">
        <v>10</v>
      </c>
      <c r="Q435" s="6">
        <f>C435+0</f>
        <v>41138</v>
      </c>
    </row>
    <row r="436" spans="1:17" ht="15.75" x14ac:dyDescent="0.3">
      <c r="A436" s="1">
        <v>8068</v>
      </c>
      <c r="B436" s="2">
        <v>57570</v>
      </c>
      <c r="C436" s="3">
        <f>DATE(2012,12,31)-94</f>
        <v>41180</v>
      </c>
      <c r="D436" s="1" t="s">
        <v>17</v>
      </c>
      <c r="E436" s="2">
        <v>27</v>
      </c>
      <c r="F436" s="2">
        <v>1823.04</v>
      </c>
      <c r="G436" s="2">
        <v>0.09</v>
      </c>
      <c r="H436" s="2">
        <v>0.6</v>
      </c>
      <c r="I436" s="4">
        <v>-190.78</v>
      </c>
      <c r="J436" s="5">
        <v>70.98</v>
      </c>
      <c r="K436" s="5">
        <v>26.74</v>
      </c>
      <c r="L436" s="1" t="s">
        <v>1</v>
      </c>
      <c r="M436" s="1" t="s">
        <v>38</v>
      </c>
      <c r="N436" s="1" t="s">
        <v>2</v>
      </c>
      <c r="O436" s="1" t="s">
        <v>3</v>
      </c>
      <c r="P436" s="1" t="s">
        <v>19</v>
      </c>
      <c r="Q436" s="6">
        <f>C436+2</f>
        <v>41182</v>
      </c>
    </row>
    <row r="437" spans="1:17" ht="15.75" x14ac:dyDescent="0.3">
      <c r="A437" s="1">
        <v>8121</v>
      </c>
      <c r="B437" s="2">
        <v>58051</v>
      </c>
      <c r="C437" s="3">
        <f>DATE(2012,12,31)-286</f>
        <v>40988</v>
      </c>
      <c r="D437" s="1" t="s">
        <v>17</v>
      </c>
      <c r="E437" s="2">
        <v>6</v>
      </c>
      <c r="F437" s="2">
        <v>256.60000000000002</v>
      </c>
      <c r="G437" s="2">
        <v>0</v>
      </c>
      <c r="H437" s="2">
        <v>0.67</v>
      </c>
      <c r="I437" s="4">
        <v>-106.76</v>
      </c>
      <c r="J437" s="5">
        <v>39.979999999999997</v>
      </c>
      <c r="K437" s="5">
        <v>7.12</v>
      </c>
      <c r="L437" s="1" t="s">
        <v>5</v>
      </c>
      <c r="M437" s="1" t="s">
        <v>38</v>
      </c>
      <c r="N437" s="1" t="s">
        <v>2</v>
      </c>
      <c r="O437" s="1" t="s">
        <v>11</v>
      </c>
      <c r="P437" s="1" t="s">
        <v>7</v>
      </c>
      <c r="Q437" s="6">
        <f>C437+2</f>
        <v>40990</v>
      </c>
    </row>
    <row r="438" spans="1:17" ht="15.75" x14ac:dyDescent="0.3">
      <c r="A438" s="1">
        <v>8311</v>
      </c>
      <c r="B438" s="2">
        <v>59392</v>
      </c>
      <c r="C438" s="3">
        <f>DATE(2012,12,31)-919</f>
        <v>40355</v>
      </c>
      <c r="D438" s="1" t="s">
        <v>12</v>
      </c>
      <c r="E438" s="2">
        <v>19</v>
      </c>
      <c r="F438" s="2">
        <v>39.42</v>
      </c>
      <c r="G438" s="2">
        <v>0.08</v>
      </c>
      <c r="H438" s="2">
        <v>0.55000000000000004</v>
      </c>
      <c r="I438" s="4">
        <v>-29.02</v>
      </c>
      <c r="J438" s="5">
        <v>2.12</v>
      </c>
      <c r="K438" s="5">
        <v>1.99</v>
      </c>
      <c r="L438" s="1" t="s">
        <v>5</v>
      </c>
      <c r="M438" s="1" t="s">
        <v>38</v>
      </c>
      <c r="N438" s="1" t="s">
        <v>2</v>
      </c>
      <c r="O438" s="1" t="s">
        <v>11</v>
      </c>
      <c r="P438" s="1" t="s">
        <v>20</v>
      </c>
      <c r="Q438" s="6">
        <f>C438+1</f>
        <v>40356</v>
      </c>
    </row>
    <row r="439" spans="1:17" ht="15.75" x14ac:dyDescent="0.3">
      <c r="A439" s="1">
        <v>8312</v>
      </c>
      <c r="B439" s="2">
        <v>59392</v>
      </c>
      <c r="C439" s="3">
        <f>DATE(2012,12,31)-919</f>
        <v>40355</v>
      </c>
      <c r="D439" s="1" t="s">
        <v>12</v>
      </c>
      <c r="E439" s="2">
        <v>45</v>
      </c>
      <c r="F439" s="2">
        <v>1305.31</v>
      </c>
      <c r="G439" s="2">
        <v>0.03</v>
      </c>
      <c r="H439" s="2">
        <v>0.4</v>
      </c>
      <c r="I439" s="4">
        <v>589.20000000000005</v>
      </c>
      <c r="J439" s="5">
        <v>28.48</v>
      </c>
      <c r="K439" s="5">
        <v>1.99</v>
      </c>
      <c r="L439" s="1" t="s">
        <v>5</v>
      </c>
      <c r="M439" s="1" t="s">
        <v>38</v>
      </c>
      <c r="N439" s="1" t="s">
        <v>2</v>
      </c>
      <c r="O439" s="1" t="s">
        <v>11</v>
      </c>
      <c r="P439" s="1" t="s">
        <v>20</v>
      </c>
      <c r="Q439" s="6">
        <f>C439+2</f>
        <v>40357</v>
      </c>
    </row>
    <row r="440" spans="1:17" ht="15.75" x14ac:dyDescent="0.3">
      <c r="A440" s="1">
        <v>461</v>
      </c>
      <c r="B440" s="2">
        <v>3136</v>
      </c>
      <c r="C440" s="3">
        <f>DATE(2012,12,31)-1240</f>
        <v>40034</v>
      </c>
      <c r="D440" s="1" t="s">
        <v>8</v>
      </c>
      <c r="E440" s="2">
        <v>8</v>
      </c>
      <c r="F440" s="2">
        <v>238.74</v>
      </c>
      <c r="G440" s="2">
        <v>0.1</v>
      </c>
      <c r="H440" s="2">
        <v>0.57999999999999996</v>
      </c>
      <c r="I440" s="4">
        <v>-38.89</v>
      </c>
      <c r="J440" s="5">
        <v>30.98</v>
      </c>
      <c r="K440" s="5">
        <v>8.99</v>
      </c>
      <c r="L440" s="1" t="s">
        <v>5</v>
      </c>
      <c r="M440" s="1" t="s">
        <v>38</v>
      </c>
      <c r="N440" s="1" t="s">
        <v>2</v>
      </c>
      <c r="O440" s="1" t="s">
        <v>6</v>
      </c>
      <c r="P440" s="1" t="s">
        <v>20</v>
      </c>
      <c r="Q440" s="6">
        <f>C440+2</f>
        <v>40036</v>
      </c>
    </row>
    <row r="441" spans="1:17" ht="15.75" x14ac:dyDescent="0.3">
      <c r="A441" s="1">
        <v>534</v>
      </c>
      <c r="B441" s="2">
        <v>3648</v>
      </c>
      <c r="C441" s="3">
        <f>DATE(2012,12,31)-929</f>
        <v>40345</v>
      </c>
      <c r="D441" s="1" t="s">
        <v>16</v>
      </c>
      <c r="E441" s="2">
        <v>46</v>
      </c>
      <c r="F441" s="2">
        <v>134.81</v>
      </c>
      <c r="G441" s="2">
        <v>0.1</v>
      </c>
      <c r="H441" s="2">
        <v>0.37</v>
      </c>
      <c r="I441" s="4">
        <v>52.36</v>
      </c>
      <c r="J441" s="5">
        <v>3.15</v>
      </c>
      <c r="K441" s="5">
        <v>0.49</v>
      </c>
      <c r="L441" s="1" t="s">
        <v>5</v>
      </c>
      <c r="M441" s="1" t="s">
        <v>38</v>
      </c>
      <c r="N441" s="1" t="s">
        <v>15</v>
      </c>
      <c r="O441" s="1" t="s">
        <v>6</v>
      </c>
      <c r="P441" s="1" t="s">
        <v>7</v>
      </c>
      <c r="Q441" s="6">
        <f>C441+2</f>
        <v>40347</v>
      </c>
    </row>
    <row r="442" spans="1:17" ht="15.75" x14ac:dyDescent="0.3">
      <c r="A442" s="1">
        <v>535</v>
      </c>
      <c r="B442" s="2">
        <v>3648</v>
      </c>
      <c r="C442" s="3">
        <f>DATE(2012,12,31)-929</f>
        <v>40345</v>
      </c>
      <c r="D442" s="1" t="s">
        <v>16</v>
      </c>
      <c r="E442" s="2">
        <v>34</v>
      </c>
      <c r="F442" s="2">
        <v>5488.5264999999999</v>
      </c>
      <c r="G442" s="2">
        <v>0.05</v>
      </c>
      <c r="H442" s="2">
        <v>0.56999999999999995</v>
      </c>
      <c r="I442" s="4">
        <v>1382.4449999999999</v>
      </c>
      <c r="J442" s="5">
        <v>195.99</v>
      </c>
      <c r="K442" s="5">
        <v>4.2</v>
      </c>
      <c r="L442" s="1" t="s">
        <v>5</v>
      </c>
      <c r="M442" s="1" t="s">
        <v>38</v>
      </c>
      <c r="N442" s="1" t="s">
        <v>15</v>
      </c>
      <c r="O442" s="1" t="s">
        <v>11</v>
      </c>
      <c r="P442" s="1" t="s">
        <v>7</v>
      </c>
      <c r="Q442" s="6">
        <f>C442+7</f>
        <v>40352</v>
      </c>
    </row>
    <row r="443" spans="1:17" ht="15.75" x14ac:dyDescent="0.3">
      <c r="A443" s="1">
        <v>870</v>
      </c>
      <c r="B443" s="2">
        <v>6246</v>
      </c>
      <c r="C443" s="3">
        <f>DATE(2012,12,31)-1167</f>
        <v>40107</v>
      </c>
      <c r="D443" s="1" t="s">
        <v>8</v>
      </c>
      <c r="E443" s="2">
        <v>13</v>
      </c>
      <c r="F443" s="2">
        <v>52.38</v>
      </c>
      <c r="G443" s="2">
        <v>0.06</v>
      </c>
      <c r="H443" s="2">
        <v>0.39</v>
      </c>
      <c r="I443" s="4">
        <v>11.72</v>
      </c>
      <c r="J443" s="5">
        <v>3.93</v>
      </c>
      <c r="K443" s="5">
        <v>0.99</v>
      </c>
      <c r="L443" s="1" t="s">
        <v>5</v>
      </c>
      <c r="M443" s="1" t="s">
        <v>38</v>
      </c>
      <c r="N443" s="1" t="s">
        <v>15</v>
      </c>
      <c r="O443" s="1" t="s">
        <v>6</v>
      </c>
      <c r="P443" s="1" t="s">
        <v>14</v>
      </c>
      <c r="Q443" s="6">
        <f>C443+2</f>
        <v>40109</v>
      </c>
    </row>
    <row r="444" spans="1:17" ht="15.75" x14ac:dyDescent="0.3">
      <c r="A444" s="1">
        <v>1242</v>
      </c>
      <c r="B444" s="2">
        <v>9028</v>
      </c>
      <c r="C444" s="3">
        <f>DATE(2012,12,31)-741</f>
        <v>40533</v>
      </c>
      <c r="D444" s="1" t="s">
        <v>16</v>
      </c>
      <c r="E444" s="2">
        <v>48</v>
      </c>
      <c r="F444" s="2">
        <v>14556.67</v>
      </c>
      <c r="G444" s="2">
        <v>0.04</v>
      </c>
      <c r="H444" s="2">
        <v>0.56000000000000005</v>
      </c>
      <c r="I444" s="4">
        <v>3829.63</v>
      </c>
      <c r="J444" s="5">
        <v>306.14</v>
      </c>
      <c r="K444" s="5">
        <v>26.53</v>
      </c>
      <c r="L444" s="1" t="s">
        <v>1</v>
      </c>
      <c r="M444" s="1" t="s">
        <v>38</v>
      </c>
      <c r="N444" s="1" t="s">
        <v>13</v>
      </c>
      <c r="O444" s="1" t="s">
        <v>11</v>
      </c>
      <c r="P444" s="1" t="s">
        <v>4</v>
      </c>
      <c r="Q444" s="6">
        <f>C444+4</f>
        <v>40537</v>
      </c>
    </row>
    <row r="445" spans="1:17" ht="15.75" x14ac:dyDescent="0.3">
      <c r="A445" s="1">
        <v>1294</v>
      </c>
      <c r="B445" s="2">
        <v>9478</v>
      </c>
      <c r="C445" s="3">
        <f>DATE(2012,12,31)-1374</f>
        <v>39900</v>
      </c>
      <c r="D445" s="1" t="s">
        <v>17</v>
      </c>
      <c r="E445" s="2">
        <v>48</v>
      </c>
      <c r="F445" s="2">
        <v>522.97</v>
      </c>
      <c r="G445" s="2">
        <v>0.04</v>
      </c>
      <c r="H445" s="2">
        <v>0.51</v>
      </c>
      <c r="I445" s="4">
        <v>29.98</v>
      </c>
      <c r="J445" s="5">
        <v>10.4</v>
      </c>
      <c r="K445" s="5">
        <v>5.4</v>
      </c>
      <c r="L445" s="1" t="s">
        <v>5</v>
      </c>
      <c r="M445" s="1" t="s">
        <v>38</v>
      </c>
      <c r="N445" s="1" t="s">
        <v>2</v>
      </c>
      <c r="O445" s="1" t="s">
        <v>3</v>
      </c>
      <c r="P445" s="1" t="s">
        <v>20</v>
      </c>
      <c r="Q445" s="6">
        <f>C445+1</f>
        <v>39901</v>
      </c>
    </row>
    <row r="446" spans="1:17" ht="15.75" x14ac:dyDescent="0.3">
      <c r="A446" s="1">
        <v>1295</v>
      </c>
      <c r="B446" s="2">
        <v>9478</v>
      </c>
      <c r="C446" s="3">
        <f>DATE(2012,12,31)-1374</f>
        <v>39900</v>
      </c>
      <c r="D446" s="1" t="s">
        <v>17</v>
      </c>
      <c r="E446" s="2">
        <v>48</v>
      </c>
      <c r="F446" s="2">
        <v>199.46</v>
      </c>
      <c r="G446" s="2">
        <v>0.08</v>
      </c>
      <c r="H446" s="2">
        <v>0.4</v>
      </c>
      <c r="I446" s="4">
        <v>-121.2</v>
      </c>
      <c r="J446" s="5">
        <v>4.28</v>
      </c>
      <c r="K446" s="5">
        <v>4.79</v>
      </c>
      <c r="L446" s="1" t="s">
        <v>5</v>
      </c>
      <c r="M446" s="1" t="s">
        <v>38</v>
      </c>
      <c r="N446" s="1" t="s">
        <v>2</v>
      </c>
      <c r="O446" s="1" t="s">
        <v>6</v>
      </c>
      <c r="P446" s="1" t="s">
        <v>7</v>
      </c>
      <c r="Q446" s="6">
        <f>C446+2</f>
        <v>39902</v>
      </c>
    </row>
    <row r="447" spans="1:17" ht="15.75" x14ac:dyDescent="0.3">
      <c r="A447" s="1">
        <v>1715</v>
      </c>
      <c r="B447" s="2">
        <v>12323</v>
      </c>
      <c r="C447" s="3">
        <f>DATE(2012,12,31)-639</f>
        <v>40635</v>
      </c>
      <c r="D447" s="1" t="s">
        <v>8</v>
      </c>
      <c r="E447" s="2">
        <v>32</v>
      </c>
      <c r="F447" s="2">
        <v>513.74</v>
      </c>
      <c r="G447" s="2">
        <v>0.02</v>
      </c>
      <c r="H447" s="2">
        <v>0.38</v>
      </c>
      <c r="I447" s="4">
        <v>-28.681000000000001</v>
      </c>
      <c r="J447" s="5">
        <v>15.15</v>
      </c>
      <c r="K447" s="5">
        <v>10.130000000000001</v>
      </c>
      <c r="L447" s="1" t="s">
        <v>5</v>
      </c>
      <c r="M447" s="1" t="s">
        <v>38</v>
      </c>
      <c r="N447" s="1" t="s">
        <v>2</v>
      </c>
      <c r="O447" s="1" t="s">
        <v>6</v>
      </c>
      <c r="P447" s="1" t="s">
        <v>7</v>
      </c>
      <c r="Q447" s="6">
        <f>C447+1</f>
        <v>40636</v>
      </c>
    </row>
    <row r="448" spans="1:17" ht="15.75" x14ac:dyDescent="0.3">
      <c r="A448" s="1">
        <v>1716</v>
      </c>
      <c r="B448" s="2">
        <v>12323</v>
      </c>
      <c r="C448" s="3">
        <f>DATE(2012,12,31)-639</f>
        <v>40635</v>
      </c>
      <c r="D448" s="1" t="s">
        <v>8</v>
      </c>
      <c r="E448" s="2">
        <v>4</v>
      </c>
      <c r="F448" s="2">
        <v>36.799999999999997</v>
      </c>
      <c r="G448" s="2">
        <v>0</v>
      </c>
      <c r="H448" s="2">
        <v>0.56000000000000005</v>
      </c>
      <c r="I448" s="4">
        <v>14.19</v>
      </c>
      <c r="J448" s="5">
        <v>7.38</v>
      </c>
      <c r="K448" s="5">
        <v>5.21</v>
      </c>
      <c r="L448" s="1" t="s">
        <v>5</v>
      </c>
      <c r="M448" s="1" t="s">
        <v>38</v>
      </c>
      <c r="N448" s="1" t="s">
        <v>2</v>
      </c>
      <c r="O448" s="1" t="s">
        <v>3</v>
      </c>
      <c r="P448" s="1" t="s">
        <v>7</v>
      </c>
      <c r="Q448" s="6">
        <f>C448+2</f>
        <v>40637</v>
      </c>
    </row>
    <row r="449" spans="1:17" ht="15.75" x14ac:dyDescent="0.3">
      <c r="A449" s="1">
        <v>1934</v>
      </c>
      <c r="B449" s="2">
        <v>13830</v>
      </c>
      <c r="C449" s="3">
        <f>DATE(2012,12,31)-1106</f>
        <v>40168</v>
      </c>
      <c r="D449" s="1" t="s">
        <v>17</v>
      </c>
      <c r="E449" s="2">
        <v>27</v>
      </c>
      <c r="F449" s="2">
        <v>2609.5300000000002</v>
      </c>
      <c r="G449" s="2">
        <v>0</v>
      </c>
      <c r="H449" s="2">
        <v>0.4</v>
      </c>
      <c r="I449" s="4">
        <v>911.66</v>
      </c>
      <c r="J449" s="5">
        <v>90.48</v>
      </c>
      <c r="K449" s="5">
        <v>19.989999999999998</v>
      </c>
      <c r="L449" s="1" t="s">
        <v>5</v>
      </c>
      <c r="M449" s="1" t="s">
        <v>38</v>
      </c>
      <c r="N449" s="1" t="s">
        <v>13</v>
      </c>
      <c r="O449" s="1" t="s">
        <v>6</v>
      </c>
      <c r="P449" s="1" t="s">
        <v>7</v>
      </c>
      <c r="Q449" s="6">
        <f>C449+3</f>
        <v>40171</v>
      </c>
    </row>
    <row r="450" spans="1:17" ht="15.75" x14ac:dyDescent="0.3">
      <c r="A450" s="1">
        <v>2069</v>
      </c>
      <c r="B450" s="2">
        <v>14791</v>
      </c>
      <c r="C450" s="3">
        <f>DATE(2012,12,31)-1051</f>
        <v>40223</v>
      </c>
      <c r="D450" s="1" t="s">
        <v>12</v>
      </c>
      <c r="E450" s="2">
        <v>29</v>
      </c>
      <c r="F450" s="2">
        <v>1576.223</v>
      </c>
      <c r="G450" s="2">
        <v>0.05</v>
      </c>
      <c r="H450" s="2">
        <v>0.56999999999999995</v>
      </c>
      <c r="I450" s="4">
        <v>286.11900000000003</v>
      </c>
      <c r="J450" s="5">
        <v>65.989999999999995</v>
      </c>
      <c r="K450" s="5">
        <v>3.99</v>
      </c>
      <c r="L450" s="1" t="s">
        <v>5</v>
      </c>
      <c r="M450" s="1" t="s">
        <v>38</v>
      </c>
      <c r="N450" s="1" t="s">
        <v>21</v>
      </c>
      <c r="O450" s="1" t="s">
        <v>11</v>
      </c>
      <c r="P450" s="1" t="s">
        <v>7</v>
      </c>
      <c r="Q450" s="6">
        <f>C450+1</f>
        <v>40224</v>
      </c>
    </row>
    <row r="451" spans="1:17" ht="15.75" x14ac:dyDescent="0.3">
      <c r="A451" s="1">
        <v>2484</v>
      </c>
      <c r="B451" s="2">
        <v>18085</v>
      </c>
      <c r="C451" s="3">
        <f>DATE(2012,12,31)-463</f>
        <v>40811</v>
      </c>
      <c r="D451" s="1" t="s">
        <v>17</v>
      </c>
      <c r="E451" s="2">
        <v>23</v>
      </c>
      <c r="F451" s="2">
        <v>8127.51</v>
      </c>
      <c r="G451" s="2">
        <v>0.01</v>
      </c>
      <c r="H451" s="2">
        <v>0.62</v>
      </c>
      <c r="I451" s="4">
        <v>1541.25</v>
      </c>
      <c r="J451" s="5">
        <v>348.21</v>
      </c>
      <c r="K451" s="5">
        <v>40.19</v>
      </c>
      <c r="L451" s="1" t="s">
        <v>1</v>
      </c>
      <c r="M451" s="1" t="s">
        <v>38</v>
      </c>
      <c r="N451" s="1" t="s">
        <v>2</v>
      </c>
      <c r="O451" s="1" t="s">
        <v>3</v>
      </c>
      <c r="P451" s="1" t="s">
        <v>19</v>
      </c>
      <c r="Q451" s="6">
        <f>C451+2</f>
        <v>40813</v>
      </c>
    </row>
    <row r="452" spans="1:17" ht="15.75" x14ac:dyDescent="0.3">
      <c r="A452" s="1">
        <v>2485</v>
      </c>
      <c r="B452" s="2">
        <v>18085</v>
      </c>
      <c r="C452" s="3">
        <f>DATE(2012,12,31)-463</f>
        <v>40811</v>
      </c>
      <c r="D452" s="1" t="s">
        <v>17</v>
      </c>
      <c r="E452" s="2">
        <v>33</v>
      </c>
      <c r="F452" s="2">
        <v>5352.9344999999994</v>
      </c>
      <c r="G452" s="2">
        <v>0.09</v>
      </c>
      <c r="H452" s="2">
        <v>0.56999999999999995</v>
      </c>
      <c r="I452" s="4">
        <v>1343.2049999999999</v>
      </c>
      <c r="J452" s="5">
        <v>195.99</v>
      </c>
      <c r="K452" s="5">
        <v>4.2</v>
      </c>
      <c r="L452" s="1" t="s">
        <v>5</v>
      </c>
      <c r="M452" s="1" t="s">
        <v>38</v>
      </c>
      <c r="N452" s="1" t="s">
        <v>2</v>
      </c>
      <c r="O452" s="1" t="s">
        <v>11</v>
      </c>
      <c r="P452" s="1" t="s">
        <v>7</v>
      </c>
      <c r="Q452" s="6">
        <f>C452+1</f>
        <v>40812</v>
      </c>
    </row>
    <row r="453" spans="1:17" ht="15.75" x14ac:dyDescent="0.3">
      <c r="A453" s="1">
        <v>2863</v>
      </c>
      <c r="B453" s="2">
        <v>20674</v>
      </c>
      <c r="C453" s="3">
        <f>DATE(2012,12,31)-754</f>
        <v>40520</v>
      </c>
      <c r="D453" s="1" t="s">
        <v>17</v>
      </c>
      <c r="E453" s="2">
        <v>37</v>
      </c>
      <c r="F453" s="2">
        <v>17717.34</v>
      </c>
      <c r="G453" s="2">
        <v>0</v>
      </c>
      <c r="H453" s="2">
        <v>0.37</v>
      </c>
      <c r="I453" s="4">
        <v>8291.08</v>
      </c>
      <c r="J453" s="5">
        <v>500.97</v>
      </c>
      <c r="K453" s="5">
        <v>69.3</v>
      </c>
      <c r="L453" s="1" t="s">
        <v>1</v>
      </c>
      <c r="M453" s="1" t="s">
        <v>38</v>
      </c>
      <c r="N453" s="1" t="s">
        <v>2</v>
      </c>
      <c r="O453" s="1" t="s">
        <v>11</v>
      </c>
      <c r="P453" s="1" t="s">
        <v>4</v>
      </c>
      <c r="Q453" s="6">
        <f>C453+1</f>
        <v>40521</v>
      </c>
    </row>
    <row r="454" spans="1:17" ht="15.75" x14ac:dyDescent="0.3">
      <c r="A454" s="1">
        <v>3496</v>
      </c>
      <c r="B454" s="2">
        <v>24903</v>
      </c>
      <c r="C454" s="3">
        <f>DATE(2012,12,31)-804</f>
        <v>40470</v>
      </c>
      <c r="D454" s="1" t="s">
        <v>16</v>
      </c>
      <c r="E454" s="2">
        <v>33</v>
      </c>
      <c r="F454" s="2">
        <v>1646.47</v>
      </c>
      <c r="G454" s="2">
        <v>0.05</v>
      </c>
      <c r="H454" s="2">
        <v>0.38</v>
      </c>
      <c r="I454" s="4">
        <v>743.59</v>
      </c>
      <c r="J454" s="5">
        <v>48.91</v>
      </c>
      <c r="K454" s="5">
        <v>5.81</v>
      </c>
      <c r="L454" s="1" t="s">
        <v>5</v>
      </c>
      <c r="M454" s="1" t="s">
        <v>38</v>
      </c>
      <c r="N454" s="1" t="s">
        <v>2</v>
      </c>
      <c r="O454" s="1" t="s">
        <v>6</v>
      </c>
      <c r="P454" s="1" t="s">
        <v>7</v>
      </c>
      <c r="Q454" s="6">
        <f>C454+7</f>
        <v>40477</v>
      </c>
    </row>
    <row r="455" spans="1:17" ht="15.75" x14ac:dyDescent="0.3">
      <c r="A455" s="1">
        <v>3603</v>
      </c>
      <c r="B455" s="2">
        <v>25735</v>
      </c>
      <c r="C455" s="3">
        <f>DATE(2012,12,31)-732</f>
        <v>40542</v>
      </c>
      <c r="D455" s="1" t="s">
        <v>8</v>
      </c>
      <c r="E455" s="2">
        <v>45</v>
      </c>
      <c r="F455" s="2">
        <v>260.37</v>
      </c>
      <c r="G455" s="2">
        <v>0.02</v>
      </c>
      <c r="H455" s="2">
        <v>0.46</v>
      </c>
      <c r="I455" s="4">
        <v>44.15</v>
      </c>
      <c r="J455" s="5">
        <v>5.58</v>
      </c>
      <c r="K455" s="5">
        <v>1.99</v>
      </c>
      <c r="L455" s="1" t="s">
        <v>5</v>
      </c>
      <c r="M455" s="1" t="s">
        <v>38</v>
      </c>
      <c r="N455" s="1" t="s">
        <v>21</v>
      </c>
      <c r="O455" s="1" t="s">
        <v>6</v>
      </c>
      <c r="P455" s="1" t="s">
        <v>14</v>
      </c>
      <c r="Q455" s="6">
        <f>C455+14</f>
        <v>40556</v>
      </c>
    </row>
    <row r="456" spans="1:17" ht="15.75" x14ac:dyDescent="0.3">
      <c r="A456" s="1">
        <v>4188</v>
      </c>
      <c r="B456" s="2">
        <v>29762</v>
      </c>
      <c r="C456" s="3">
        <f>DATE(2012,12,31)-881</f>
        <v>40393</v>
      </c>
      <c r="D456" s="1" t="s">
        <v>0</v>
      </c>
      <c r="E456" s="2">
        <v>33</v>
      </c>
      <c r="F456" s="2">
        <v>3268.56</v>
      </c>
      <c r="G456" s="2">
        <v>0.03</v>
      </c>
      <c r="H456" s="2">
        <v>0.56999999999999995</v>
      </c>
      <c r="I456" s="4">
        <v>-1181.71</v>
      </c>
      <c r="J456" s="5">
        <v>95.95</v>
      </c>
      <c r="K456" s="5">
        <v>74.349999999999994</v>
      </c>
      <c r="L456" s="1" t="s">
        <v>1</v>
      </c>
      <c r="M456" s="1" t="s">
        <v>38</v>
      </c>
      <c r="N456" s="1" t="s">
        <v>15</v>
      </c>
      <c r="O456" s="1" t="s">
        <v>3</v>
      </c>
      <c r="P456" s="1" t="s">
        <v>4</v>
      </c>
      <c r="Q456" s="6">
        <f>C456+1</f>
        <v>40394</v>
      </c>
    </row>
    <row r="457" spans="1:17" ht="15.75" x14ac:dyDescent="0.3">
      <c r="A457" s="1">
        <v>4199</v>
      </c>
      <c r="B457" s="2">
        <v>29856</v>
      </c>
      <c r="C457" s="3">
        <f>DATE(2012,12,31)-206</f>
        <v>41068</v>
      </c>
      <c r="D457" s="1" t="s">
        <v>12</v>
      </c>
      <c r="E457" s="2">
        <v>24</v>
      </c>
      <c r="F457" s="2">
        <v>115.54</v>
      </c>
      <c r="G457" s="2">
        <v>0.04</v>
      </c>
      <c r="H457" s="2">
        <v>0.36</v>
      </c>
      <c r="I457" s="4">
        <v>43.35</v>
      </c>
      <c r="J457" s="5">
        <v>4.9800000000000004</v>
      </c>
      <c r="K457" s="5">
        <v>0.8</v>
      </c>
      <c r="L457" s="1" t="s">
        <v>5</v>
      </c>
      <c r="M457" s="1" t="s">
        <v>38</v>
      </c>
      <c r="N457" s="1" t="s">
        <v>21</v>
      </c>
      <c r="O457" s="1" t="s">
        <v>6</v>
      </c>
      <c r="P457" s="1" t="s">
        <v>14</v>
      </c>
      <c r="Q457" s="6">
        <f>C457+3</f>
        <v>41071</v>
      </c>
    </row>
    <row r="458" spans="1:17" ht="15.75" x14ac:dyDescent="0.3">
      <c r="A458" s="1">
        <v>4574</v>
      </c>
      <c r="B458" s="2">
        <v>32580</v>
      </c>
      <c r="C458" s="3">
        <f>DATE(2012,12,31)-473</f>
        <v>40801</v>
      </c>
      <c r="D458" s="1" t="s">
        <v>17</v>
      </c>
      <c r="E458" s="2">
        <v>23</v>
      </c>
      <c r="F458" s="2">
        <v>166.8</v>
      </c>
      <c r="G458" s="2">
        <v>0.03</v>
      </c>
      <c r="H458" s="2">
        <v>0.4</v>
      </c>
      <c r="I458" s="4">
        <v>44.59</v>
      </c>
      <c r="J458" s="5">
        <v>7.4</v>
      </c>
      <c r="K458" s="5">
        <v>1.71</v>
      </c>
      <c r="L458" s="1" t="s">
        <v>5</v>
      </c>
      <c r="M458" s="1" t="s">
        <v>38</v>
      </c>
      <c r="N458" s="1" t="s">
        <v>2</v>
      </c>
      <c r="O458" s="1" t="s">
        <v>6</v>
      </c>
      <c r="P458" s="1" t="s">
        <v>14</v>
      </c>
      <c r="Q458" s="6">
        <f>C458+0</f>
        <v>40801</v>
      </c>
    </row>
    <row r="459" spans="1:17" ht="15.75" x14ac:dyDescent="0.3">
      <c r="A459" s="1">
        <v>4575</v>
      </c>
      <c r="B459" s="2">
        <v>32580</v>
      </c>
      <c r="C459" s="3">
        <f>DATE(2012,12,31)-473</f>
        <v>40801</v>
      </c>
      <c r="D459" s="1" t="s">
        <v>17</v>
      </c>
      <c r="E459" s="2">
        <v>38</v>
      </c>
      <c r="F459" s="2">
        <v>261.38</v>
      </c>
      <c r="G459" s="2">
        <v>0.05</v>
      </c>
      <c r="H459" s="2">
        <v>0.36</v>
      </c>
      <c r="I459" s="4">
        <v>-172.35</v>
      </c>
      <c r="J459" s="5">
        <v>6.48</v>
      </c>
      <c r="K459" s="5">
        <v>8.74</v>
      </c>
      <c r="L459" s="1" t="s">
        <v>5</v>
      </c>
      <c r="M459" s="1" t="s">
        <v>38</v>
      </c>
      <c r="N459" s="1" t="s">
        <v>2</v>
      </c>
      <c r="O459" s="1" t="s">
        <v>6</v>
      </c>
      <c r="P459" s="1" t="s">
        <v>7</v>
      </c>
      <c r="Q459" s="6">
        <f>C459+2</f>
        <v>40803</v>
      </c>
    </row>
    <row r="460" spans="1:17" ht="15.75" x14ac:dyDescent="0.3">
      <c r="A460" s="1">
        <v>4788</v>
      </c>
      <c r="B460" s="2">
        <v>34017</v>
      </c>
      <c r="C460" s="3">
        <f>DATE(2012,12,31)-1379</f>
        <v>39895</v>
      </c>
      <c r="D460" s="1" t="s">
        <v>17</v>
      </c>
      <c r="E460" s="2">
        <v>20</v>
      </c>
      <c r="F460" s="2">
        <v>103.39</v>
      </c>
      <c r="G460" s="2">
        <v>0.05</v>
      </c>
      <c r="H460" s="2">
        <v>0.52</v>
      </c>
      <c r="I460" s="4">
        <v>29.17</v>
      </c>
      <c r="J460" s="5">
        <v>4.84</v>
      </c>
      <c r="K460" s="5">
        <v>0.71</v>
      </c>
      <c r="L460" s="1" t="s">
        <v>9</v>
      </c>
      <c r="M460" s="1" t="s">
        <v>38</v>
      </c>
      <c r="N460" s="1" t="s">
        <v>2</v>
      </c>
      <c r="O460" s="1" t="s">
        <v>6</v>
      </c>
      <c r="P460" s="1" t="s">
        <v>14</v>
      </c>
      <c r="Q460" s="6">
        <f>C460+0</f>
        <v>39895</v>
      </c>
    </row>
    <row r="461" spans="1:17" ht="15.75" x14ac:dyDescent="0.3">
      <c r="A461" s="1">
        <v>4789</v>
      </c>
      <c r="B461" s="2">
        <v>34017</v>
      </c>
      <c r="C461" s="3">
        <f>DATE(2012,12,31)-1379</f>
        <v>39895</v>
      </c>
      <c r="D461" s="1" t="s">
        <v>17</v>
      </c>
      <c r="E461" s="2">
        <v>28</v>
      </c>
      <c r="F461" s="2">
        <v>435.39</v>
      </c>
      <c r="G461" s="2">
        <v>0.01</v>
      </c>
      <c r="H461" s="2">
        <v>0.56999999999999995</v>
      </c>
      <c r="I461" s="4">
        <v>-48.97</v>
      </c>
      <c r="J461" s="5">
        <v>14.98</v>
      </c>
      <c r="K461" s="5">
        <v>7.69</v>
      </c>
      <c r="L461" s="1" t="s">
        <v>5</v>
      </c>
      <c r="M461" s="1" t="s">
        <v>38</v>
      </c>
      <c r="N461" s="1" t="s">
        <v>2</v>
      </c>
      <c r="O461" s="1" t="s">
        <v>6</v>
      </c>
      <c r="P461" s="1" t="s">
        <v>7</v>
      </c>
      <c r="Q461" s="6">
        <f>C461+2</f>
        <v>39897</v>
      </c>
    </row>
    <row r="462" spans="1:17" ht="15.75" x14ac:dyDescent="0.3">
      <c r="A462" s="1">
        <v>6013</v>
      </c>
      <c r="B462" s="2">
        <v>42597</v>
      </c>
      <c r="C462" s="3">
        <f>DATE(2012,12,31)-1012</f>
        <v>40262</v>
      </c>
      <c r="D462" s="1" t="s">
        <v>12</v>
      </c>
      <c r="E462" s="2">
        <v>5</v>
      </c>
      <c r="F462" s="2">
        <v>29.66</v>
      </c>
      <c r="G462" s="2">
        <v>0.04</v>
      </c>
      <c r="H462" s="2">
        <v>0.64</v>
      </c>
      <c r="I462" s="4">
        <v>-32.78</v>
      </c>
      <c r="J462" s="5">
        <v>4.9800000000000004</v>
      </c>
      <c r="K462" s="5">
        <v>4.32</v>
      </c>
      <c r="L462" s="1" t="s">
        <v>5</v>
      </c>
      <c r="M462" s="1" t="s">
        <v>38</v>
      </c>
      <c r="N462" s="1" t="s">
        <v>2</v>
      </c>
      <c r="O462" s="1" t="s">
        <v>11</v>
      </c>
      <c r="P462" s="1" t="s">
        <v>20</v>
      </c>
      <c r="Q462" s="6">
        <f>C462+2</f>
        <v>40264</v>
      </c>
    </row>
    <row r="463" spans="1:17" ht="15.75" x14ac:dyDescent="0.3">
      <c r="A463" s="1">
        <v>6587</v>
      </c>
      <c r="B463" s="2">
        <v>46884</v>
      </c>
      <c r="C463" s="3">
        <f>DATE(2012,12,31)-1444</f>
        <v>39830</v>
      </c>
      <c r="D463" s="1" t="s">
        <v>12</v>
      </c>
      <c r="E463" s="2">
        <v>25</v>
      </c>
      <c r="F463" s="2">
        <v>280.43</v>
      </c>
      <c r="G463" s="2">
        <v>0.1</v>
      </c>
      <c r="H463" s="2">
        <v>0.55000000000000004</v>
      </c>
      <c r="I463" s="4">
        <v>39.520000000000003</v>
      </c>
      <c r="J463" s="5">
        <v>11.55</v>
      </c>
      <c r="K463" s="5">
        <v>2.36</v>
      </c>
      <c r="L463" s="1" t="s">
        <v>5</v>
      </c>
      <c r="M463" s="1" t="s">
        <v>38</v>
      </c>
      <c r="N463" s="1" t="s">
        <v>2</v>
      </c>
      <c r="O463" s="1" t="s">
        <v>6</v>
      </c>
      <c r="P463" s="1" t="s">
        <v>14</v>
      </c>
      <c r="Q463" s="6">
        <f>C463+1</f>
        <v>39831</v>
      </c>
    </row>
    <row r="464" spans="1:17" ht="15.75" x14ac:dyDescent="0.3">
      <c r="A464" s="1">
        <v>7347</v>
      </c>
      <c r="B464" s="2">
        <v>52325</v>
      </c>
      <c r="C464" s="3">
        <f>DATE(2012,12,31)-170</f>
        <v>41104</v>
      </c>
      <c r="D464" s="1" t="s">
        <v>8</v>
      </c>
      <c r="E464" s="2">
        <v>23</v>
      </c>
      <c r="F464" s="2">
        <v>5126.3</v>
      </c>
      <c r="G464" s="2">
        <v>7.0000000000000007E-2</v>
      </c>
      <c r="H464" s="2">
        <v>0.38</v>
      </c>
      <c r="I464" s="4">
        <v>2019.192</v>
      </c>
      <c r="J464" s="5">
        <v>223.98</v>
      </c>
      <c r="K464" s="5">
        <v>15.01</v>
      </c>
      <c r="L464" s="1" t="s">
        <v>5</v>
      </c>
      <c r="M464" s="1" t="s">
        <v>38</v>
      </c>
      <c r="N464" s="1" t="s">
        <v>2</v>
      </c>
      <c r="O464" s="1" t="s">
        <v>6</v>
      </c>
      <c r="P464" s="1" t="s">
        <v>7</v>
      </c>
      <c r="Q464" s="6">
        <f>C464+0</f>
        <v>41104</v>
      </c>
    </row>
    <row r="465" spans="1:17" ht="15.75" x14ac:dyDescent="0.3">
      <c r="A465" s="1">
        <v>7478</v>
      </c>
      <c r="B465" s="2">
        <v>53382</v>
      </c>
      <c r="C465" s="3">
        <f>DATE(2012,12,31)-1100</f>
        <v>40174</v>
      </c>
      <c r="D465" s="1" t="s">
        <v>8</v>
      </c>
      <c r="E465" s="2">
        <v>13</v>
      </c>
      <c r="F465" s="2">
        <v>88.17</v>
      </c>
      <c r="G465" s="2">
        <v>0.1</v>
      </c>
      <c r="H465" s="2">
        <v>0.56000000000000005</v>
      </c>
      <c r="I465" s="4">
        <v>-572.49</v>
      </c>
      <c r="J465" s="5">
        <v>3.25</v>
      </c>
      <c r="K465" s="5">
        <v>49</v>
      </c>
      <c r="L465" s="1" t="s">
        <v>5</v>
      </c>
      <c r="M465" s="1" t="s">
        <v>38</v>
      </c>
      <c r="N465" s="1" t="s">
        <v>2</v>
      </c>
      <c r="O465" s="1" t="s">
        <v>6</v>
      </c>
      <c r="P465" s="1" t="s">
        <v>10</v>
      </c>
      <c r="Q465" s="6">
        <f>C465+1</f>
        <v>40175</v>
      </c>
    </row>
    <row r="466" spans="1:17" ht="15.75" x14ac:dyDescent="0.3">
      <c r="A466" s="1">
        <v>7479</v>
      </c>
      <c r="B466" s="2">
        <v>53382</v>
      </c>
      <c r="C466" s="3">
        <f>DATE(2012,12,31)-1100</f>
        <v>40174</v>
      </c>
      <c r="D466" s="1" t="s">
        <v>8</v>
      </c>
      <c r="E466" s="2">
        <v>15</v>
      </c>
      <c r="F466" s="2">
        <v>4760.0200000000004</v>
      </c>
      <c r="G466" s="2">
        <v>0</v>
      </c>
      <c r="H466" s="2">
        <v>0.56000000000000005</v>
      </c>
      <c r="I466" s="4">
        <v>658.88</v>
      </c>
      <c r="J466" s="5">
        <v>300.98</v>
      </c>
      <c r="K466" s="5">
        <v>64.73</v>
      </c>
      <c r="L466" s="1" t="s">
        <v>1</v>
      </c>
      <c r="M466" s="1" t="s">
        <v>38</v>
      </c>
      <c r="N466" s="1" t="s">
        <v>2</v>
      </c>
      <c r="O466" s="1" t="s">
        <v>3</v>
      </c>
      <c r="P466" s="1" t="s">
        <v>4</v>
      </c>
      <c r="Q466" s="6">
        <f>C466+1</f>
        <v>40175</v>
      </c>
    </row>
    <row r="467" spans="1:17" ht="15.75" x14ac:dyDescent="0.3">
      <c r="A467" s="1">
        <v>7523</v>
      </c>
      <c r="B467" s="2">
        <v>53728</v>
      </c>
      <c r="C467" s="3">
        <f>DATE(2012,12,31)-436</f>
        <v>40838</v>
      </c>
      <c r="D467" s="1" t="s">
        <v>17</v>
      </c>
      <c r="E467" s="2">
        <v>27</v>
      </c>
      <c r="F467" s="2">
        <v>1502.66</v>
      </c>
      <c r="G467" s="2">
        <v>7.0000000000000007E-2</v>
      </c>
      <c r="H467" s="2">
        <v>0.38</v>
      </c>
      <c r="I467" s="4">
        <v>637.60199999999998</v>
      </c>
      <c r="J467" s="5">
        <v>58.1</v>
      </c>
      <c r="K467" s="5">
        <v>1.49</v>
      </c>
      <c r="L467" s="1" t="s">
        <v>5</v>
      </c>
      <c r="M467" s="1" t="s">
        <v>38</v>
      </c>
      <c r="N467" s="1" t="s">
        <v>2</v>
      </c>
      <c r="O467" s="1" t="s">
        <v>6</v>
      </c>
      <c r="P467" s="1" t="s">
        <v>7</v>
      </c>
      <c r="Q467" s="6">
        <f>C467+1</f>
        <v>40839</v>
      </c>
    </row>
    <row r="468" spans="1:17" ht="15.75" x14ac:dyDescent="0.3">
      <c r="A468" s="1">
        <v>10</v>
      </c>
      <c r="B468" s="2">
        <v>65</v>
      </c>
      <c r="C468" s="3">
        <f>DATE(2012,12,31)-655</f>
        <v>40619</v>
      </c>
      <c r="D468" s="1" t="s">
        <v>0</v>
      </c>
      <c r="E468" s="2">
        <v>32</v>
      </c>
      <c r="F468" s="2">
        <v>3812.73</v>
      </c>
      <c r="G468" s="2">
        <v>0.02</v>
      </c>
      <c r="H468" s="2">
        <v>0.49</v>
      </c>
      <c r="I468" s="4">
        <v>1470.3</v>
      </c>
      <c r="J468" s="5">
        <v>115.79</v>
      </c>
      <c r="K468" s="5">
        <v>1.99</v>
      </c>
      <c r="L468" s="1" t="s">
        <v>5</v>
      </c>
      <c r="M468" s="1" t="s">
        <v>38</v>
      </c>
      <c r="N468" s="1" t="s">
        <v>2</v>
      </c>
      <c r="O468" s="1" t="s">
        <v>11</v>
      </c>
      <c r="P468" s="1" t="s">
        <v>20</v>
      </c>
      <c r="Q468" s="6">
        <f>C468+1</f>
        <v>40620</v>
      </c>
    </row>
    <row r="469" spans="1:17" ht="15.75" x14ac:dyDescent="0.3">
      <c r="A469" s="1">
        <v>39</v>
      </c>
      <c r="B469" s="2">
        <v>230</v>
      </c>
      <c r="C469" s="3">
        <f>DATE(2012,12,31)-797</f>
        <v>40477</v>
      </c>
      <c r="D469" s="1" t="s">
        <v>0</v>
      </c>
      <c r="E469" s="2">
        <v>47</v>
      </c>
      <c r="F469" s="2">
        <v>2029.75</v>
      </c>
      <c r="G469" s="2">
        <v>0.06</v>
      </c>
      <c r="H469" s="2">
        <v>0.57999999999999996</v>
      </c>
      <c r="I469" s="4">
        <v>320.37</v>
      </c>
      <c r="J469" s="5">
        <v>43.98</v>
      </c>
      <c r="K469" s="5">
        <v>8.99</v>
      </c>
      <c r="L469" s="1" t="s">
        <v>5</v>
      </c>
      <c r="M469" s="1" t="s">
        <v>38</v>
      </c>
      <c r="N469" s="1" t="s">
        <v>2</v>
      </c>
      <c r="O469" s="1" t="s">
        <v>6</v>
      </c>
      <c r="P469" s="1" t="s">
        <v>20</v>
      </c>
      <c r="Q469" s="6">
        <f>C469+2</f>
        <v>40479</v>
      </c>
    </row>
    <row r="470" spans="1:17" ht="15.75" x14ac:dyDescent="0.3">
      <c r="A470" s="1">
        <v>40</v>
      </c>
      <c r="B470" s="2">
        <v>230</v>
      </c>
      <c r="C470" s="3">
        <f>DATE(2012,12,31)-797</f>
        <v>40477</v>
      </c>
      <c r="D470" s="1" t="s">
        <v>0</v>
      </c>
      <c r="E470" s="2">
        <v>11</v>
      </c>
      <c r="F470" s="2">
        <v>1118.396</v>
      </c>
      <c r="G470" s="2">
        <v>0.06</v>
      </c>
      <c r="H470" s="2">
        <v>0.56999999999999995</v>
      </c>
      <c r="I470" s="4">
        <v>-212.333</v>
      </c>
      <c r="J470" s="5">
        <v>125.99</v>
      </c>
      <c r="K470" s="5">
        <v>8.08</v>
      </c>
      <c r="L470" s="1" t="s">
        <v>5</v>
      </c>
      <c r="M470" s="1" t="s">
        <v>38</v>
      </c>
      <c r="N470" s="1" t="s">
        <v>2</v>
      </c>
      <c r="O470" s="1" t="s">
        <v>11</v>
      </c>
      <c r="P470" s="1" t="s">
        <v>7</v>
      </c>
      <c r="Q470" s="6">
        <f>C470+2</f>
        <v>40479</v>
      </c>
    </row>
    <row r="471" spans="1:17" ht="15.75" x14ac:dyDescent="0.3">
      <c r="A471" s="1">
        <v>61</v>
      </c>
      <c r="B471" s="2">
        <v>355</v>
      </c>
      <c r="C471" s="3">
        <f>DATE(2012,12,31)-1297</f>
        <v>39977</v>
      </c>
      <c r="D471" s="1" t="s">
        <v>16</v>
      </c>
      <c r="E471" s="2">
        <v>16</v>
      </c>
      <c r="F471" s="2">
        <v>1239.6315</v>
      </c>
      <c r="G471" s="2">
        <v>0</v>
      </c>
      <c r="H471" s="2">
        <v>0.85</v>
      </c>
      <c r="I471" s="4">
        <v>-172.54600000000002</v>
      </c>
      <c r="J471" s="5">
        <v>85.99</v>
      </c>
      <c r="K471" s="5">
        <v>0.99</v>
      </c>
      <c r="L471" s="1" t="s">
        <v>5</v>
      </c>
      <c r="M471" s="1" t="s">
        <v>38</v>
      </c>
      <c r="N471" s="1" t="s">
        <v>13</v>
      </c>
      <c r="O471" s="1" t="s">
        <v>11</v>
      </c>
      <c r="P471" s="1" t="s">
        <v>14</v>
      </c>
      <c r="Q471" s="6">
        <f>C471+5</f>
        <v>39982</v>
      </c>
    </row>
    <row r="472" spans="1:17" ht="15.75" x14ac:dyDescent="0.3">
      <c r="A472" s="1">
        <v>75</v>
      </c>
      <c r="B472" s="2">
        <v>449</v>
      </c>
      <c r="C472" s="3">
        <f>DATE(2012,12,31)-531</f>
        <v>40743</v>
      </c>
      <c r="D472" s="1" t="s">
        <v>17</v>
      </c>
      <c r="E472" s="2">
        <v>45</v>
      </c>
      <c r="F472" s="2">
        <v>356.7</v>
      </c>
      <c r="G472" s="2">
        <v>0.02</v>
      </c>
      <c r="H472" s="2">
        <v>0.56000000000000005</v>
      </c>
      <c r="I472" s="4">
        <v>-48.97</v>
      </c>
      <c r="J472" s="5">
        <v>7.38</v>
      </c>
      <c r="K472" s="5">
        <v>5.21</v>
      </c>
      <c r="L472" s="1" t="s">
        <v>5</v>
      </c>
      <c r="M472" s="1" t="s">
        <v>38</v>
      </c>
      <c r="N472" s="1" t="s">
        <v>2</v>
      </c>
      <c r="O472" s="1" t="s">
        <v>3</v>
      </c>
      <c r="P472" s="1" t="s">
        <v>7</v>
      </c>
      <c r="Q472" s="6">
        <f>C472+2</f>
        <v>40745</v>
      </c>
    </row>
    <row r="473" spans="1:17" ht="15.75" x14ac:dyDescent="0.3">
      <c r="A473" s="1">
        <v>101</v>
      </c>
      <c r="B473" s="2">
        <v>640</v>
      </c>
      <c r="C473" s="3">
        <f>DATE(2012,12,31)-1074</f>
        <v>40200</v>
      </c>
      <c r="D473" s="1" t="s">
        <v>17</v>
      </c>
      <c r="E473" s="2">
        <v>39</v>
      </c>
      <c r="F473" s="2">
        <v>4913.6899999999996</v>
      </c>
      <c r="G473" s="2">
        <v>0.02</v>
      </c>
      <c r="H473" s="2">
        <v>0.75</v>
      </c>
      <c r="I473" s="4">
        <v>-1153.9000000000001</v>
      </c>
      <c r="J473" s="5">
        <v>120.98</v>
      </c>
      <c r="K473" s="5">
        <v>58.64</v>
      </c>
      <c r="L473" s="1" t="s">
        <v>1</v>
      </c>
      <c r="M473" s="1" t="s">
        <v>38</v>
      </c>
      <c r="N473" s="1" t="s">
        <v>21</v>
      </c>
      <c r="O473" s="1" t="s">
        <v>3</v>
      </c>
      <c r="P473" s="1" t="s">
        <v>19</v>
      </c>
      <c r="Q473" s="6">
        <f>C473+1</f>
        <v>40201</v>
      </c>
    </row>
    <row r="474" spans="1:17" ht="15.75" x14ac:dyDescent="0.3">
      <c r="A474" s="1">
        <v>102</v>
      </c>
      <c r="B474" s="2">
        <v>640</v>
      </c>
      <c r="C474" s="3">
        <f>DATE(2012,12,31)-1074</f>
        <v>40200</v>
      </c>
      <c r="D474" s="1" t="s">
        <v>17</v>
      </c>
      <c r="E474" s="2">
        <v>24</v>
      </c>
      <c r="F474" s="2">
        <v>464.77</v>
      </c>
      <c r="G474" s="2">
        <v>0.01</v>
      </c>
      <c r="H474" s="2">
        <v>0.37</v>
      </c>
      <c r="I474" s="4">
        <v>29.42</v>
      </c>
      <c r="J474" s="5">
        <v>18.97</v>
      </c>
      <c r="K474" s="5">
        <v>9.5399999999999991</v>
      </c>
      <c r="L474" s="1" t="s">
        <v>5</v>
      </c>
      <c r="M474" s="1" t="s">
        <v>38</v>
      </c>
      <c r="N474" s="1" t="s">
        <v>21</v>
      </c>
      <c r="O474" s="1" t="s">
        <v>6</v>
      </c>
      <c r="P474" s="1" t="s">
        <v>7</v>
      </c>
      <c r="Q474" s="6">
        <f>C474+1</f>
        <v>40201</v>
      </c>
    </row>
    <row r="475" spans="1:17" ht="15.75" x14ac:dyDescent="0.3">
      <c r="A475" s="1">
        <v>106</v>
      </c>
      <c r="B475" s="2">
        <v>646</v>
      </c>
      <c r="C475" s="3">
        <f>DATE(2012,12,31)-1136</f>
        <v>40138</v>
      </c>
      <c r="D475" s="1" t="s">
        <v>17</v>
      </c>
      <c r="E475" s="2">
        <v>18</v>
      </c>
      <c r="F475" s="2">
        <v>173.2</v>
      </c>
      <c r="G475" s="2">
        <v>0.01</v>
      </c>
      <c r="H475" s="2">
        <v>0.56000000000000005</v>
      </c>
      <c r="I475" s="4">
        <v>-10.9</v>
      </c>
      <c r="J475" s="5">
        <v>9.31</v>
      </c>
      <c r="K475" s="5">
        <v>3.98</v>
      </c>
      <c r="L475" s="1" t="s">
        <v>5</v>
      </c>
      <c r="M475" s="1" t="s">
        <v>38</v>
      </c>
      <c r="N475" s="1" t="s">
        <v>13</v>
      </c>
      <c r="O475" s="1" t="s">
        <v>6</v>
      </c>
      <c r="P475" s="1" t="s">
        <v>20</v>
      </c>
      <c r="Q475" s="6">
        <f>C475+1</f>
        <v>40139</v>
      </c>
    </row>
    <row r="476" spans="1:17" ht="15.75" x14ac:dyDescent="0.3">
      <c r="A476" s="1">
        <v>132</v>
      </c>
      <c r="B476" s="2">
        <v>835</v>
      </c>
      <c r="C476" s="3">
        <f>DATE(2012,12,31)-451</f>
        <v>40823</v>
      </c>
      <c r="D476" s="1" t="s">
        <v>8</v>
      </c>
      <c r="E476" s="2">
        <v>18</v>
      </c>
      <c r="F476" s="2">
        <v>125.16</v>
      </c>
      <c r="G476" s="2">
        <v>0.02</v>
      </c>
      <c r="H476" s="2">
        <v>0.37</v>
      </c>
      <c r="I476" s="4">
        <v>-23.48</v>
      </c>
      <c r="J476" s="5">
        <v>6.48</v>
      </c>
      <c r="K476" s="5">
        <v>5.14</v>
      </c>
      <c r="L476" s="1" t="s">
        <v>5</v>
      </c>
      <c r="M476" s="1" t="s">
        <v>38</v>
      </c>
      <c r="N476" s="1" t="s">
        <v>13</v>
      </c>
      <c r="O476" s="1" t="s">
        <v>6</v>
      </c>
      <c r="P476" s="1" t="s">
        <v>7</v>
      </c>
      <c r="Q476" s="6">
        <f>C476+1</f>
        <v>40824</v>
      </c>
    </row>
    <row r="477" spans="1:17" ht="15.75" x14ac:dyDescent="0.3">
      <c r="A477" s="1">
        <v>138</v>
      </c>
      <c r="B477" s="2">
        <v>896</v>
      </c>
      <c r="C477" s="3">
        <f>DATE(2012,12,31)-1029</f>
        <v>40245</v>
      </c>
      <c r="D477" s="1" t="s">
        <v>0</v>
      </c>
      <c r="E477" s="2">
        <v>50</v>
      </c>
      <c r="F477" s="2">
        <v>1246.52</v>
      </c>
      <c r="G477" s="2">
        <v>0.01</v>
      </c>
      <c r="H477" s="2">
        <v>0.39</v>
      </c>
      <c r="I477" s="4">
        <v>52.478999999999999</v>
      </c>
      <c r="J477" s="5">
        <v>24.92</v>
      </c>
      <c r="K477" s="5">
        <v>12.98</v>
      </c>
      <c r="L477" s="1" t="s">
        <v>5</v>
      </c>
      <c r="M477" s="1" t="s">
        <v>38</v>
      </c>
      <c r="N477" s="1" t="s">
        <v>15</v>
      </c>
      <c r="O477" s="1" t="s">
        <v>6</v>
      </c>
      <c r="P477" s="1" t="s">
        <v>7</v>
      </c>
      <c r="Q477" s="6">
        <f>C477+0</f>
        <v>40245</v>
      </c>
    </row>
    <row r="478" spans="1:17" ht="15.75" x14ac:dyDescent="0.3">
      <c r="A478" s="1">
        <v>159</v>
      </c>
      <c r="B478" s="2">
        <v>994</v>
      </c>
      <c r="C478" s="3">
        <f>DATE(2012,12,31)-1352</f>
        <v>39922</v>
      </c>
      <c r="D478" s="1" t="s">
        <v>16</v>
      </c>
      <c r="E478" s="2">
        <v>38</v>
      </c>
      <c r="F478" s="2">
        <v>132.07</v>
      </c>
      <c r="G478" s="2">
        <v>0.06</v>
      </c>
      <c r="H478" s="2">
        <v>0.36</v>
      </c>
      <c r="I478" s="4">
        <v>14</v>
      </c>
      <c r="J478" s="5">
        <v>3.58</v>
      </c>
      <c r="K478" s="5">
        <v>1.63</v>
      </c>
      <c r="L478" s="1" t="s">
        <v>5</v>
      </c>
      <c r="M478" s="1" t="s">
        <v>38</v>
      </c>
      <c r="N478" s="1" t="s">
        <v>2</v>
      </c>
      <c r="O478" s="1" t="s">
        <v>6</v>
      </c>
      <c r="P478" s="1" t="s">
        <v>14</v>
      </c>
      <c r="Q478" s="6">
        <f>C478+4</f>
        <v>39926</v>
      </c>
    </row>
    <row r="479" spans="1:17" ht="15.75" x14ac:dyDescent="0.3">
      <c r="A479" s="1">
        <v>167</v>
      </c>
      <c r="B479" s="2">
        <v>1057</v>
      </c>
      <c r="C479" s="3">
        <f>DATE(2012,12,31)-316</f>
        <v>40958</v>
      </c>
      <c r="D479" s="1" t="s">
        <v>0</v>
      </c>
      <c r="E479" s="2">
        <v>41</v>
      </c>
      <c r="F479" s="2">
        <v>341.36</v>
      </c>
      <c r="G479" s="2">
        <v>0.09</v>
      </c>
      <c r="H479" s="2">
        <v>0.61</v>
      </c>
      <c r="I479" s="4">
        <v>-52.48</v>
      </c>
      <c r="J479" s="5">
        <v>8.4600000000000009</v>
      </c>
      <c r="K479" s="5">
        <v>3.62</v>
      </c>
      <c r="L479" s="1" t="s">
        <v>5</v>
      </c>
      <c r="M479" s="1" t="s">
        <v>38</v>
      </c>
      <c r="N479" s="1" t="s">
        <v>2</v>
      </c>
      <c r="O479" s="1" t="s">
        <v>11</v>
      </c>
      <c r="P479" s="1" t="s">
        <v>20</v>
      </c>
      <c r="Q479" s="6">
        <f>C479+2</f>
        <v>40960</v>
      </c>
    </row>
    <row r="480" spans="1:17" ht="15.75" x14ac:dyDescent="0.3">
      <c r="A480" s="1">
        <v>228</v>
      </c>
      <c r="B480" s="2">
        <v>1538</v>
      </c>
      <c r="C480" s="3">
        <f>DATE(2012,12,31)-563</f>
        <v>40711</v>
      </c>
      <c r="D480" s="1" t="s">
        <v>8</v>
      </c>
      <c r="E480" s="2">
        <v>15</v>
      </c>
      <c r="F480" s="2">
        <v>1297.3040000000001</v>
      </c>
      <c r="G480" s="2">
        <v>0</v>
      </c>
      <c r="H480" s="2">
        <v>0.56000000000000005</v>
      </c>
      <c r="I480" s="4">
        <v>149.82300000000001</v>
      </c>
      <c r="J480" s="5">
        <v>95.99</v>
      </c>
      <c r="K480" s="5">
        <v>4.9000000000000004</v>
      </c>
      <c r="L480" s="1" t="s">
        <v>5</v>
      </c>
      <c r="M480" s="1" t="s">
        <v>38</v>
      </c>
      <c r="N480" s="1" t="s">
        <v>2</v>
      </c>
      <c r="O480" s="1" t="s">
        <v>11</v>
      </c>
      <c r="P480" s="1" t="s">
        <v>7</v>
      </c>
      <c r="Q480" s="6">
        <f>C480+1</f>
        <v>40712</v>
      </c>
    </row>
    <row r="481" spans="1:17" ht="15.75" x14ac:dyDescent="0.3">
      <c r="A481" s="1">
        <v>247</v>
      </c>
      <c r="B481" s="2">
        <v>1701</v>
      </c>
      <c r="C481" s="3">
        <f>DATE(2012,12,31)-227</f>
        <v>41047</v>
      </c>
      <c r="D481" s="1" t="s">
        <v>17</v>
      </c>
      <c r="E481" s="2">
        <v>49</v>
      </c>
      <c r="F481" s="2">
        <v>2047.58</v>
      </c>
      <c r="G481" s="2">
        <v>0.01</v>
      </c>
      <c r="H481" s="2">
        <v>0.44</v>
      </c>
      <c r="I481" s="4">
        <v>902.62</v>
      </c>
      <c r="J481" s="5">
        <v>40.98</v>
      </c>
      <c r="K481" s="5">
        <v>1.99</v>
      </c>
      <c r="L481" s="1" t="s">
        <v>5</v>
      </c>
      <c r="M481" s="1" t="s">
        <v>38</v>
      </c>
      <c r="N481" s="1" t="s">
        <v>21</v>
      </c>
      <c r="O481" s="1" t="s">
        <v>11</v>
      </c>
      <c r="P481" s="1" t="s">
        <v>20</v>
      </c>
      <c r="Q481" s="6">
        <f>C481+2</f>
        <v>41049</v>
      </c>
    </row>
    <row r="482" spans="1:17" ht="15.75" x14ac:dyDescent="0.3">
      <c r="A482" s="1">
        <v>248</v>
      </c>
      <c r="B482" s="2">
        <v>1701</v>
      </c>
      <c r="C482" s="3">
        <f>DATE(2012,12,31)-227</f>
        <v>41047</v>
      </c>
      <c r="D482" s="1" t="s">
        <v>17</v>
      </c>
      <c r="E482" s="2">
        <v>1</v>
      </c>
      <c r="F482" s="2">
        <v>56.61</v>
      </c>
      <c r="G482" s="2">
        <v>0.02</v>
      </c>
      <c r="H482" s="2">
        <v>0.56999999999999995</v>
      </c>
      <c r="I482" s="4">
        <v>-22.16</v>
      </c>
      <c r="J482" s="5">
        <v>40.97</v>
      </c>
      <c r="K482" s="5">
        <v>14.45</v>
      </c>
      <c r="L482" s="1" t="s">
        <v>5</v>
      </c>
      <c r="M482" s="1" t="s">
        <v>38</v>
      </c>
      <c r="N482" s="1" t="s">
        <v>21</v>
      </c>
      <c r="O482" s="1" t="s">
        <v>3</v>
      </c>
      <c r="P482" s="1" t="s">
        <v>10</v>
      </c>
      <c r="Q482" s="6">
        <f>C482+2</f>
        <v>41049</v>
      </c>
    </row>
    <row r="483" spans="1:17" ht="15.75" x14ac:dyDescent="0.3">
      <c r="A483" s="1">
        <v>274</v>
      </c>
      <c r="B483" s="2">
        <v>1891</v>
      </c>
      <c r="C483" s="3">
        <f>DATE(2012,12,31)-1113</f>
        <v>40161</v>
      </c>
      <c r="D483" s="1" t="s">
        <v>16</v>
      </c>
      <c r="E483" s="2">
        <v>3</v>
      </c>
      <c r="F483" s="2">
        <v>302.36</v>
      </c>
      <c r="G483" s="2">
        <v>0.09</v>
      </c>
      <c r="H483" s="2">
        <v>0.65</v>
      </c>
      <c r="I483" s="4">
        <v>290.31</v>
      </c>
      <c r="J483" s="5">
        <v>107.53</v>
      </c>
      <c r="K483" s="5">
        <v>5.81</v>
      </c>
      <c r="L483" s="1" t="s">
        <v>5</v>
      </c>
      <c r="M483" s="1" t="s">
        <v>38</v>
      </c>
      <c r="N483" s="1" t="s">
        <v>13</v>
      </c>
      <c r="O483" s="1" t="s">
        <v>3</v>
      </c>
      <c r="P483" s="1" t="s">
        <v>18</v>
      </c>
      <c r="Q483" s="6">
        <f>C483+2</f>
        <v>40163</v>
      </c>
    </row>
    <row r="484" spans="1:17" ht="15.75" x14ac:dyDescent="0.3">
      <c r="A484" s="1">
        <v>289</v>
      </c>
      <c r="B484" s="2">
        <v>2022</v>
      </c>
      <c r="C484" s="3">
        <f>DATE(2012,12,31)-292</f>
        <v>40982</v>
      </c>
      <c r="D484" s="1" t="s">
        <v>0</v>
      </c>
      <c r="E484" s="2">
        <v>45</v>
      </c>
      <c r="F484" s="2">
        <v>186.44</v>
      </c>
      <c r="G484" s="2">
        <v>0</v>
      </c>
      <c r="H484" s="2">
        <v>0.59</v>
      </c>
      <c r="I484" s="4">
        <v>-157.18</v>
      </c>
      <c r="J484" s="5">
        <v>3.95</v>
      </c>
      <c r="K484" s="5">
        <v>5.13</v>
      </c>
      <c r="L484" s="1" t="s">
        <v>5</v>
      </c>
      <c r="M484" s="1" t="s">
        <v>38</v>
      </c>
      <c r="N484" s="1" t="s">
        <v>2</v>
      </c>
      <c r="O484" s="1" t="s">
        <v>6</v>
      </c>
      <c r="P484" s="1" t="s">
        <v>7</v>
      </c>
      <c r="Q484" s="6">
        <f>C484+1</f>
        <v>40983</v>
      </c>
    </row>
    <row r="485" spans="1:17" ht="15.75" x14ac:dyDescent="0.3">
      <c r="A485" s="1">
        <v>312</v>
      </c>
      <c r="B485" s="2">
        <v>2181</v>
      </c>
      <c r="C485" s="3">
        <f>DATE(2012,12,31)-476</f>
        <v>40798</v>
      </c>
      <c r="D485" s="1" t="s">
        <v>12</v>
      </c>
      <c r="E485" s="2">
        <v>40</v>
      </c>
      <c r="F485" s="2">
        <v>102.56</v>
      </c>
      <c r="G485" s="2">
        <v>0.06</v>
      </c>
      <c r="H485" s="2">
        <v>0.39</v>
      </c>
      <c r="I485" s="4">
        <v>36.619999999999997</v>
      </c>
      <c r="J485" s="5">
        <v>2.61</v>
      </c>
      <c r="K485" s="5">
        <v>0.5</v>
      </c>
      <c r="L485" s="1" t="s">
        <v>5</v>
      </c>
      <c r="M485" s="1" t="s">
        <v>38</v>
      </c>
      <c r="N485" s="1" t="s">
        <v>15</v>
      </c>
      <c r="O485" s="1" t="s">
        <v>6</v>
      </c>
      <c r="P485" s="1" t="s">
        <v>7</v>
      </c>
      <c r="Q485" s="6">
        <f>C485+0</f>
        <v>40798</v>
      </c>
    </row>
    <row r="486" spans="1:17" ht="15.75" x14ac:dyDescent="0.3">
      <c r="A486" s="1">
        <v>313</v>
      </c>
      <c r="B486" s="2">
        <v>2181</v>
      </c>
      <c r="C486" s="3">
        <f>DATE(2012,12,31)-476</f>
        <v>40798</v>
      </c>
      <c r="D486" s="1" t="s">
        <v>12</v>
      </c>
      <c r="E486" s="2">
        <v>3</v>
      </c>
      <c r="F486" s="2">
        <v>15.87</v>
      </c>
      <c r="G486" s="2">
        <v>0.01</v>
      </c>
      <c r="H486" s="2">
        <v>0.39</v>
      </c>
      <c r="I486" s="4">
        <v>2.5299999999999998</v>
      </c>
      <c r="J486" s="5">
        <v>3.49</v>
      </c>
      <c r="K486" s="5">
        <v>0.76</v>
      </c>
      <c r="L486" s="1" t="s">
        <v>9</v>
      </c>
      <c r="M486" s="1" t="s">
        <v>38</v>
      </c>
      <c r="N486" s="1" t="s">
        <v>15</v>
      </c>
      <c r="O486" s="1" t="s">
        <v>6</v>
      </c>
      <c r="P486" s="1" t="s">
        <v>14</v>
      </c>
      <c r="Q486" s="6">
        <f>C486+2</f>
        <v>40800</v>
      </c>
    </row>
    <row r="487" spans="1:17" ht="15.75" x14ac:dyDescent="0.3">
      <c r="A487" s="1">
        <v>378</v>
      </c>
      <c r="B487" s="2">
        <v>2628</v>
      </c>
      <c r="C487" s="3">
        <f>DATE(2012,12,31)-802</f>
        <v>40472</v>
      </c>
      <c r="D487" s="1" t="s">
        <v>16</v>
      </c>
      <c r="E487" s="2">
        <v>14</v>
      </c>
      <c r="F487" s="2">
        <v>34.590000000000003</v>
      </c>
      <c r="G487" s="2">
        <v>0.04</v>
      </c>
      <c r="H487" s="2">
        <v>0.81</v>
      </c>
      <c r="I487" s="4">
        <v>-60.13</v>
      </c>
      <c r="J487" s="5">
        <v>2.1800000000000002</v>
      </c>
      <c r="K487" s="5">
        <v>5</v>
      </c>
      <c r="L487" s="1" t="s">
        <v>5</v>
      </c>
      <c r="M487" s="1" t="s">
        <v>38</v>
      </c>
      <c r="N487" s="1" t="s">
        <v>21</v>
      </c>
      <c r="O487" s="1" t="s">
        <v>6</v>
      </c>
      <c r="P487" s="1" t="s">
        <v>14</v>
      </c>
      <c r="Q487" s="6">
        <f>C487+5</f>
        <v>40477</v>
      </c>
    </row>
    <row r="488" spans="1:17" ht="15.75" x14ac:dyDescent="0.3">
      <c r="A488" s="1">
        <v>379</v>
      </c>
      <c r="B488" s="2">
        <v>2628</v>
      </c>
      <c r="C488" s="3">
        <f>DATE(2012,12,31)-802</f>
        <v>40472</v>
      </c>
      <c r="D488" s="1" t="s">
        <v>16</v>
      </c>
      <c r="E488" s="2">
        <v>29</v>
      </c>
      <c r="F488" s="2">
        <v>5029.2160000000003</v>
      </c>
      <c r="G488" s="2">
        <v>0.02</v>
      </c>
      <c r="H488" s="2">
        <v>0.77</v>
      </c>
      <c r="I488" s="4">
        <v>-752.83199999999999</v>
      </c>
      <c r="J488" s="5">
        <v>218.75</v>
      </c>
      <c r="K488" s="5">
        <v>69.64</v>
      </c>
      <c r="L488" s="1" t="s">
        <v>1</v>
      </c>
      <c r="M488" s="1" t="s">
        <v>38</v>
      </c>
      <c r="N488" s="1" t="s">
        <v>21</v>
      </c>
      <c r="O488" s="1" t="s">
        <v>3</v>
      </c>
      <c r="P488" s="1" t="s">
        <v>19</v>
      </c>
      <c r="Q488" s="6">
        <f>C488+9</f>
        <v>40481</v>
      </c>
    </row>
    <row r="489" spans="1:17" ht="15.75" x14ac:dyDescent="0.3">
      <c r="A489" s="1">
        <v>392</v>
      </c>
      <c r="B489" s="2">
        <v>2691</v>
      </c>
      <c r="C489" s="3">
        <f>DATE(2012,12,31)-246</f>
        <v>41028</v>
      </c>
      <c r="D489" s="1" t="s">
        <v>16</v>
      </c>
      <c r="E489" s="2">
        <v>14</v>
      </c>
      <c r="F489" s="2">
        <v>3363.14</v>
      </c>
      <c r="G489" s="2">
        <v>0.1</v>
      </c>
      <c r="H489" s="2">
        <v>0.59</v>
      </c>
      <c r="I489" s="4">
        <v>98.75</v>
      </c>
      <c r="J489" s="5">
        <v>260.98</v>
      </c>
      <c r="K489" s="5">
        <v>41.91</v>
      </c>
      <c r="L489" s="1" t="s">
        <v>1</v>
      </c>
      <c r="M489" s="1" t="s">
        <v>38</v>
      </c>
      <c r="N489" s="1" t="s">
        <v>2</v>
      </c>
      <c r="O489" s="1" t="s">
        <v>3</v>
      </c>
      <c r="P489" s="1" t="s">
        <v>19</v>
      </c>
      <c r="Q489" s="6">
        <f>C489+9</f>
        <v>41037</v>
      </c>
    </row>
    <row r="490" spans="1:17" ht="15.75" x14ac:dyDescent="0.3">
      <c r="A490" s="1">
        <v>434</v>
      </c>
      <c r="B490" s="2">
        <v>2912</v>
      </c>
      <c r="C490" s="3">
        <f>DATE(2012,12,31)-295</f>
        <v>40979</v>
      </c>
      <c r="D490" s="1" t="s">
        <v>16</v>
      </c>
      <c r="E490" s="2">
        <v>7</v>
      </c>
      <c r="F490" s="2">
        <v>16587.13</v>
      </c>
      <c r="G490" s="2">
        <v>0.08</v>
      </c>
      <c r="H490" s="2">
        <v>0.56999999999999995</v>
      </c>
      <c r="I490" s="4">
        <v>-3476.8593000000001</v>
      </c>
      <c r="J490" s="5">
        <v>2550.14</v>
      </c>
      <c r="K490" s="5">
        <v>29.7</v>
      </c>
      <c r="L490" s="1" t="s">
        <v>1</v>
      </c>
      <c r="M490" s="1" t="s">
        <v>38</v>
      </c>
      <c r="N490" s="1" t="s">
        <v>2</v>
      </c>
      <c r="O490" s="1" t="s">
        <v>11</v>
      </c>
      <c r="P490" s="1" t="s">
        <v>4</v>
      </c>
      <c r="Q490" s="6">
        <f>C490+2</f>
        <v>40981</v>
      </c>
    </row>
    <row r="491" spans="1:17" ht="15.75" x14ac:dyDescent="0.3">
      <c r="A491" s="1">
        <v>435</v>
      </c>
      <c r="B491" s="2">
        <v>2912</v>
      </c>
      <c r="C491" s="3">
        <f>DATE(2012,12,31)-295</f>
        <v>40979</v>
      </c>
      <c r="D491" s="1" t="s">
        <v>16</v>
      </c>
      <c r="E491" s="2">
        <v>9</v>
      </c>
      <c r="F491" s="2">
        <v>507.98</v>
      </c>
      <c r="G491" s="2">
        <v>0.05</v>
      </c>
      <c r="H491" s="2">
        <v>0.36</v>
      </c>
      <c r="I491" s="4">
        <v>170.9</v>
      </c>
      <c r="J491" s="5">
        <v>55.98</v>
      </c>
      <c r="K491" s="5">
        <v>4.8600000000000003</v>
      </c>
      <c r="L491" s="1" t="s">
        <v>9</v>
      </c>
      <c r="M491" s="1" t="s">
        <v>38</v>
      </c>
      <c r="N491" s="1" t="s">
        <v>2</v>
      </c>
      <c r="O491" s="1" t="s">
        <v>6</v>
      </c>
      <c r="P491" s="1" t="s">
        <v>7</v>
      </c>
      <c r="Q491" s="6">
        <f>C491+7</f>
        <v>40986</v>
      </c>
    </row>
    <row r="492" spans="1:17" ht="15.75" x14ac:dyDescent="0.3">
      <c r="A492" s="1">
        <v>472</v>
      </c>
      <c r="B492" s="2">
        <v>3235</v>
      </c>
      <c r="C492" s="3">
        <f>DATE(2012,12,31)-413</f>
        <v>40861</v>
      </c>
      <c r="D492" s="1" t="s">
        <v>16</v>
      </c>
      <c r="E492" s="2">
        <v>31</v>
      </c>
      <c r="F492" s="2">
        <v>142.97</v>
      </c>
      <c r="G492" s="2">
        <v>0.1</v>
      </c>
      <c r="H492" s="2">
        <v>0.85</v>
      </c>
      <c r="I492" s="4">
        <v>-12.26</v>
      </c>
      <c r="J492" s="5">
        <v>4.71</v>
      </c>
      <c r="K492" s="5">
        <v>0.7</v>
      </c>
      <c r="L492" s="1" t="s">
        <v>9</v>
      </c>
      <c r="M492" s="1" t="s">
        <v>38</v>
      </c>
      <c r="N492" s="1" t="s">
        <v>2</v>
      </c>
      <c r="O492" s="1" t="s">
        <v>6</v>
      </c>
      <c r="P492" s="1" t="s">
        <v>14</v>
      </c>
      <c r="Q492" s="6">
        <f>C492+2</f>
        <v>40863</v>
      </c>
    </row>
    <row r="493" spans="1:17" ht="15.75" x14ac:dyDescent="0.3">
      <c r="A493" s="1">
        <v>473</v>
      </c>
      <c r="B493" s="2">
        <v>3266</v>
      </c>
      <c r="C493" s="3">
        <f>DATE(2012,12,31)-656</f>
        <v>40618</v>
      </c>
      <c r="D493" s="1" t="s">
        <v>16</v>
      </c>
      <c r="E493" s="2">
        <v>4</v>
      </c>
      <c r="F493" s="2">
        <v>17.12</v>
      </c>
      <c r="G493" s="2">
        <v>0.03</v>
      </c>
      <c r="H493" s="2">
        <v>0.38</v>
      </c>
      <c r="I493" s="4">
        <v>-2.5530000000000004</v>
      </c>
      <c r="J493" s="5">
        <v>3.8</v>
      </c>
      <c r="K493" s="5">
        <v>1.49</v>
      </c>
      <c r="L493" s="1" t="s">
        <v>5</v>
      </c>
      <c r="M493" s="1" t="s">
        <v>38</v>
      </c>
      <c r="N493" s="1" t="s">
        <v>2</v>
      </c>
      <c r="O493" s="1" t="s">
        <v>6</v>
      </c>
      <c r="P493" s="1" t="s">
        <v>7</v>
      </c>
      <c r="Q493" s="6">
        <f>C493+4</f>
        <v>40622</v>
      </c>
    </row>
    <row r="494" spans="1:17" ht="15.75" x14ac:dyDescent="0.3">
      <c r="A494" s="1">
        <v>487</v>
      </c>
      <c r="B494" s="2">
        <v>3363</v>
      </c>
      <c r="C494" s="3">
        <f>DATE(2012,12,31)-466</f>
        <v>40808</v>
      </c>
      <c r="D494" s="1" t="s">
        <v>17</v>
      </c>
      <c r="E494" s="2">
        <v>21</v>
      </c>
      <c r="F494" s="2">
        <v>8185.89</v>
      </c>
      <c r="G494" s="2">
        <v>0.09</v>
      </c>
      <c r="H494" s="2">
        <v>0.56999999999999995</v>
      </c>
      <c r="I494" s="4">
        <v>2137.2800000000002</v>
      </c>
      <c r="J494" s="5">
        <v>415.88</v>
      </c>
      <c r="K494" s="5">
        <v>11.37</v>
      </c>
      <c r="L494" s="1" t="s">
        <v>5</v>
      </c>
      <c r="M494" s="1" t="s">
        <v>38</v>
      </c>
      <c r="N494" s="1" t="s">
        <v>15</v>
      </c>
      <c r="O494" s="1" t="s">
        <v>6</v>
      </c>
      <c r="P494" s="1" t="s">
        <v>7</v>
      </c>
      <c r="Q494" s="6">
        <f>C494+0</f>
        <v>40808</v>
      </c>
    </row>
    <row r="495" spans="1:17" ht="15.75" x14ac:dyDescent="0.3">
      <c r="A495" s="1">
        <v>521</v>
      </c>
      <c r="B495" s="2">
        <v>3585</v>
      </c>
      <c r="C495" s="3">
        <f>DATE(2012,12,31)-1135</f>
        <v>40139</v>
      </c>
      <c r="D495" s="1" t="s">
        <v>17</v>
      </c>
      <c r="E495" s="2">
        <v>27</v>
      </c>
      <c r="F495" s="2">
        <v>259.72000000000003</v>
      </c>
      <c r="G495" s="2">
        <v>7.0000000000000007E-2</v>
      </c>
      <c r="H495" s="2">
        <v>0.39</v>
      </c>
      <c r="I495" s="4">
        <v>78.05</v>
      </c>
      <c r="J495" s="5">
        <v>10.06</v>
      </c>
      <c r="K495" s="5">
        <v>2.06</v>
      </c>
      <c r="L495" s="1" t="s">
        <v>5</v>
      </c>
      <c r="M495" s="1" t="s">
        <v>38</v>
      </c>
      <c r="N495" s="1" t="s">
        <v>2</v>
      </c>
      <c r="O495" s="1" t="s">
        <v>6</v>
      </c>
      <c r="P495" s="1" t="s">
        <v>14</v>
      </c>
      <c r="Q495" s="6">
        <f>C495+0</f>
        <v>40139</v>
      </c>
    </row>
    <row r="496" spans="1:17" ht="15.75" x14ac:dyDescent="0.3">
      <c r="A496" s="1">
        <v>522</v>
      </c>
      <c r="B496" s="2">
        <v>3585</v>
      </c>
      <c r="C496" s="3">
        <f>DATE(2012,12,31)-1135</f>
        <v>40139</v>
      </c>
      <c r="D496" s="1" t="s">
        <v>17</v>
      </c>
      <c r="E496" s="2">
        <v>34</v>
      </c>
      <c r="F496" s="2">
        <v>54.69</v>
      </c>
      <c r="G496" s="2">
        <v>7.0000000000000007E-2</v>
      </c>
      <c r="H496" s="2">
        <v>0.59</v>
      </c>
      <c r="I496" s="4">
        <v>-35.75</v>
      </c>
      <c r="J496" s="5">
        <v>1.68</v>
      </c>
      <c r="K496" s="5">
        <v>1.57</v>
      </c>
      <c r="L496" s="1" t="s">
        <v>5</v>
      </c>
      <c r="M496" s="1" t="s">
        <v>38</v>
      </c>
      <c r="N496" s="1" t="s">
        <v>2</v>
      </c>
      <c r="O496" s="1" t="s">
        <v>6</v>
      </c>
      <c r="P496" s="1" t="s">
        <v>14</v>
      </c>
      <c r="Q496" s="6">
        <f>C496+1</f>
        <v>40140</v>
      </c>
    </row>
    <row r="497" spans="1:17" ht="15.75" x14ac:dyDescent="0.3">
      <c r="A497" s="1">
        <v>550</v>
      </c>
      <c r="B497" s="2">
        <v>3745</v>
      </c>
      <c r="C497" s="3">
        <f>DATE(2012,12,31)-825</f>
        <v>40449</v>
      </c>
      <c r="D497" s="1" t="s">
        <v>16</v>
      </c>
      <c r="E497" s="2">
        <v>38</v>
      </c>
      <c r="F497" s="2">
        <v>1143.3499999999999</v>
      </c>
      <c r="G497" s="2">
        <v>0.04</v>
      </c>
      <c r="H497" s="2">
        <v>0.42</v>
      </c>
      <c r="I497" s="4">
        <v>411.1</v>
      </c>
      <c r="J497" s="5">
        <v>29.18</v>
      </c>
      <c r="K497" s="5">
        <v>8.5500000000000007</v>
      </c>
      <c r="L497" s="1" t="s">
        <v>9</v>
      </c>
      <c r="M497" s="1" t="s">
        <v>38</v>
      </c>
      <c r="N497" s="1" t="s">
        <v>15</v>
      </c>
      <c r="O497" s="1" t="s">
        <v>3</v>
      </c>
      <c r="P497" s="1" t="s">
        <v>7</v>
      </c>
      <c r="Q497" s="6">
        <f>C497+2</f>
        <v>40451</v>
      </c>
    </row>
    <row r="498" spans="1:17" ht="15.75" x14ac:dyDescent="0.3">
      <c r="A498" s="1">
        <v>605</v>
      </c>
      <c r="B498" s="2">
        <v>4128</v>
      </c>
      <c r="C498" s="3">
        <f>DATE(2012,12,31)-452</f>
        <v>40822</v>
      </c>
      <c r="D498" s="1" t="s">
        <v>8</v>
      </c>
      <c r="E498" s="2">
        <v>38</v>
      </c>
      <c r="F498" s="2">
        <v>391.42</v>
      </c>
      <c r="G498" s="2">
        <v>0.04</v>
      </c>
      <c r="H498" s="2">
        <v>0.4</v>
      </c>
      <c r="I498" s="4">
        <v>25.03</v>
      </c>
      <c r="J498" s="5">
        <v>9.99</v>
      </c>
      <c r="K498" s="5">
        <v>5.12</v>
      </c>
      <c r="L498" s="1" t="s">
        <v>5</v>
      </c>
      <c r="M498" s="1" t="s">
        <v>38</v>
      </c>
      <c r="N498" s="1" t="s">
        <v>21</v>
      </c>
      <c r="O498" s="1" t="s">
        <v>6</v>
      </c>
      <c r="P498" s="1" t="s">
        <v>7</v>
      </c>
      <c r="Q498" s="6">
        <f>C498+2</f>
        <v>40824</v>
      </c>
    </row>
    <row r="499" spans="1:17" ht="15.75" x14ac:dyDescent="0.3">
      <c r="A499" s="1">
        <v>625</v>
      </c>
      <c r="B499" s="2">
        <v>4354</v>
      </c>
      <c r="C499" s="3">
        <f>DATE(2012,12,31)-1189</f>
        <v>40085</v>
      </c>
      <c r="D499" s="1" t="s">
        <v>8</v>
      </c>
      <c r="E499" s="2">
        <v>6</v>
      </c>
      <c r="F499" s="2">
        <v>49.04</v>
      </c>
      <c r="G499" s="2">
        <v>0.02</v>
      </c>
      <c r="H499" s="2">
        <v>0.56000000000000005</v>
      </c>
      <c r="I499" s="4">
        <v>7.74</v>
      </c>
      <c r="J499" s="5">
        <v>7.38</v>
      </c>
      <c r="K499" s="5">
        <v>5.21</v>
      </c>
      <c r="L499" s="1" t="s">
        <v>5</v>
      </c>
      <c r="M499" s="1" t="s">
        <v>38</v>
      </c>
      <c r="N499" s="1" t="s">
        <v>2</v>
      </c>
      <c r="O499" s="1" t="s">
        <v>3</v>
      </c>
      <c r="P499" s="1" t="s">
        <v>7</v>
      </c>
      <c r="Q499" s="6">
        <f>C499+1</f>
        <v>40086</v>
      </c>
    </row>
    <row r="500" spans="1:17" ht="15.75" x14ac:dyDescent="0.3">
      <c r="A500" s="1">
        <v>645</v>
      </c>
      <c r="B500" s="2">
        <v>4550</v>
      </c>
      <c r="C500" s="3">
        <f>DATE(2012,12,31)-1099</f>
        <v>40175</v>
      </c>
      <c r="D500" s="1" t="s">
        <v>17</v>
      </c>
      <c r="E500" s="2">
        <v>32</v>
      </c>
      <c r="F500" s="2">
        <v>3730.54</v>
      </c>
      <c r="G500" s="2">
        <v>7.0000000000000007E-2</v>
      </c>
      <c r="H500" s="2">
        <v>0.35</v>
      </c>
      <c r="I500" s="4">
        <v>1369.09</v>
      </c>
      <c r="J500" s="5">
        <v>119.99</v>
      </c>
      <c r="K500" s="5">
        <v>16.8</v>
      </c>
      <c r="L500" s="1" t="s">
        <v>1</v>
      </c>
      <c r="M500" s="1" t="s">
        <v>38</v>
      </c>
      <c r="N500" s="1" t="s">
        <v>15</v>
      </c>
      <c r="O500" s="1" t="s">
        <v>11</v>
      </c>
      <c r="P500" s="1" t="s">
        <v>19</v>
      </c>
      <c r="Q500" s="6">
        <f>C500+2</f>
        <v>40177</v>
      </c>
    </row>
    <row r="501" spans="1:17" ht="15.75" x14ac:dyDescent="0.3">
      <c r="A501" s="1">
        <v>680</v>
      </c>
      <c r="B501" s="2">
        <v>4743</v>
      </c>
      <c r="C501" s="3">
        <f>DATE(2012,12,31)-1007</f>
        <v>40267</v>
      </c>
      <c r="D501" s="1" t="s">
        <v>16</v>
      </c>
      <c r="E501" s="2">
        <v>29</v>
      </c>
      <c r="F501" s="2">
        <v>352.55</v>
      </c>
      <c r="G501" s="2">
        <v>0.09</v>
      </c>
      <c r="H501" s="2">
        <v>0.35</v>
      </c>
      <c r="I501" s="4">
        <v>128.98750000000001</v>
      </c>
      <c r="J501" s="5">
        <v>12.97</v>
      </c>
      <c r="K501" s="5">
        <v>1.49</v>
      </c>
      <c r="L501" s="1" t="s">
        <v>5</v>
      </c>
      <c r="M501" s="1" t="s">
        <v>38</v>
      </c>
      <c r="N501" s="1" t="s">
        <v>15</v>
      </c>
      <c r="O501" s="1" t="s">
        <v>6</v>
      </c>
      <c r="P501" s="1" t="s">
        <v>7</v>
      </c>
      <c r="Q501" s="6">
        <f>C501+4</f>
        <v>40271</v>
      </c>
    </row>
    <row r="502" spans="1:17" ht="15.75" x14ac:dyDescent="0.3">
      <c r="A502" s="1">
        <v>681</v>
      </c>
      <c r="B502" s="2">
        <v>4743</v>
      </c>
      <c r="C502" s="3">
        <f>DATE(2012,12,31)-1007</f>
        <v>40267</v>
      </c>
      <c r="D502" s="1" t="s">
        <v>16</v>
      </c>
      <c r="E502" s="2">
        <v>32</v>
      </c>
      <c r="F502" s="2">
        <v>719.64</v>
      </c>
      <c r="G502" s="2">
        <v>0.01</v>
      </c>
      <c r="H502" s="2">
        <v>0.83</v>
      </c>
      <c r="I502" s="4">
        <v>-245.62</v>
      </c>
      <c r="J502" s="5">
        <v>20.89</v>
      </c>
      <c r="K502" s="5">
        <v>11.52</v>
      </c>
      <c r="L502" s="1" t="s">
        <v>5</v>
      </c>
      <c r="M502" s="1" t="s">
        <v>38</v>
      </c>
      <c r="N502" s="1" t="s">
        <v>15</v>
      </c>
      <c r="O502" s="1" t="s">
        <v>6</v>
      </c>
      <c r="P502" s="1" t="s">
        <v>7</v>
      </c>
      <c r="Q502" s="6">
        <f>C502+7</f>
        <v>40274</v>
      </c>
    </row>
    <row r="503" spans="1:17" ht="15.75" x14ac:dyDescent="0.3">
      <c r="A503" s="1">
        <v>729</v>
      </c>
      <c r="B503" s="2">
        <v>5251</v>
      </c>
      <c r="C503" s="3">
        <f>DATE(2012,12,31)-630</f>
        <v>40644</v>
      </c>
      <c r="D503" s="1" t="s">
        <v>12</v>
      </c>
      <c r="E503" s="2">
        <v>38</v>
      </c>
      <c r="F503" s="2">
        <v>3821.0390000000002</v>
      </c>
      <c r="G503" s="2">
        <v>0.05</v>
      </c>
      <c r="H503" s="2">
        <v>0.56999999999999995</v>
      </c>
      <c r="I503" s="4">
        <v>1057.8870000000002</v>
      </c>
      <c r="J503" s="5">
        <v>115.99</v>
      </c>
      <c r="K503" s="5">
        <v>5.99</v>
      </c>
      <c r="L503" s="1" t="s">
        <v>9</v>
      </c>
      <c r="M503" s="1" t="s">
        <v>38</v>
      </c>
      <c r="N503" s="1" t="s">
        <v>2</v>
      </c>
      <c r="O503" s="1" t="s">
        <v>11</v>
      </c>
      <c r="P503" s="1" t="s">
        <v>7</v>
      </c>
      <c r="Q503" s="6">
        <f>C503+2</f>
        <v>40646</v>
      </c>
    </row>
    <row r="504" spans="1:17" ht="15.75" x14ac:dyDescent="0.3">
      <c r="A504" s="1">
        <v>733</v>
      </c>
      <c r="B504" s="2">
        <v>5283</v>
      </c>
      <c r="C504" s="3">
        <f>DATE(2012,12,31)-1307</f>
        <v>39967</v>
      </c>
      <c r="D504" s="1" t="s">
        <v>12</v>
      </c>
      <c r="E504" s="2">
        <v>23</v>
      </c>
      <c r="F504" s="2">
        <v>2508.6730000000002</v>
      </c>
      <c r="G504" s="2">
        <v>0.03</v>
      </c>
      <c r="H504" s="2">
        <v>0.57999999999999996</v>
      </c>
      <c r="I504" s="4">
        <v>417.46499999999997</v>
      </c>
      <c r="J504" s="5">
        <v>125.99</v>
      </c>
      <c r="K504" s="5">
        <v>7.69</v>
      </c>
      <c r="L504" s="1" t="s">
        <v>5</v>
      </c>
      <c r="M504" s="1" t="s">
        <v>38</v>
      </c>
      <c r="N504" s="1" t="s">
        <v>15</v>
      </c>
      <c r="O504" s="1" t="s">
        <v>11</v>
      </c>
      <c r="P504" s="1" t="s">
        <v>7</v>
      </c>
      <c r="Q504" s="6">
        <f>C504+2</f>
        <v>39969</v>
      </c>
    </row>
    <row r="505" spans="1:17" ht="15.75" x14ac:dyDescent="0.3">
      <c r="A505" s="1">
        <v>750</v>
      </c>
      <c r="B505" s="2">
        <v>5381</v>
      </c>
      <c r="C505" s="3">
        <f>DATE(2012,12,31)-1068</f>
        <v>40206</v>
      </c>
      <c r="D505" s="1" t="s">
        <v>16</v>
      </c>
      <c r="E505" s="2">
        <v>47</v>
      </c>
      <c r="F505" s="2">
        <v>4888.1400000000003</v>
      </c>
      <c r="G505" s="2">
        <v>7.0000000000000007E-2</v>
      </c>
      <c r="H505" s="2">
        <v>0.65</v>
      </c>
      <c r="I505" s="4">
        <v>1545.09</v>
      </c>
      <c r="J505" s="5">
        <v>107.53</v>
      </c>
      <c r="K505" s="5">
        <v>5.81</v>
      </c>
      <c r="L505" s="1" t="s">
        <v>5</v>
      </c>
      <c r="M505" s="1" t="s">
        <v>38</v>
      </c>
      <c r="N505" s="1" t="s">
        <v>15</v>
      </c>
      <c r="O505" s="1" t="s">
        <v>3</v>
      </c>
      <c r="P505" s="1" t="s">
        <v>18</v>
      </c>
      <c r="Q505" s="6">
        <f>C505+7</f>
        <v>40213</v>
      </c>
    </row>
    <row r="506" spans="1:17" ht="15.75" x14ac:dyDescent="0.3">
      <c r="A506" s="1">
        <v>751</v>
      </c>
      <c r="B506" s="2">
        <v>5381</v>
      </c>
      <c r="C506" s="3">
        <f>DATE(2012,12,31)-1068</f>
        <v>40206</v>
      </c>
      <c r="D506" s="1" t="s">
        <v>16</v>
      </c>
      <c r="E506" s="2">
        <v>27</v>
      </c>
      <c r="F506" s="2">
        <v>63.87</v>
      </c>
      <c r="G506" s="2">
        <v>0.09</v>
      </c>
      <c r="H506" s="2">
        <v>0.38</v>
      </c>
      <c r="I506" s="4">
        <v>-149.93</v>
      </c>
      <c r="J506" s="5">
        <v>2.1800000000000002</v>
      </c>
      <c r="K506" s="5">
        <v>7.09</v>
      </c>
      <c r="L506" s="1" t="s">
        <v>5</v>
      </c>
      <c r="M506" s="1" t="s">
        <v>38</v>
      </c>
      <c r="N506" s="1" t="s">
        <v>15</v>
      </c>
      <c r="O506" s="1" t="s">
        <v>6</v>
      </c>
      <c r="P506" s="1" t="s">
        <v>14</v>
      </c>
      <c r="Q506" s="6">
        <f>C506+7</f>
        <v>40213</v>
      </c>
    </row>
    <row r="507" spans="1:17" ht="15.75" x14ac:dyDescent="0.3">
      <c r="A507" s="1">
        <v>759</v>
      </c>
      <c r="B507" s="2">
        <v>5444</v>
      </c>
      <c r="C507" s="3">
        <f>DATE(2012,12,31)-655</f>
        <v>40619</v>
      </c>
      <c r="D507" s="1" t="s">
        <v>0</v>
      </c>
      <c r="E507" s="2">
        <v>2</v>
      </c>
      <c r="F507" s="2">
        <v>885.94</v>
      </c>
      <c r="G507" s="2">
        <v>0.08</v>
      </c>
      <c r="H507" s="2">
        <v>0.52</v>
      </c>
      <c r="I507" s="4">
        <v>-2024.079</v>
      </c>
      <c r="J507" s="5">
        <v>449.99</v>
      </c>
      <c r="K507" s="5">
        <v>24.49</v>
      </c>
      <c r="L507" s="1" t="s">
        <v>5</v>
      </c>
      <c r="M507" s="1" t="s">
        <v>38</v>
      </c>
      <c r="N507" s="1" t="s">
        <v>13</v>
      </c>
      <c r="O507" s="1" t="s">
        <v>11</v>
      </c>
      <c r="P507" s="1" t="s">
        <v>10</v>
      </c>
      <c r="Q507" s="6">
        <f>C507+2</f>
        <v>40621</v>
      </c>
    </row>
    <row r="508" spans="1:17" ht="15.75" x14ac:dyDescent="0.3">
      <c r="A508" s="1">
        <v>785</v>
      </c>
      <c r="B508" s="2">
        <v>5601</v>
      </c>
      <c r="C508" s="3">
        <f>DATE(2012,12,31)-361</f>
        <v>40913</v>
      </c>
      <c r="D508" s="1" t="s">
        <v>17</v>
      </c>
      <c r="E508" s="2">
        <v>10</v>
      </c>
      <c r="F508" s="2">
        <v>120.53</v>
      </c>
      <c r="G508" s="2">
        <v>0.1</v>
      </c>
      <c r="H508" s="2">
        <v>0.55000000000000004</v>
      </c>
      <c r="I508" s="4">
        <v>49.26</v>
      </c>
      <c r="J508" s="5">
        <v>12.22</v>
      </c>
      <c r="K508" s="5">
        <v>2.85</v>
      </c>
      <c r="L508" s="1" t="s">
        <v>5</v>
      </c>
      <c r="M508" s="1" t="s">
        <v>38</v>
      </c>
      <c r="N508" s="1" t="s">
        <v>21</v>
      </c>
      <c r="O508" s="1" t="s">
        <v>3</v>
      </c>
      <c r="P508" s="1" t="s">
        <v>20</v>
      </c>
      <c r="Q508" s="6">
        <f>C508+1</f>
        <v>40914</v>
      </c>
    </row>
    <row r="509" spans="1:17" ht="15.75" x14ac:dyDescent="0.3">
      <c r="A509" s="1">
        <v>802</v>
      </c>
      <c r="B509" s="2">
        <v>5760</v>
      </c>
      <c r="C509" s="3">
        <f>DATE(2012,12,31)-1317</f>
        <v>39957</v>
      </c>
      <c r="D509" s="1" t="s">
        <v>8</v>
      </c>
      <c r="E509" s="2">
        <v>34</v>
      </c>
      <c r="F509" s="2">
        <v>5261.73</v>
      </c>
      <c r="G509" s="2">
        <v>0.05</v>
      </c>
      <c r="H509" s="2">
        <v>0.55000000000000004</v>
      </c>
      <c r="I509" s="4">
        <v>650.29999999999995</v>
      </c>
      <c r="J509" s="5">
        <v>150.97999999999999</v>
      </c>
      <c r="K509" s="5">
        <v>43.71</v>
      </c>
      <c r="L509" s="1" t="s">
        <v>1</v>
      </c>
      <c r="M509" s="1" t="s">
        <v>38</v>
      </c>
      <c r="N509" s="1" t="s">
        <v>15</v>
      </c>
      <c r="O509" s="1" t="s">
        <v>3</v>
      </c>
      <c r="P509" s="1" t="s">
        <v>4</v>
      </c>
      <c r="Q509" s="6">
        <f>C509+1</f>
        <v>39958</v>
      </c>
    </row>
    <row r="510" spans="1:17" ht="15.75" x14ac:dyDescent="0.3">
      <c r="A510" s="1">
        <v>896</v>
      </c>
      <c r="B510" s="2">
        <v>6438</v>
      </c>
      <c r="C510" s="3">
        <f>DATE(2012,12,31)-960</f>
        <v>40314</v>
      </c>
      <c r="D510" s="1" t="s">
        <v>8</v>
      </c>
      <c r="E510" s="2">
        <v>7</v>
      </c>
      <c r="F510" s="2">
        <v>75.72</v>
      </c>
      <c r="G510" s="2">
        <v>0.02</v>
      </c>
      <c r="H510" s="2">
        <v>0.48</v>
      </c>
      <c r="I510" s="4">
        <v>20.29</v>
      </c>
      <c r="J510" s="5">
        <v>9.77</v>
      </c>
      <c r="K510" s="5">
        <v>6.02</v>
      </c>
      <c r="L510" s="1" t="s">
        <v>5</v>
      </c>
      <c r="M510" s="1" t="s">
        <v>38</v>
      </c>
      <c r="N510" s="1" t="s">
        <v>2</v>
      </c>
      <c r="O510" s="1" t="s">
        <v>3</v>
      </c>
      <c r="P510" s="1" t="s">
        <v>18</v>
      </c>
      <c r="Q510" s="6">
        <f>C510+0</f>
        <v>40314</v>
      </c>
    </row>
    <row r="511" spans="1:17" ht="15.75" x14ac:dyDescent="0.3">
      <c r="A511" s="1">
        <v>897</v>
      </c>
      <c r="B511" s="2">
        <v>6438</v>
      </c>
      <c r="C511" s="3">
        <f>DATE(2012,12,31)-960</f>
        <v>40314</v>
      </c>
      <c r="D511" s="1" t="s">
        <v>8</v>
      </c>
      <c r="E511" s="2">
        <v>38</v>
      </c>
      <c r="F511" s="2">
        <v>225.21</v>
      </c>
      <c r="G511" s="2">
        <v>0.06</v>
      </c>
      <c r="H511" s="2">
        <v>0.36</v>
      </c>
      <c r="I511" s="4">
        <v>-66.16</v>
      </c>
      <c r="J511" s="5">
        <v>5.98</v>
      </c>
      <c r="K511" s="5">
        <v>5.2</v>
      </c>
      <c r="L511" s="1" t="s">
        <v>5</v>
      </c>
      <c r="M511" s="1" t="s">
        <v>38</v>
      </c>
      <c r="N511" s="1" t="s">
        <v>2</v>
      </c>
      <c r="O511" s="1" t="s">
        <v>6</v>
      </c>
      <c r="P511" s="1" t="s">
        <v>7</v>
      </c>
      <c r="Q511" s="6">
        <f>C511+1</f>
        <v>40315</v>
      </c>
    </row>
    <row r="512" spans="1:17" ht="15.75" x14ac:dyDescent="0.3">
      <c r="A512" s="1">
        <v>917</v>
      </c>
      <c r="B512" s="2">
        <v>6592</v>
      </c>
      <c r="C512" s="3">
        <f>DATE(2012,12,31)-1126</f>
        <v>40148</v>
      </c>
      <c r="D512" s="1" t="s">
        <v>16</v>
      </c>
      <c r="E512" s="2">
        <v>29</v>
      </c>
      <c r="F512" s="2">
        <v>194.29</v>
      </c>
      <c r="G512" s="2">
        <v>0.09</v>
      </c>
      <c r="H512" s="2">
        <v>0.57999999999999996</v>
      </c>
      <c r="I512" s="4">
        <v>-177.17</v>
      </c>
      <c r="J512" s="5">
        <v>6.84</v>
      </c>
      <c r="K512" s="5">
        <v>8.3699999999999992</v>
      </c>
      <c r="L512" s="1" t="s">
        <v>5</v>
      </c>
      <c r="M512" s="1" t="s">
        <v>38</v>
      </c>
      <c r="N512" s="1" t="s">
        <v>21</v>
      </c>
      <c r="O512" s="1" t="s">
        <v>6</v>
      </c>
      <c r="P512" s="1" t="s">
        <v>20</v>
      </c>
      <c r="Q512" s="6">
        <f>C512+7</f>
        <v>40155</v>
      </c>
    </row>
    <row r="513" spans="1:17" ht="15.75" x14ac:dyDescent="0.3">
      <c r="A513" s="1">
        <v>918</v>
      </c>
      <c r="B513" s="2">
        <v>6592</v>
      </c>
      <c r="C513" s="3">
        <f>DATE(2012,12,31)-1126</f>
        <v>40148</v>
      </c>
      <c r="D513" s="1" t="s">
        <v>16</v>
      </c>
      <c r="E513" s="2">
        <v>33</v>
      </c>
      <c r="F513" s="2">
        <v>1621.1</v>
      </c>
      <c r="G513" s="2">
        <v>7.0000000000000007E-2</v>
      </c>
      <c r="H513" s="2">
        <v>0.83</v>
      </c>
      <c r="I513" s="4">
        <v>-971.36</v>
      </c>
      <c r="J513" s="5">
        <v>48.91</v>
      </c>
      <c r="K513" s="5">
        <v>35</v>
      </c>
      <c r="L513" s="1" t="s">
        <v>9</v>
      </c>
      <c r="M513" s="1" t="s">
        <v>38</v>
      </c>
      <c r="N513" s="1" t="s">
        <v>21</v>
      </c>
      <c r="O513" s="1" t="s">
        <v>6</v>
      </c>
      <c r="P513" s="1" t="s">
        <v>10</v>
      </c>
      <c r="Q513" s="6">
        <f>C513+2</f>
        <v>40150</v>
      </c>
    </row>
    <row r="514" spans="1:17" ht="15.75" x14ac:dyDescent="0.3">
      <c r="A514" s="1">
        <v>933</v>
      </c>
      <c r="B514" s="2">
        <v>6755</v>
      </c>
      <c r="C514" s="3">
        <f>DATE(2012,12,31)-610</f>
        <v>40664</v>
      </c>
      <c r="D514" s="1" t="s">
        <v>17</v>
      </c>
      <c r="E514" s="2">
        <v>20</v>
      </c>
      <c r="F514" s="2">
        <v>156.47</v>
      </c>
      <c r="G514" s="2">
        <v>0.01</v>
      </c>
      <c r="H514" s="2">
        <v>0.39</v>
      </c>
      <c r="I514" s="4">
        <v>-39.226500000000001</v>
      </c>
      <c r="J514" s="5">
        <v>7.1</v>
      </c>
      <c r="K514" s="5">
        <v>6.05</v>
      </c>
      <c r="L514" s="1" t="s">
        <v>5</v>
      </c>
      <c r="M514" s="1" t="s">
        <v>38</v>
      </c>
      <c r="N514" s="1" t="s">
        <v>15</v>
      </c>
      <c r="O514" s="1" t="s">
        <v>6</v>
      </c>
      <c r="P514" s="1" t="s">
        <v>7</v>
      </c>
      <c r="Q514" s="6">
        <f>C514+2</f>
        <v>40666</v>
      </c>
    </row>
    <row r="515" spans="1:17" ht="15.75" x14ac:dyDescent="0.3">
      <c r="A515" s="1">
        <v>957</v>
      </c>
      <c r="B515" s="2">
        <v>6918</v>
      </c>
      <c r="C515" s="3">
        <f>DATE(2012,12,31)-549</f>
        <v>40725</v>
      </c>
      <c r="D515" s="1" t="s">
        <v>0</v>
      </c>
      <c r="E515" s="2">
        <v>38</v>
      </c>
      <c r="F515" s="2">
        <v>1559.5</v>
      </c>
      <c r="G515" s="2">
        <v>0.01</v>
      </c>
      <c r="H515" s="2">
        <v>0.54</v>
      </c>
      <c r="I515" s="4">
        <v>515.83000000000004</v>
      </c>
      <c r="J515" s="5">
        <v>39.479999999999997</v>
      </c>
      <c r="K515" s="5">
        <v>1.99</v>
      </c>
      <c r="L515" s="1" t="s">
        <v>5</v>
      </c>
      <c r="M515" s="1" t="s">
        <v>38</v>
      </c>
      <c r="N515" s="1" t="s">
        <v>21</v>
      </c>
      <c r="O515" s="1" t="s">
        <v>11</v>
      </c>
      <c r="P515" s="1" t="s">
        <v>20</v>
      </c>
      <c r="Q515" s="6">
        <f>C515+2</f>
        <v>40727</v>
      </c>
    </row>
    <row r="516" spans="1:17" ht="15.75" x14ac:dyDescent="0.3">
      <c r="A516" s="1">
        <v>1060</v>
      </c>
      <c r="B516" s="2">
        <v>7841</v>
      </c>
      <c r="C516" s="3">
        <f>DATE(2012,12,31)-225</f>
        <v>41049</v>
      </c>
      <c r="D516" s="1" t="s">
        <v>8</v>
      </c>
      <c r="E516" s="2">
        <v>21</v>
      </c>
      <c r="F516" s="2">
        <v>1002.77</v>
      </c>
      <c r="G516" s="2">
        <v>7.0000000000000007E-2</v>
      </c>
      <c r="H516" s="2">
        <v>0.56999999999999995</v>
      </c>
      <c r="I516" s="4">
        <v>295.60000000000002</v>
      </c>
      <c r="J516" s="5">
        <v>49.34</v>
      </c>
      <c r="K516" s="5">
        <v>10.25</v>
      </c>
      <c r="L516" s="1" t="s">
        <v>5</v>
      </c>
      <c r="M516" s="1" t="s">
        <v>38</v>
      </c>
      <c r="N516" s="1" t="s">
        <v>21</v>
      </c>
      <c r="O516" s="1" t="s">
        <v>3</v>
      </c>
      <c r="P516" s="1" t="s">
        <v>10</v>
      </c>
      <c r="Q516" s="6">
        <f>C516+2</f>
        <v>41051</v>
      </c>
    </row>
    <row r="517" spans="1:17" ht="15.75" x14ac:dyDescent="0.3">
      <c r="A517" s="1">
        <v>1061</v>
      </c>
      <c r="B517" s="2">
        <v>7841</v>
      </c>
      <c r="C517" s="3">
        <f>DATE(2012,12,31)-225</f>
        <v>41049</v>
      </c>
      <c r="D517" s="1" t="s">
        <v>8</v>
      </c>
      <c r="E517" s="2">
        <v>17</v>
      </c>
      <c r="F517" s="2">
        <v>178.14</v>
      </c>
      <c r="G517" s="2">
        <v>0.01</v>
      </c>
      <c r="H517" s="2">
        <v>0.46</v>
      </c>
      <c r="I517" s="4">
        <v>56.3</v>
      </c>
      <c r="J517" s="5">
        <v>10.06</v>
      </c>
      <c r="K517" s="5">
        <v>2.06</v>
      </c>
      <c r="L517" s="1" t="s">
        <v>5</v>
      </c>
      <c r="M517" s="1" t="s">
        <v>38</v>
      </c>
      <c r="N517" s="1" t="s">
        <v>21</v>
      </c>
      <c r="O517" s="1" t="s">
        <v>3</v>
      </c>
      <c r="P517" s="1" t="s">
        <v>14</v>
      </c>
      <c r="Q517" s="6">
        <f>C517+2</f>
        <v>41051</v>
      </c>
    </row>
    <row r="518" spans="1:17" ht="15.75" x14ac:dyDescent="0.3">
      <c r="A518" s="1">
        <v>1104</v>
      </c>
      <c r="B518" s="2">
        <v>8103</v>
      </c>
      <c r="C518" s="3">
        <f>DATE(2012,12,31)-1155</f>
        <v>40119</v>
      </c>
      <c r="D518" s="1" t="s">
        <v>16</v>
      </c>
      <c r="E518" s="2">
        <v>16</v>
      </c>
      <c r="F518" s="2">
        <v>457.68</v>
      </c>
      <c r="G518" s="2">
        <v>7.0000000000000007E-2</v>
      </c>
      <c r="H518" s="2">
        <v>0.37</v>
      </c>
      <c r="I518" s="4">
        <v>107.3805</v>
      </c>
      <c r="J518" s="5">
        <v>29.17</v>
      </c>
      <c r="K518" s="5">
        <v>6.27</v>
      </c>
      <c r="L518" s="1" t="s">
        <v>5</v>
      </c>
      <c r="M518" s="1" t="s">
        <v>38</v>
      </c>
      <c r="N518" s="1" t="s">
        <v>2</v>
      </c>
      <c r="O518" s="1" t="s">
        <v>6</v>
      </c>
      <c r="P518" s="1" t="s">
        <v>7</v>
      </c>
      <c r="Q518" s="6">
        <f>C518+4</f>
        <v>40123</v>
      </c>
    </row>
    <row r="519" spans="1:17" ht="15.75" x14ac:dyDescent="0.3">
      <c r="A519" s="1">
        <v>1130</v>
      </c>
      <c r="B519" s="2">
        <v>8258</v>
      </c>
      <c r="C519" s="3">
        <f>DATE(2012,12,31)-1401</f>
        <v>39873</v>
      </c>
      <c r="D519" s="1" t="s">
        <v>17</v>
      </c>
      <c r="E519" s="2">
        <v>37</v>
      </c>
      <c r="F519" s="2">
        <v>434.77</v>
      </c>
      <c r="G519" s="2">
        <v>0.02</v>
      </c>
      <c r="H519" s="2">
        <v>0.36</v>
      </c>
      <c r="I519" s="4">
        <v>-155.21</v>
      </c>
      <c r="J519" s="5">
        <v>11.34</v>
      </c>
      <c r="K519" s="5">
        <v>11.25</v>
      </c>
      <c r="L519" s="1" t="s">
        <v>5</v>
      </c>
      <c r="M519" s="1" t="s">
        <v>38</v>
      </c>
      <c r="N519" s="1" t="s">
        <v>2</v>
      </c>
      <c r="O519" s="1" t="s">
        <v>6</v>
      </c>
      <c r="P519" s="1" t="s">
        <v>7</v>
      </c>
      <c r="Q519" s="6">
        <f>C519+1</f>
        <v>39874</v>
      </c>
    </row>
    <row r="520" spans="1:17" ht="15.75" x14ac:dyDescent="0.3">
      <c r="A520" s="1">
        <v>1162</v>
      </c>
      <c r="B520" s="2">
        <v>8454</v>
      </c>
      <c r="C520" s="3">
        <f>DATE(2012,12,31)-138</f>
        <v>41136</v>
      </c>
      <c r="D520" s="1" t="s">
        <v>12</v>
      </c>
      <c r="E520" s="2">
        <v>38</v>
      </c>
      <c r="F520" s="2">
        <v>218.77</v>
      </c>
      <c r="G520" s="2">
        <v>0.03</v>
      </c>
      <c r="H520" s="2">
        <v>0.37</v>
      </c>
      <c r="I520" s="4">
        <v>-188.1285</v>
      </c>
      <c r="J520" s="5">
        <v>5.4</v>
      </c>
      <c r="K520" s="5">
        <v>7.78</v>
      </c>
      <c r="L520" s="1" t="s">
        <v>5</v>
      </c>
      <c r="M520" s="1" t="s">
        <v>38</v>
      </c>
      <c r="N520" s="1" t="s">
        <v>13</v>
      </c>
      <c r="O520" s="1" t="s">
        <v>6</v>
      </c>
      <c r="P520" s="1" t="s">
        <v>7</v>
      </c>
      <c r="Q520" s="6">
        <f>C520+3</f>
        <v>41139</v>
      </c>
    </row>
    <row r="521" spans="1:17" ht="15.75" x14ac:dyDescent="0.3">
      <c r="A521" s="1">
        <v>1193</v>
      </c>
      <c r="B521" s="2">
        <v>8710</v>
      </c>
      <c r="C521" s="3">
        <f>DATE(2012,12,31)-1457</f>
        <v>39817</v>
      </c>
      <c r="D521" s="1" t="s">
        <v>0</v>
      </c>
      <c r="E521" s="2">
        <v>17</v>
      </c>
      <c r="F521" s="2">
        <v>63.34</v>
      </c>
      <c r="G521" s="2">
        <v>0.03</v>
      </c>
      <c r="H521" s="2">
        <v>0.4</v>
      </c>
      <c r="I521" s="4">
        <v>-76.015000000000001</v>
      </c>
      <c r="J521" s="5">
        <v>3.36</v>
      </c>
      <c r="K521" s="5">
        <v>6.27</v>
      </c>
      <c r="L521" s="1" t="s">
        <v>5</v>
      </c>
      <c r="M521" s="1" t="s">
        <v>38</v>
      </c>
      <c r="N521" s="1" t="s">
        <v>2</v>
      </c>
      <c r="O521" s="1" t="s">
        <v>6</v>
      </c>
      <c r="P521" s="1" t="s">
        <v>7</v>
      </c>
      <c r="Q521" s="6">
        <f>C521+1</f>
        <v>39818</v>
      </c>
    </row>
    <row r="522" spans="1:17" ht="15.75" x14ac:dyDescent="0.3">
      <c r="A522" s="1">
        <v>1194</v>
      </c>
      <c r="B522" s="2">
        <v>8710</v>
      </c>
      <c r="C522" s="3">
        <f>DATE(2012,12,31)-1457</f>
        <v>39817</v>
      </c>
      <c r="D522" s="1" t="s">
        <v>0</v>
      </c>
      <c r="E522" s="2">
        <v>42</v>
      </c>
      <c r="F522" s="2">
        <v>151.35</v>
      </c>
      <c r="G522" s="2">
        <v>7.0000000000000007E-2</v>
      </c>
      <c r="H522" s="2">
        <v>0.35</v>
      </c>
      <c r="I522" s="4">
        <v>8.33</v>
      </c>
      <c r="J522" s="5">
        <v>3.71</v>
      </c>
      <c r="K522" s="5">
        <v>1.93</v>
      </c>
      <c r="L522" s="1" t="s">
        <v>9</v>
      </c>
      <c r="M522" s="1" t="s">
        <v>38</v>
      </c>
      <c r="N522" s="1" t="s">
        <v>2</v>
      </c>
      <c r="O522" s="1" t="s">
        <v>6</v>
      </c>
      <c r="P522" s="1" t="s">
        <v>14</v>
      </c>
      <c r="Q522" s="6">
        <f>C522+2</f>
        <v>39819</v>
      </c>
    </row>
    <row r="523" spans="1:17" ht="15.75" x14ac:dyDescent="0.3">
      <c r="A523" s="1">
        <v>1208</v>
      </c>
      <c r="B523" s="2">
        <v>8835</v>
      </c>
      <c r="C523" s="3">
        <f>DATE(2012,12,31)-1175</f>
        <v>40099</v>
      </c>
      <c r="D523" s="1" t="s">
        <v>0</v>
      </c>
      <c r="E523" s="2">
        <v>12</v>
      </c>
      <c r="F523" s="2">
        <v>153.44</v>
      </c>
      <c r="G523" s="2">
        <v>0.05</v>
      </c>
      <c r="H523" s="2">
        <v>0.43</v>
      </c>
      <c r="I523" s="4">
        <v>-6.15</v>
      </c>
      <c r="J523" s="5">
        <v>12.2</v>
      </c>
      <c r="K523" s="5">
        <v>6.02</v>
      </c>
      <c r="L523" s="1" t="s">
        <v>5</v>
      </c>
      <c r="M523" s="1" t="s">
        <v>38</v>
      </c>
      <c r="N523" s="1" t="s">
        <v>2</v>
      </c>
      <c r="O523" s="1" t="s">
        <v>3</v>
      </c>
      <c r="P523" s="1" t="s">
        <v>20</v>
      </c>
      <c r="Q523" s="6">
        <f>C523+1</f>
        <v>40100</v>
      </c>
    </row>
    <row r="524" spans="1:17" ht="15.75" x14ac:dyDescent="0.3">
      <c r="A524" s="1">
        <v>1217</v>
      </c>
      <c r="B524" s="2">
        <v>8960</v>
      </c>
      <c r="C524" s="3">
        <f>DATE(2012,12,31)-940</f>
        <v>40334</v>
      </c>
      <c r="D524" s="1" t="s">
        <v>12</v>
      </c>
      <c r="E524" s="2">
        <v>46</v>
      </c>
      <c r="F524" s="2">
        <v>4335.34</v>
      </c>
      <c r="G524" s="2">
        <v>7.0000000000000007E-2</v>
      </c>
      <c r="H524" s="2">
        <v>0.52</v>
      </c>
      <c r="I524" s="4">
        <v>524.09</v>
      </c>
      <c r="J524" s="5">
        <v>99.99</v>
      </c>
      <c r="K524" s="5">
        <v>19.989999999999998</v>
      </c>
      <c r="L524" s="1" t="s">
        <v>9</v>
      </c>
      <c r="M524" s="1" t="s">
        <v>38</v>
      </c>
      <c r="N524" s="1" t="s">
        <v>13</v>
      </c>
      <c r="O524" s="1" t="s">
        <v>11</v>
      </c>
      <c r="P524" s="1" t="s">
        <v>7</v>
      </c>
      <c r="Q524" s="6">
        <f>C524+2</f>
        <v>40336</v>
      </c>
    </row>
    <row r="525" spans="1:17" ht="15.75" x14ac:dyDescent="0.3">
      <c r="A525" s="1">
        <v>1218</v>
      </c>
      <c r="B525" s="2">
        <v>8960</v>
      </c>
      <c r="C525" s="3">
        <f>DATE(2012,12,31)-940</f>
        <v>40334</v>
      </c>
      <c r="D525" s="1" t="s">
        <v>12</v>
      </c>
      <c r="E525" s="2">
        <v>15</v>
      </c>
      <c r="F525" s="2">
        <v>1150.5345</v>
      </c>
      <c r="G525" s="2">
        <v>0.01</v>
      </c>
      <c r="H525" s="2">
        <v>0.39</v>
      </c>
      <c r="I525" s="4">
        <v>361.64699999999999</v>
      </c>
      <c r="J525" s="5">
        <v>85.99</v>
      </c>
      <c r="K525" s="5">
        <v>1.25</v>
      </c>
      <c r="L525" s="1" t="s">
        <v>5</v>
      </c>
      <c r="M525" s="1" t="s">
        <v>38</v>
      </c>
      <c r="N525" s="1" t="s">
        <v>13</v>
      </c>
      <c r="O525" s="1" t="s">
        <v>11</v>
      </c>
      <c r="P525" s="1" t="s">
        <v>20</v>
      </c>
      <c r="Q525" s="6">
        <f>C525+2</f>
        <v>40336</v>
      </c>
    </row>
    <row r="526" spans="1:17" ht="15.75" x14ac:dyDescent="0.3">
      <c r="A526" s="1">
        <v>1277</v>
      </c>
      <c r="B526" s="2">
        <v>9281</v>
      </c>
      <c r="C526" s="3">
        <f>DATE(2012,12,31)-312</f>
        <v>40962</v>
      </c>
      <c r="D526" s="1" t="s">
        <v>0</v>
      </c>
      <c r="E526" s="2">
        <v>31</v>
      </c>
      <c r="F526" s="2">
        <v>199.8</v>
      </c>
      <c r="G526" s="2">
        <v>0.08</v>
      </c>
      <c r="H526" s="2">
        <v>0.36</v>
      </c>
      <c r="I526" s="4">
        <v>-96.59</v>
      </c>
      <c r="J526" s="5">
        <v>6.48</v>
      </c>
      <c r="K526" s="5">
        <v>6.81</v>
      </c>
      <c r="L526" s="1" t="s">
        <v>9</v>
      </c>
      <c r="M526" s="1" t="s">
        <v>38</v>
      </c>
      <c r="N526" s="1" t="s">
        <v>13</v>
      </c>
      <c r="O526" s="1" t="s">
        <v>6</v>
      </c>
      <c r="P526" s="1" t="s">
        <v>7</v>
      </c>
      <c r="Q526" s="6">
        <f>C526+2</f>
        <v>40964</v>
      </c>
    </row>
    <row r="527" spans="1:17" ht="15.75" x14ac:dyDescent="0.3">
      <c r="A527" s="1">
        <v>1278</v>
      </c>
      <c r="B527" s="2">
        <v>9281</v>
      </c>
      <c r="C527" s="3">
        <f>DATE(2012,12,31)-312</f>
        <v>40962</v>
      </c>
      <c r="D527" s="1" t="s">
        <v>0</v>
      </c>
      <c r="E527" s="2">
        <v>24</v>
      </c>
      <c r="F527" s="2">
        <v>68.97</v>
      </c>
      <c r="G527" s="2">
        <v>0.02</v>
      </c>
      <c r="H527" s="2">
        <v>0.59</v>
      </c>
      <c r="I527" s="4">
        <v>0.77</v>
      </c>
      <c r="J527" s="5">
        <v>2.78</v>
      </c>
      <c r="K527" s="5">
        <v>0.97</v>
      </c>
      <c r="L527" s="1" t="s">
        <v>5</v>
      </c>
      <c r="M527" s="1" t="s">
        <v>38</v>
      </c>
      <c r="N527" s="1" t="s">
        <v>13</v>
      </c>
      <c r="O527" s="1" t="s">
        <v>6</v>
      </c>
      <c r="P527" s="1" t="s">
        <v>14</v>
      </c>
      <c r="Q527" s="6">
        <f>C527+2</f>
        <v>40964</v>
      </c>
    </row>
    <row r="528" spans="1:17" ht="15.75" x14ac:dyDescent="0.3">
      <c r="A528" s="1">
        <v>1285</v>
      </c>
      <c r="B528" s="2">
        <v>9350</v>
      </c>
      <c r="C528" s="3">
        <f>DATE(2012,12,31)-61</f>
        <v>41213</v>
      </c>
      <c r="D528" s="1" t="s">
        <v>0</v>
      </c>
      <c r="E528" s="2">
        <v>13</v>
      </c>
      <c r="F528" s="2">
        <v>1735.94</v>
      </c>
      <c r="G528" s="2">
        <v>0.1</v>
      </c>
      <c r="H528" s="2">
        <v>0.65</v>
      </c>
      <c r="I528" s="4">
        <v>-432.54</v>
      </c>
      <c r="J528" s="5">
        <v>140.97999999999999</v>
      </c>
      <c r="K528" s="5">
        <v>53.48</v>
      </c>
      <c r="L528" s="1" t="s">
        <v>1</v>
      </c>
      <c r="M528" s="1" t="s">
        <v>38</v>
      </c>
      <c r="N528" s="1" t="s">
        <v>2</v>
      </c>
      <c r="O528" s="1" t="s">
        <v>3</v>
      </c>
      <c r="P528" s="1" t="s">
        <v>19</v>
      </c>
      <c r="Q528" s="6">
        <f>C528+1</f>
        <v>41214</v>
      </c>
    </row>
    <row r="529" spans="1:17" ht="15.75" x14ac:dyDescent="0.3">
      <c r="A529" s="1">
        <v>1286</v>
      </c>
      <c r="B529" s="2">
        <v>9350</v>
      </c>
      <c r="C529" s="3">
        <f>DATE(2012,12,31)-61</f>
        <v>41213</v>
      </c>
      <c r="D529" s="1" t="s">
        <v>0</v>
      </c>
      <c r="E529" s="2">
        <v>2</v>
      </c>
      <c r="F529" s="2">
        <v>337.6</v>
      </c>
      <c r="G529" s="2">
        <v>0.1</v>
      </c>
      <c r="H529" s="2">
        <v>0.64</v>
      </c>
      <c r="I529" s="4">
        <v>-210.7835</v>
      </c>
      <c r="J529" s="5">
        <v>172.99</v>
      </c>
      <c r="K529" s="5">
        <v>19.989999999999998</v>
      </c>
      <c r="L529" s="1" t="s">
        <v>5</v>
      </c>
      <c r="M529" s="1" t="s">
        <v>38</v>
      </c>
      <c r="N529" s="1" t="s">
        <v>2</v>
      </c>
      <c r="O529" s="1" t="s">
        <v>3</v>
      </c>
      <c r="P529" s="1" t="s">
        <v>18</v>
      </c>
      <c r="Q529" s="6">
        <f>C529+2</f>
        <v>41215</v>
      </c>
    </row>
    <row r="530" spans="1:17" ht="15.75" x14ac:dyDescent="0.3">
      <c r="A530" s="1">
        <v>1322</v>
      </c>
      <c r="B530" s="2">
        <v>9665</v>
      </c>
      <c r="C530" s="3">
        <f>DATE(2012,12,31)-1348</f>
        <v>39926</v>
      </c>
      <c r="D530" s="1" t="s">
        <v>16</v>
      </c>
      <c r="E530" s="2">
        <v>50</v>
      </c>
      <c r="F530" s="2">
        <v>2348.66</v>
      </c>
      <c r="G530" s="2">
        <v>0.02</v>
      </c>
      <c r="H530" s="2">
        <v>0.46</v>
      </c>
      <c r="I530" s="4">
        <v>921.41</v>
      </c>
      <c r="J530" s="5">
        <v>46.89</v>
      </c>
      <c r="K530" s="5">
        <v>5.0999999999999996</v>
      </c>
      <c r="L530" s="1" t="s">
        <v>5</v>
      </c>
      <c r="M530" s="1" t="s">
        <v>38</v>
      </c>
      <c r="N530" s="1" t="s">
        <v>15</v>
      </c>
      <c r="O530" s="1" t="s">
        <v>6</v>
      </c>
      <c r="P530" s="1" t="s">
        <v>18</v>
      </c>
      <c r="Q530" s="6">
        <f>C530+0</f>
        <v>39926</v>
      </c>
    </row>
    <row r="531" spans="1:17" ht="15.75" x14ac:dyDescent="0.3">
      <c r="A531" s="1">
        <v>1323</v>
      </c>
      <c r="B531" s="2">
        <v>9665</v>
      </c>
      <c r="C531" s="3">
        <f>DATE(2012,12,31)-1348</f>
        <v>39926</v>
      </c>
      <c r="D531" s="1" t="s">
        <v>16</v>
      </c>
      <c r="E531" s="2">
        <v>19</v>
      </c>
      <c r="F531" s="2">
        <v>2657.12</v>
      </c>
      <c r="G531" s="2">
        <v>0.05</v>
      </c>
      <c r="H531" s="2">
        <v>0.77</v>
      </c>
      <c r="I531" s="4">
        <v>-373.09</v>
      </c>
      <c r="J531" s="5">
        <v>140.97999999999999</v>
      </c>
      <c r="K531" s="5">
        <v>36.090000000000003</v>
      </c>
      <c r="L531" s="1" t="s">
        <v>1</v>
      </c>
      <c r="M531" s="1" t="s">
        <v>38</v>
      </c>
      <c r="N531" s="1" t="s">
        <v>15</v>
      </c>
      <c r="O531" s="1" t="s">
        <v>3</v>
      </c>
      <c r="P531" s="1" t="s">
        <v>19</v>
      </c>
      <c r="Q531" s="6">
        <f>C531+2</f>
        <v>39928</v>
      </c>
    </row>
    <row r="532" spans="1:17" ht="15.75" x14ac:dyDescent="0.3">
      <c r="A532" s="1">
        <v>1324</v>
      </c>
      <c r="B532" s="2">
        <v>9665</v>
      </c>
      <c r="C532" s="3">
        <f>DATE(2012,12,31)-1348</f>
        <v>39926</v>
      </c>
      <c r="D532" s="1" t="s">
        <v>16</v>
      </c>
      <c r="E532" s="2">
        <v>49</v>
      </c>
      <c r="F532" s="2">
        <v>9579.6200000000008</v>
      </c>
      <c r="G532" s="2">
        <v>0.1</v>
      </c>
      <c r="H532" s="2">
        <v>0.73</v>
      </c>
      <c r="I532" s="4">
        <v>-3465.0720000000001</v>
      </c>
      <c r="J532" s="5">
        <v>212.6</v>
      </c>
      <c r="K532" s="5">
        <v>110.2</v>
      </c>
      <c r="L532" s="1" t="s">
        <v>1</v>
      </c>
      <c r="M532" s="1" t="s">
        <v>38</v>
      </c>
      <c r="N532" s="1" t="s">
        <v>15</v>
      </c>
      <c r="O532" s="1" t="s">
        <v>3</v>
      </c>
      <c r="P532" s="1" t="s">
        <v>19</v>
      </c>
      <c r="Q532" s="6">
        <f>C532+2</f>
        <v>39928</v>
      </c>
    </row>
    <row r="533" spans="1:17" ht="15.75" x14ac:dyDescent="0.3">
      <c r="A533" s="1">
        <v>1357</v>
      </c>
      <c r="B533" s="2">
        <v>9893</v>
      </c>
      <c r="C533" s="3">
        <f>DATE(2012,12,31)-1233</f>
        <v>40041</v>
      </c>
      <c r="D533" s="1" t="s">
        <v>12</v>
      </c>
      <c r="E533" s="2">
        <v>1</v>
      </c>
      <c r="F533" s="2">
        <v>192.49</v>
      </c>
      <c r="G533" s="2">
        <v>0.02</v>
      </c>
      <c r="H533" s="2">
        <v>0.62</v>
      </c>
      <c r="I533" s="4">
        <v>-98.3</v>
      </c>
      <c r="J533" s="5">
        <v>160.97999999999999</v>
      </c>
      <c r="K533" s="5">
        <v>30</v>
      </c>
      <c r="L533" s="1" t="s">
        <v>1</v>
      </c>
      <c r="M533" s="1" t="s">
        <v>38</v>
      </c>
      <c r="N533" s="1" t="s">
        <v>15</v>
      </c>
      <c r="O533" s="1" t="s">
        <v>3</v>
      </c>
      <c r="P533" s="1" t="s">
        <v>4</v>
      </c>
      <c r="Q533" s="6">
        <f>C533+3</f>
        <v>40044</v>
      </c>
    </row>
    <row r="534" spans="1:17" ht="15.75" x14ac:dyDescent="0.3">
      <c r="A534" s="1">
        <v>1401</v>
      </c>
      <c r="B534" s="2">
        <v>10183</v>
      </c>
      <c r="C534" s="3">
        <f>DATE(2012,12,31)-1133</f>
        <v>40141</v>
      </c>
      <c r="D534" s="1" t="s">
        <v>0</v>
      </c>
      <c r="E534" s="2">
        <v>48</v>
      </c>
      <c r="F534" s="2">
        <v>1210.02</v>
      </c>
      <c r="G534" s="2">
        <v>0.06</v>
      </c>
      <c r="H534" s="2">
        <v>0.6</v>
      </c>
      <c r="I534" s="4">
        <v>-279.44</v>
      </c>
      <c r="J534" s="5">
        <v>25.98</v>
      </c>
      <c r="K534" s="5">
        <v>14.36</v>
      </c>
      <c r="L534" s="1" t="s">
        <v>1</v>
      </c>
      <c r="M534" s="1" t="s">
        <v>38</v>
      </c>
      <c r="N534" s="1" t="s">
        <v>2</v>
      </c>
      <c r="O534" s="1" t="s">
        <v>3</v>
      </c>
      <c r="P534" s="1" t="s">
        <v>4</v>
      </c>
      <c r="Q534" s="6">
        <f>C534+1</f>
        <v>40142</v>
      </c>
    </row>
    <row r="535" spans="1:17" ht="15.75" x14ac:dyDescent="0.3">
      <c r="A535" s="1">
        <v>1413</v>
      </c>
      <c r="B535" s="2">
        <v>10247</v>
      </c>
      <c r="C535" s="3">
        <f>DATE(2012,12,31)-1086</f>
        <v>40188</v>
      </c>
      <c r="D535" s="1" t="s">
        <v>12</v>
      </c>
      <c r="E535" s="2">
        <v>21</v>
      </c>
      <c r="F535" s="2">
        <v>111.66</v>
      </c>
      <c r="G535" s="2">
        <v>0.06</v>
      </c>
      <c r="H535" s="2">
        <v>0.38</v>
      </c>
      <c r="I535" s="4">
        <v>-53.33</v>
      </c>
      <c r="J535" s="5">
        <v>4.9800000000000004</v>
      </c>
      <c r="K535" s="5">
        <v>5.49</v>
      </c>
      <c r="L535" s="1" t="s">
        <v>5</v>
      </c>
      <c r="M535" s="1" t="s">
        <v>38</v>
      </c>
      <c r="N535" s="1" t="s">
        <v>15</v>
      </c>
      <c r="O535" s="1" t="s">
        <v>6</v>
      </c>
      <c r="P535" s="1" t="s">
        <v>7</v>
      </c>
      <c r="Q535" s="6">
        <f>C535+1</f>
        <v>40189</v>
      </c>
    </row>
    <row r="536" spans="1:17" ht="15.75" x14ac:dyDescent="0.3">
      <c r="A536" s="1">
        <v>1414</v>
      </c>
      <c r="B536" s="2">
        <v>10247</v>
      </c>
      <c r="C536" s="3">
        <f>DATE(2012,12,31)-1086</f>
        <v>40188</v>
      </c>
      <c r="D536" s="1" t="s">
        <v>12</v>
      </c>
      <c r="E536" s="2">
        <v>24</v>
      </c>
      <c r="F536" s="2">
        <v>231.95</v>
      </c>
      <c r="G536" s="2">
        <v>0.03</v>
      </c>
      <c r="H536" s="2">
        <v>0.43</v>
      </c>
      <c r="I536" s="4">
        <v>44.14</v>
      </c>
      <c r="J536" s="5">
        <v>9.7799999999999994</v>
      </c>
      <c r="K536" s="5">
        <v>1.99</v>
      </c>
      <c r="L536" s="1" t="s">
        <v>5</v>
      </c>
      <c r="M536" s="1" t="s">
        <v>38</v>
      </c>
      <c r="N536" s="1" t="s">
        <v>15</v>
      </c>
      <c r="O536" s="1" t="s">
        <v>11</v>
      </c>
      <c r="P536" s="1" t="s">
        <v>20</v>
      </c>
      <c r="Q536" s="6">
        <f>C536+2</f>
        <v>40190</v>
      </c>
    </row>
    <row r="537" spans="1:17" ht="15.75" x14ac:dyDescent="0.3">
      <c r="A537" s="1">
        <v>1438</v>
      </c>
      <c r="B537" s="2">
        <v>10371</v>
      </c>
      <c r="C537" s="3">
        <f>DATE(2012,12,31)-1202</f>
        <v>40072</v>
      </c>
      <c r="D537" s="1" t="s">
        <v>17</v>
      </c>
      <c r="E537" s="2">
        <v>10</v>
      </c>
      <c r="F537" s="2">
        <v>156.15</v>
      </c>
      <c r="G537" s="2">
        <v>0.08</v>
      </c>
      <c r="H537" s="2">
        <v>0.56000000000000005</v>
      </c>
      <c r="I537" s="4">
        <v>-37.6</v>
      </c>
      <c r="J537" s="5">
        <v>15.73</v>
      </c>
      <c r="K537" s="5">
        <v>7.42</v>
      </c>
      <c r="L537" s="1" t="s">
        <v>9</v>
      </c>
      <c r="M537" s="1" t="s">
        <v>38</v>
      </c>
      <c r="N537" s="1" t="s">
        <v>2</v>
      </c>
      <c r="O537" s="1" t="s">
        <v>6</v>
      </c>
      <c r="P537" s="1" t="s">
        <v>20</v>
      </c>
      <c r="Q537" s="6">
        <f>C537+2</f>
        <v>40074</v>
      </c>
    </row>
    <row r="538" spans="1:17" ht="15.75" x14ac:dyDescent="0.3">
      <c r="A538" s="1">
        <v>1456</v>
      </c>
      <c r="B538" s="2">
        <v>10498</v>
      </c>
      <c r="C538" s="3">
        <f>DATE(2012,12,31)-800</f>
        <v>40474</v>
      </c>
      <c r="D538" s="1" t="s">
        <v>16</v>
      </c>
      <c r="E538" s="2">
        <v>47</v>
      </c>
      <c r="F538" s="2">
        <v>1968.47</v>
      </c>
      <c r="G538" s="2">
        <v>0.04</v>
      </c>
      <c r="H538" s="2">
        <v>0.59</v>
      </c>
      <c r="I538" s="4">
        <v>327.9</v>
      </c>
      <c r="J538" s="5">
        <v>40.97</v>
      </c>
      <c r="K538" s="5">
        <v>8.99</v>
      </c>
      <c r="L538" s="1" t="s">
        <v>5</v>
      </c>
      <c r="M538" s="1" t="s">
        <v>38</v>
      </c>
      <c r="N538" s="1" t="s">
        <v>13</v>
      </c>
      <c r="O538" s="1" t="s">
        <v>6</v>
      </c>
      <c r="P538" s="1" t="s">
        <v>20</v>
      </c>
      <c r="Q538" s="6">
        <f>C538+7</f>
        <v>40481</v>
      </c>
    </row>
    <row r="539" spans="1:17" ht="15.75" x14ac:dyDescent="0.3">
      <c r="A539" s="1">
        <v>1470</v>
      </c>
      <c r="B539" s="2">
        <v>10624</v>
      </c>
      <c r="C539" s="3">
        <f>DATE(2012,12,31)-1107</f>
        <v>40167</v>
      </c>
      <c r="D539" s="1" t="s">
        <v>0</v>
      </c>
      <c r="E539" s="2">
        <v>23</v>
      </c>
      <c r="F539" s="2">
        <v>1082.43</v>
      </c>
      <c r="G539" s="2">
        <v>0.06</v>
      </c>
      <c r="H539" s="2">
        <v>0.71</v>
      </c>
      <c r="I539" s="4">
        <v>23.97</v>
      </c>
      <c r="J539" s="5">
        <v>47.98</v>
      </c>
      <c r="K539" s="5">
        <v>3.61</v>
      </c>
      <c r="L539" s="1" t="s">
        <v>5</v>
      </c>
      <c r="M539" s="1" t="s">
        <v>38</v>
      </c>
      <c r="N539" s="1" t="s">
        <v>2</v>
      </c>
      <c r="O539" s="1" t="s">
        <v>11</v>
      </c>
      <c r="P539" s="1" t="s">
        <v>20</v>
      </c>
      <c r="Q539" s="6">
        <f>C539+2</f>
        <v>40169</v>
      </c>
    </row>
    <row r="540" spans="1:17" ht="15.75" x14ac:dyDescent="0.3">
      <c r="A540" s="1">
        <v>1579</v>
      </c>
      <c r="B540" s="2">
        <v>11425</v>
      </c>
      <c r="C540" s="3">
        <f>DATE(2012,12,31)-558</f>
        <v>40716</v>
      </c>
      <c r="D540" s="1" t="s">
        <v>0</v>
      </c>
      <c r="E540" s="2">
        <v>29</v>
      </c>
      <c r="F540" s="2">
        <v>482.91</v>
      </c>
      <c r="G540" s="2">
        <v>0.1</v>
      </c>
      <c r="H540" s="2">
        <v>0.57999999999999996</v>
      </c>
      <c r="I540" s="4">
        <v>-16.59</v>
      </c>
      <c r="J540" s="5">
        <v>16.91</v>
      </c>
      <c r="K540" s="5">
        <v>6.25</v>
      </c>
      <c r="L540" s="1" t="s">
        <v>5</v>
      </c>
      <c r="M540" s="1" t="s">
        <v>38</v>
      </c>
      <c r="N540" s="1" t="s">
        <v>21</v>
      </c>
      <c r="O540" s="1" t="s">
        <v>6</v>
      </c>
      <c r="P540" s="1" t="s">
        <v>7</v>
      </c>
      <c r="Q540" s="6">
        <f>C540+1</f>
        <v>40717</v>
      </c>
    </row>
    <row r="541" spans="1:17" ht="15.75" x14ac:dyDescent="0.3">
      <c r="A541" s="1">
        <v>1580</v>
      </c>
      <c r="B541" s="2">
        <v>11425</v>
      </c>
      <c r="C541" s="3">
        <f>DATE(2012,12,31)-558</f>
        <v>40716</v>
      </c>
      <c r="D541" s="1" t="s">
        <v>0</v>
      </c>
      <c r="E541" s="2">
        <v>23</v>
      </c>
      <c r="F541" s="2">
        <v>2969.6365000000001</v>
      </c>
      <c r="G541" s="2">
        <v>0.04</v>
      </c>
      <c r="H541" s="2">
        <v>0.57999999999999996</v>
      </c>
      <c r="I541" s="4">
        <v>383.45400000000001</v>
      </c>
      <c r="J541" s="5">
        <v>155.99</v>
      </c>
      <c r="K541" s="5">
        <v>8.99</v>
      </c>
      <c r="L541" s="1" t="s">
        <v>9</v>
      </c>
      <c r="M541" s="1" t="s">
        <v>38</v>
      </c>
      <c r="N541" s="1" t="s">
        <v>21</v>
      </c>
      <c r="O541" s="1" t="s">
        <v>11</v>
      </c>
      <c r="P541" s="1" t="s">
        <v>7</v>
      </c>
      <c r="Q541" s="6">
        <f>C541+2</f>
        <v>40718</v>
      </c>
    </row>
    <row r="542" spans="1:17" ht="15.75" x14ac:dyDescent="0.3">
      <c r="A542" s="1">
        <v>1591</v>
      </c>
      <c r="B542" s="2">
        <v>11491</v>
      </c>
      <c r="C542" s="3">
        <f>DATE(2012,12,31)-867</f>
        <v>40407</v>
      </c>
      <c r="D542" s="1" t="s">
        <v>16</v>
      </c>
      <c r="E542" s="2">
        <v>26</v>
      </c>
      <c r="F542" s="2">
        <v>165.37</v>
      </c>
      <c r="G542" s="2">
        <v>0.06</v>
      </c>
      <c r="H542" s="2">
        <v>0.66</v>
      </c>
      <c r="I542" s="4">
        <v>-80.11</v>
      </c>
      <c r="J542" s="5">
        <v>6.6</v>
      </c>
      <c r="K542" s="5">
        <v>4.07</v>
      </c>
      <c r="L542" s="1" t="s">
        <v>5</v>
      </c>
      <c r="M542" s="1" t="s">
        <v>38</v>
      </c>
      <c r="N542" s="1" t="s">
        <v>15</v>
      </c>
      <c r="O542" s="1" t="s">
        <v>11</v>
      </c>
      <c r="P542" s="1" t="s">
        <v>20</v>
      </c>
      <c r="Q542" s="6">
        <f>C542+9</f>
        <v>40416</v>
      </c>
    </row>
    <row r="543" spans="1:17" ht="15.75" x14ac:dyDescent="0.3">
      <c r="A543" s="1">
        <v>1592</v>
      </c>
      <c r="B543" s="2">
        <v>11491</v>
      </c>
      <c r="C543" s="3">
        <f>DATE(2012,12,31)-867</f>
        <v>40407</v>
      </c>
      <c r="D543" s="1" t="s">
        <v>16</v>
      </c>
      <c r="E543" s="2">
        <v>38</v>
      </c>
      <c r="F543" s="2">
        <v>1785.74</v>
      </c>
      <c r="G543" s="2">
        <v>0.03</v>
      </c>
      <c r="H543" s="2">
        <v>0.41</v>
      </c>
      <c r="I543" s="4">
        <v>739.48</v>
      </c>
      <c r="J543" s="5">
        <v>48.04</v>
      </c>
      <c r="K543" s="5">
        <v>7.23</v>
      </c>
      <c r="L543" s="1" t="s">
        <v>9</v>
      </c>
      <c r="M543" s="1" t="s">
        <v>38</v>
      </c>
      <c r="N543" s="1" t="s">
        <v>15</v>
      </c>
      <c r="O543" s="1" t="s">
        <v>3</v>
      </c>
      <c r="P543" s="1" t="s">
        <v>7</v>
      </c>
      <c r="Q543" s="6">
        <f>C543+2</f>
        <v>40409</v>
      </c>
    </row>
    <row r="544" spans="1:17" ht="15.75" x14ac:dyDescent="0.3">
      <c r="A544" s="1">
        <v>1636</v>
      </c>
      <c r="B544" s="2">
        <v>11841</v>
      </c>
      <c r="C544" s="3">
        <f>DATE(2012,12,31)-986</f>
        <v>40288</v>
      </c>
      <c r="D544" s="1" t="s">
        <v>12</v>
      </c>
      <c r="E544" s="2">
        <v>44</v>
      </c>
      <c r="F544" s="2">
        <v>2339.52</v>
      </c>
      <c r="G544" s="2">
        <v>0.1</v>
      </c>
      <c r="H544" s="2">
        <v>0.36</v>
      </c>
      <c r="I544" s="4">
        <v>886.03</v>
      </c>
      <c r="J544" s="5">
        <v>54.96</v>
      </c>
      <c r="K544" s="5">
        <v>10.75</v>
      </c>
      <c r="L544" s="1" t="s">
        <v>5</v>
      </c>
      <c r="M544" s="1" t="s">
        <v>38</v>
      </c>
      <c r="N544" s="1" t="s">
        <v>2</v>
      </c>
      <c r="O544" s="1" t="s">
        <v>6</v>
      </c>
      <c r="P544" s="1" t="s">
        <v>7</v>
      </c>
      <c r="Q544" s="6">
        <f>C544+2</f>
        <v>40290</v>
      </c>
    </row>
    <row r="545" spans="1:17" ht="15.75" x14ac:dyDescent="0.3">
      <c r="A545" s="1">
        <v>1637</v>
      </c>
      <c r="B545" s="2">
        <v>11841</v>
      </c>
      <c r="C545" s="3">
        <f>DATE(2012,12,31)-986</f>
        <v>40288</v>
      </c>
      <c r="D545" s="1" t="s">
        <v>12</v>
      </c>
      <c r="E545" s="2">
        <v>46</v>
      </c>
      <c r="F545" s="2">
        <v>533.25</v>
      </c>
      <c r="G545" s="2">
        <v>7.0000000000000007E-2</v>
      </c>
      <c r="H545" s="2">
        <v>0.6</v>
      </c>
      <c r="I545" s="4">
        <v>-88.32</v>
      </c>
      <c r="J545" s="5">
        <v>11.97</v>
      </c>
      <c r="K545" s="5">
        <v>5.81</v>
      </c>
      <c r="L545" s="1" t="s">
        <v>5</v>
      </c>
      <c r="M545" s="1" t="s">
        <v>38</v>
      </c>
      <c r="N545" s="1" t="s">
        <v>2</v>
      </c>
      <c r="O545" s="1" t="s">
        <v>6</v>
      </c>
      <c r="P545" s="1" t="s">
        <v>20</v>
      </c>
      <c r="Q545" s="6">
        <f>C545+0</f>
        <v>40288</v>
      </c>
    </row>
    <row r="546" spans="1:17" ht="15.75" x14ac:dyDescent="0.3">
      <c r="A546" s="1">
        <v>1648</v>
      </c>
      <c r="B546" s="2">
        <v>11878</v>
      </c>
      <c r="C546" s="3">
        <f>DATE(2012,12,31)-1041</f>
        <v>40233</v>
      </c>
      <c r="D546" s="1" t="s">
        <v>8</v>
      </c>
      <c r="E546" s="2">
        <v>18</v>
      </c>
      <c r="F546" s="2">
        <v>102.06</v>
      </c>
      <c r="G546" s="2">
        <v>0.1</v>
      </c>
      <c r="H546" s="2">
        <v>0.39</v>
      </c>
      <c r="I546" s="4">
        <v>36.229999999999997</v>
      </c>
      <c r="J546" s="5">
        <v>6.3</v>
      </c>
      <c r="K546" s="5">
        <v>0.5</v>
      </c>
      <c r="L546" s="1" t="s">
        <v>5</v>
      </c>
      <c r="M546" s="1" t="s">
        <v>38</v>
      </c>
      <c r="N546" s="1" t="s">
        <v>13</v>
      </c>
      <c r="O546" s="1" t="s">
        <v>6</v>
      </c>
      <c r="P546" s="1" t="s">
        <v>7</v>
      </c>
      <c r="Q546" s="6">
        <f>C546+1</f>
        <v>40234</v>
      </c>
    </row>
    <row r="547" spans="1:17" ht="15.75" x14ac:dyDescent="0.3">
      <c r="A547" s="1">
        <v>1649</v>
      </c>
      <c r="B547" s="2">
        <v>11878</v>
      </c>
      <c r="C547" s="3">
        <f>DATE(2012,12,31)-1041</f>
        <v>40233</v>
      </c>
      <c r="D547" s="1" t="s">
        <v>8</v>
      </c>
      <c r="E547" s="2">
        <v>15</v>
      </c>
      <c r="F547" s="2">
        <v>101.82</v>
      </c>
      <c r="G547" s="2">
        <v>0.08</v>
      </c>
      <c r="H547" s="2">
        <v>0.37</v>
      </c>
      <c r="I547" s="4">
        <v>-52.55</v>
      </c>
      <c r="J547" s="5">
        <v>6.48</v>
      </c>
      <c r="K547" s="5">
        <v>7.03</v>
      </c>
      <c r="L547" s="1" t="s">
        <v>5</v>
      </c>
      <c r="M547" s="1" t="s">
        <v>38</v>
      </c>
      <c r="N547" s="1" t="s">
        <v>13</v>
      </c>
      <c r="O547" s="1" t="s">
        <v>6</v>
      </c>
      <c r="P547" s="1" t="s">
        <v>7</v>
      </c>
      <c r="Q547" s="6">
        <f>C547+1</f>
        <v>40234</v>
      </c>
    </row>
    <row r="548" spans="1:17" ht="15.75" x14ac:dyDescent="0.3">
      <c r="A548" s="1">
        <v>1682</v>
      </c>
      <c r="B548" s="2">
        <v>12130</v>
      </c>
      <c r="C548" s="3">
        <f>DATE(2012,12,31)-388</f>
        <v>40886</v>
      </c>
      <c r="D548" s="1" t="s">
        <v>8</v>
      </c>
      <c r="E548" s="2">
        <v>37</v>
      </c>
      <c r="F548" s="2">
        <v>686.2</v>
      </c>
      <c r="G548" s="2">
        <v>0.04</v>
      </c>
      <c r="H548" s="2">
        <v>0.43</v>
      </c>
      <c r="I548" s="4">
        <v>290.2</v>
      </c>
      <c r="J548" s="5">
        <v>18.84</v>
      </c>
      <c r="K548" s="5">
        <v>3.62</v>
      </c>
      <c r="L548" s="1" t="s">
        <v>5</v>
      </c>
      <c r="M548" s="1" t="s">
        <v>38</v>
      </c>
      <c r="N548" s="1" t="s">
        <v>21</v>
      </c>
      <c r="O548" s="1" t="s">
        <v>3</v>
      </c>
      <c r="P548" s="1" t="s">
        <v>14</v>
      </c>
      <c r="Q548" s="6">
        <f>C548+3</f>
        <v>40889</v>
      </c>
    </row>
    <row r="549" spans="1:17" ht="15.75" x14ac:dyDescent="0.3">
      <c r="A549" s="1">
        <v>1683</v>
      </c>
      <c r="B549" s="2">
        <v>12130</v>
      </c>
      <c r="C549" s="3">
        <f>DATE(2012,12,31)-388</f>
        <v>40886</v>
      </c>
      <c r="D549" s="1" t="s">
        <v>8</v>
      </c>
      <c r="E549" s="2">
        <v>42</v>
      </c>
      <c r="F549" s="2">
        <v>1274.5155</v>
      </c>
      <c r="G549" s="2">
        <v>0.05</v>
      </c>
      <c r="H549" s="2">
        <v>0.38</v>
      </c>
      <c r="I549" s="4">
        <v>444.15</v>
      </c>
      <c r="J549" s="5">
        <v>35.99</v>
      </c>
      <c r="K549" s="5">
        <v>5.99</v>
      </c>
      <c r="L549" s="1" t="s">
        <v>5</v>
      </c>
      <c r="M549" s="1" t="s">
        <v>38</v>
      </c>
      <c r="N549" s="1" t="s">
        <v>21</v>
      </c>
      <c r="O549" s="1" t="s">
        <v>11</v>
      </c>
      <c r="P549" s="1" t="s">
        <v>14</v>
      </c>
      <c r="Q549" s="6">
        <f>C549+3</f>
        <v>40889</v>
      </c>
    </row>
    <row r="550" spans="1:17" ht="15.75" x14ac:dyDescent="0.3">
      <c r="A550" s="1">
        <v>1684</v>
      </c>
      <c r="B550" s="2">
        <v>12160</v>
      </c>
      <c r="C550" s="3">
        <f>DATE(2012,12,31)-750</f>
        <v>40524</v>
      </c>
      <c r="D550" s="1" t="s">
        <v>16</v>
      </c>
      <c r="E550" s="2">
        <v>48</v>
      </c>
      <c r="F550" s="2">
        <v>10341.469999999999</v>
      </c>
      <c r="G550" s="2">
        <v>0.03</v>
      </c>
      <c r="H550" s="2">
        <v>0.56999999999999995</v>
      </c>
      <c r="I550" s="4">
        <v>865.02</v>
      </c>
      <c r="J550" s="5">
        <v>208.16</v>
      </c>
      <c r="K550" s="5">
        <v>68.02</v>
      </c>
      <c r="L550" s="1" t="s">
        <v>1</v>
      </c>
      <c r="M550" s="1" t="s">
        <v>38</v>
      </c>
      <c r="N550" s="1" t="s">
        <v>2</v>
      </c>
      <c r="O550" s="1" t="s">
        <v>3</v>
      </c>
      <c r="P550" s="1" t="s">
        <v>4</v>
      </c>
      <c r="Q550" s="6">
        <f>C550+5</f>
        <v>40529</v>
      </c>
    </row>
    <row r="551" spans="1:17" ht="15.75" x14ac:dyDescent="0.3">
      <c r="A551" s="1">
        <v>1685</v>
      </c>
      <c r="B551" s="2">
        <v>12160</v>
      </c>
      <c r="C551" s="3">
        <f>DATE(2012,12,31)-750</f>
        <v>40524</v>
      </c>
      <c r="D551" s="1" t="s">
        <v>16</v>
      </c>
      <c r="E551" s="2">
        <v>2</v>
      </c>
      <c r="F551" s="2">
        <v>55.21</v>
      </c>
      <c r="G551" s="2">
        <v>0.08</v>
      </c>
      <c r="H551" s="2">
        <v>0.56000000000000005</v>
      </c>
      <c r="I551" s="4">
        <v>-45.3</v>
      </c>
      <c r="J551" s="5">
        <v>24.98</v>
      </c>
      <c r="K551" s="5">
        <v>8.7899999999999991</v>
      </c>
      <c r="L551" s="1" t="s">
        <v>5</v>
      </c>
      <c r="M551" s="1" t="s">
        <v>38</v>
      </c>
      <c r="N551" s="1" t="s">
        <v>2</v>
      </c>
      <c r="O551" s="1" t="s">
        <v>3</v>
      </c>
      <c r="P551" s="1" t="s">
        <v>4</v>
      </c>
      <c r="Q551" s="6">
        <f>C551+4</f>
        <v>40528</v>
      </c>
    </row>
    <row r="552" spans="1:17" ht="15.75" x14ac:dyDescent="0.3">
      <c r="A552" s="1">
        <v>1686</v>
      </c>
      <c r="B552" s="2">
        <v>12160</v>
      </c>
      <c r="C552" s="3">
        <f>DATE(2012,12,31)-750</f>
        <v>40524</v>
      </c>
      <c r="D552" s="1" t="s">
        <v>16</v>
      </c>
      <c r="E552" s="2">
        <v>9</v>
      </c>
      <c r="F552" s="2">
        <v>38.299999999999997</v>
      </c>
      <c r="G552" s="2">
        <v>0.01</v>
      </c>
      <c r="H552" s="2">
        <v>0.55000000000000004</v>
      </c>
      <c r="I552" s="4">
        <v>-42.4925</v>
      </c>
      <c r="J552" s="5">
        <v>3.36</v>
      </c>
      <c r="K552" s="5">
        <v>6.27</v>
      </c>
      <c r="L552" s="1" t="s">
        <v>5</v>
      </c>
      <c r="M552" s="1" t="s">
        <v>38</v>
      </c>
      <c r="N552" s="1" t="s">
        <v>2</v>
      </c>
      <c r="O552" s="1" t="s">
        <v>3</v>
      </c>
      <c r="P552" s="1" t="s">
        <v>10</v>
      </c>
      <c r="Q552" s="6">
        <f>C552+5</f>
        <v>40529</v>
      </c>
    </row>
    <row r="553" spans="1:17" ht="15.75" x14ac:dyDescent="0.3">
      <c r="A553" s="1">
        <v>1697</v>
      </c>
      <c r="B553" s="2">
        <v>12258</v>
      </c>
      <c r="C553" s="3">
        <f>DATE(2012,12,31)-1127</f>
        <v>40147</v>
      </c>
      <c r="D553" s="1" t="s">
        <v>16</v>
      </c>
      <c r="E553" s="2">
        <v>3</v>
      </c>
      <c r="F553" s="2">
        <v>561.65</v>
      </c>
      <c r="G553" s="2">
        <v>0.04</v>
      </c>
      <c r="H553" s="2">
        <v>0.69</v>
      </c>
      <c r="I553" s="4">
        <v>-264.94</v>
      </c>
      <c r="J553" s="5">
        <v>180.98</v>
      </c>
      <c r="K553" s="5">
        <v>30</v>
      </c>
      <c r="L553" s="1" t="s">
        <v>1</v>
      </c>
      <c r="M553" s="1" t="s">
        <v>38</v>
      </c>
      <c r="N553" s="1" t="s">
        <v>15</v>
      </c>
      <c r="O553" s="1" t="s">
        <v>3</v>
      </c>
      <c r="P553" s="1" t="s">
        <v>4</v>
      </c>
      <c r="Q553" s="6">
        <f>C553+0</f>
        <v>40147</v>
      </c>
    </row>
    <row r="554" spans="1:17" ht="15.75" x14ac:dyDescent="0.3">
      <c r="A554" s="1">
        <v>1698</v>
      </c>
      <c r="B554" s="2">
        <v>12258</v>
      </c>
      <c r="C554" s="3">
        <f>DATE(2012,12,31)-1127</f>
        <v>40147</v>
      </c>
      <c r="D554" s="1" t="s">
        <v>16</v>
      </c>
      <c r="E554" s="2">
        <v>2</v>
      </c>
      <c r="F554" s="2">
        <v>55.6</v>
      </c>
      <c r="G554" s="2">
        <v>0.06</v>
      </c>
      <c r="H554" s="2">
        <v>0.56000000000000005</v>
      </c>
      <c r="I554" s="4">
        <v>-52.54</v>
      </c>
      <c r="J554" s="5">
        <v>3.25</v>
      </c>
      <c r="K554" s="5">
        <v>49</v>
      </c>
      <c r="L554" s="1" t="s">
        <v>5</v>
      </c>
      <c r="M554" s="1" t="s">
        <v>38</v>
      </c>
      <c r="N554" s="1" t="s">
        <v>15</v>
      </c>
      <c r="O554" s="1" t="s">
        <v>6</v>
      </c>
      <c r="P554" s="1" t="s">
        <v>10</v>
      </c>
      <c r="Q554" s="6">
        <f>C554+5</f>
        <v>40152</v>
      </c>
    </row>
    <row r="555" spans="1:17" ht="15.75" x14ac:dyDescent="0.3">
      <c r="A555" s="1">
        <v>1699</v>
      </c>
      <c r="B555" s="2">
        <v>12258</v>
      </c>
      <c r="C555" s="3">
        <f>DATE(2012,12,31)-1127</f>
        <v>40147</v>
      </c>
      <c r="D555" s="1" t="s">
        <v>16</v>
      </c>
      <c r="E555" s="2">
        <v>22</v>
      </c>
      <c r="F555" s="2">
        <v>2431.13</v>
      </c>
      <c r="G555" s="2">
        <v>0.01</v>
      </c>
      <c r="H555" s="2">
        <v>0.69</v>
      </c>
      <c r="I555" s="4">
        <v>660.63</v>
      </c>
      <c r="J555" s="5">
        <v>110.98</v>
      </c>
      <c r="K555" s="5">
        <v>13.99</v>
      </c>
      <c r="L555" s="1" t="s">
        <v>5</v>
      </c>
      <c r="M555" s="1" t="s">
        <v>38</v>
      </c>
      <c r="N555" s="1" t="s">
        <v>15</v>
      </c>
      <c r="O555" s="1" t="s">
        <v>3</v>
      </c>
      <c r="P555" s="1" t="s">
        <v>18</v>
      </c>
      <c r="Q555" s="6">
        <f>C555+4</f>
        <v>40151</v>
      </c>
    </row>
    <row r="556" spans="1:17" ht="15.75" x14ac:dyDescent="0.3">
      <c r="A556" s="1">
        <v>1700</v>
      </c>
      <c r="B556" s="2">
        <v>12258</v>
      </c>
      <c r="C556" s="3">
        <f>DATE(2012,12,31)-1127</f>
        <v>40147</v>
      </c>
      <c r="D556" s="1" t="s">
        <v>16</v>
      </c>
      <c r="E556" s="2">
        <v>27</v>
      </c>
      <c r="F556" s="2">
        <v>113.4</v>
      </c>
      <c r="G556" s="2">
        <v>0.05</v>
      </c>
      <c r="H556" s="2">
        <v>0.53</v>
      </c>
      <c r="I556" s="4">
        <v>-5.0199999999999996</v>
      </c>
      <c r="J556" s="5">
        <v>3.95</v>
      </c>
      <c r="K556" s="5">
        <v>2</v>
      </c>
      <c r="L556" s="1" t="s">
        <v>9</v>
      </c>
      <c r="M556" s="1" t="s">
        <v>38</v>
      </c>
      <c r="N556" s="1" t="s">
        <v>15</v>
      </c>
      <c r="O556" s="1" t="s">
        <v>6</v>
      </c>
      <c r="P556" s="1" t="s">
        <v>14</v>
      </c>
      <c r="Q556" s="6">
        <f>C556+7</f>
        <v>40154</v>
      </c>
    </row>
    <row r="557" spans="1:17" ht="15.75" x14ac:dyDescent="0.3">
      <c r="A557" s="1">
        <v>1709</v>
      </c>
      <c r="B557" s="2">
        <v>12263</v>
      </c>
      <c r="C557" s="3">
        <f>DATE(2012,12,31)-544</f>
        <v>40730</v>
      </c>
      <c r="D557" s="1" t="s">
        <v>17</v>
      </c>
      <c r="E557" s="2">
        <v>12</v>
      </c>
      <c r="F557" s="2">
        <v>515.65</v>
      </c>
      <c r="G557" s="2">
        <v>0</v>
      </c>
      <c r="H557" s="2">
        <v>0.56000000000000005</v>
      </c>
      <c r="I557" s="4">
        <v>123.5</v>
      </c>
      <c r="J557" s="5">
        <v>39.479999999999997</v>
      </c>
      <c r="K557" s="5">
        <v>3.99</v>
      </c>
      <c r="L557" s="1" t="s">
        <v>5</v>
      </c>
      <c r="M557" s="1" t="s">
        <v>38</v>
      </c>
      <c r="N557" s="1" t="s">
        <v>2</v>
      </c>
      <c r="O557" s="1" t="s">
        <v>6</v>
      </c>
      <c r="P557" s="1" t="s">
        <v>7</v>
      </c>
      <c r="Q557" s="6">
        <f>C557+0</f>
        <v>40730</v>
      </c>
    </row>
    <row r="558" spans="1:17" ht="15.75" x14ac:dyDescent="0.3">
      <c r="A558" s="1">
        <v>1752</v>
      </c>
      <c r="B558" s="2">
        <v>12551</v>
      </c>
      <c r="C558" s="3">
        <f>DATE(2012,12,31)-203</f>
        <v>41071</v>
      </c>
      <c r="D558" s="1" t="s">
        <v>16</v>
      </c>
      <c r="E558" s="2">
        <v>46</v>
      </c>
      <c r="F558" s="2">
        <v>5023.2534999999998</v>
      </c>
      <c r="G558" s="2">
        <v>0.01</v>
      </c>
      <c r="H558" s="2">
        <v>0.55000000000000004</v>
      </c>
      <c r="I558" s="4">
        <v>1665.2249999999999</v>
      </c>
      <c r="J558" s="5">
        <v>125.99</v>
      </c>
      <c r="K558" s="5">
        <v>5.26</v>
      </c>
      <c r="L558" s="1" t="s">
        <v>5</v>
      </c>
      <c r="M558" s="1" t="s">
        <v>38</v>
      </c>
      <c r="N558" s="1" t="s">
        <v>13</v>
      </c>
      <c r="O558" s="1" t="s">
        <v>11</v>
      </c>
      <c r="P558" s="1" t="s">
        <v>7</v>
      </c>
      <c r="Q558" s="6">
        <f>C558+7</f>
        <v>41078</v>
      </c>
    </row>
    <row r="559" spans="1:17" ht="15.75" x14ac:dyDescent="0.3">
      <c r="A559" s="1">
        <v>1778</v>
      </c>
      <c r="B559" s="2">
        <v>12736</v>
      </c>
      <c r="C559" s="3">
        <f>DATE(2012,12,31)-1029</f>
        <v>40245</v>
      </c>
      <c r="D559" s="1" t="s">
        <v>16</v>
      </c>
      <c r="E559" s="2">
        <v>2</v>
      </c>
      <c r="F559" s="2">
        <v>25.52</v>
      </c>
      <c r="G559" s="2">
        <v>0.01</v>
      </c>
      <c r="H559" s="2">
        <v>0.55000000000000004</v>
      </c>
      <c r="I559" s="4">
        <v>21.77</v>
      </c>
      <c r="J559" s="5">
        <v>9.65</v>
      </c>
      <c r="K559" s="5">
        <v>6.22</v>
      </c>
      <c r="L559" s="1" t="s">
        <v>5</v>
      </c>
      <c r="M559" s="1" t="s">
        <v>38</v>
      </c>
      <c r="N559" s="1" t="s">
        <v>13</v>
      </c>
      <c r="O559" s="1" t="s">
        <v>3</v>
      </c>
      <c r="P559" s="1" t="s">
        <v>7</v>
      </c>
      <c r="Q559" s="6">
        <f>C559+7</f>
        <v>40252</v>
      </c>
    </row>
    <row r="560" spans="1:17" ht="15.75" x14ac:dyDescent="0.3">
      <c r="A560" s="1">
        <v>1780</v>
      </c>
      <c r="B560" s="2">
        <v>12768</v>
      </c>
      <c r="C560" s="3">
        <f>DATE(2012,12,31)-1363</f>
        <v>39911</v>
      </c>
      <c r="D560" s="1" t="s">
        <v>0</v>
      </c>
      <c r="E560" s="2">
        <v>34</v>
      </c>
      <c r="F560" s="2">
        <v>1562.97</v>
      </c>
      <c r="G560" s="2">
        <v>0.01</v>
      </c>
      <c r="H560" s="2">
        <v>0.56000000000000005</v>
      </c>
      <c r="I560" s="4">
        <v>501.59</v>
      </c>
      <c r="J560" s="5">
        <v>42.98</v>
      </c>
      <c r="K560" s="5">
        <v>4.62</v>
      </c>
      <c r="L560" s="1" t="s">
        <v>9</v>
      </c>
      <c r="M560" s="1" t="s">
        <v>38</v>
      </c>
      <c r="N560" s="1" t="s">
        <v>2</v>
      </c>
      <c r="O560" s="1" t="s">
        <v>6</v>
      </c>
      <c r="P560" s="1" t="s">
        <v>7</v>
      </c>
      <c r="Q560" s="6">
        <f>C560+2</f>
        <v>39913</v>
      </c>
    </row>
    <row r="561" spans="1:17" ht="15.75" x14ac:dyDescent="0.3">
      <c r="A561" s="1">
        <v>1792</v>
      </c>
      <c r="B561" s="2">
        <v>12837</v>
      </c>
      <c r="C561" s="3">
        <f>DATE(2012,12,31)-29</f>
        <v>41245</v>
      </c>
      <c r="D561" s="1" t="s">
        <v>12</v>
      </c>
      <c r="E561" s="2">
        <v>22</v>
      </c>
      <c r="F561" s="2">
        <v>66.19</v>
      </c>
      <c r="G561" s="2">
        <v>0.02</v>
      </c>
      <c r="H561" s="2">
        <v>0.36</v>
      </c>
      <c r="I561" s="4">
        <v>15.84</v>
      </c>
      <c r="J561" s="5">
        <v>2.88</v>
      </c>
      <c r="K561" s="5">
        <v>0.99</v>
      </c>
      <c r="L561" s="1" t="s">
        <v>5</v>
      </c>
      <c r="M561" s="1" t="s">
        <v>38</v>
      </c>
      <c r="N561" s="1" t="s">
        <v>15</v>
      </c>
      <c r="O561" s="1" t="s">
        <v>6</v>
      </c>
      <c r="P561" s="1" t="s">
        <v>7</v>
      </c>
      <c r="Q561" s="6">
        <f>C561+1</f>
        <v>41246</v>
      </c>
    </row>
    <row r="562" spans="1:17" ht="15.75" x14ac:dyDescent="0.3">
      <c r="A562" s="1">
        <v>1799</v>
      </c>
      <c r="B562" s="2">
        <v>12897</v>
      </c>
      <c r="C562" s="3">
        <f>DATE(2012,12,31)-532</f>
        <v>40742</v>
      </c>
      <c r="D562" s="1" t="s">
        <v>8</v>
      </c>
      <c r="E562" s="2">
        <v>39</v>
      </c>
      <c r="F562" s="2">
        <v>141.49</v>
      </c>
      <c r="G562" s="2">
        <v>0.03</v>
      </c>
      <c r="H562" s="2">
        <v>0.38</v>
      </c>
      <c r="I562" s="4">
        <v>59.92</v>
      </c>
      <c r="J562" s="5">
        <v>3.69</v>
      </c>
      <c r="K562" s="5">
        <v>0.5</v>
      </c>
      <c r="L562" s="1" t="s">
        <v>5</v>
      </c>
      <c r="M562" s="1" t="s">
        <v>38</v>
      </c>
      <c r="N562" s="1" t="s">
        <v>2</v>
      </c>
      <c r="O562" s="1" t="s">
        <v>6</v>
      </c>
      <c r="P562" s="1" t="s">
        <v>7</v>
      </c>
      <c r="Q562" s="6">
        <f>C562+1</f>
        <v>40743</v>
      </c>
    </row>
    <row r="563" spans="1:17" ht="15.75" x14ac:dyDescent="0.3">
      <c r="A563" s="1">
        <v>1800</v>
      </c>
      <c r="B563" s="2">
        <v>12897</v>
      </c>
      <c r="C563" s="3">
        <f>DATE(2012,12,31)-532</f>
        <v>40742</v>
      </c>
      <c r="D563" s="1" t="s">
        <v>8</v>
      </c>
      <c r="E563" s="2">
        <v>31</v>
      </c>
      <c r="F563" s="2">
        <v>211.55</v>
      </c>
      <c r="G563" s="2">
        <v>0.05</v>
      </c>
      <c r="H563" s="2">
        <v>0.37</v>
      </c>
      <c r="I563" s="4">
        <v>-120.95</v>
      </c>
      <c r="J563" s="5">
        <v>6.48</v>
      </c>
      <c r="K563" s="5">
        <v>7.91</v>
      </c>
      <c r="L563" s="1" t="s">
        <v>9</v>
      </c>
      <c r="M563" s="1" t="s">
        <v>38</v>
      </c>
      <c r="N563" s="1" t="s">
        <v>2</v>
      </c>
      <c r="O563" s="1" t="s">
        <v>6</v>
      </c>
      <c r="P563" s="1" t="s">
        <v>7</v>
      </c>
      <c r="Q563" s="6">
        <f>C563+1</f>
        <v>40743</v>
      </c>
    </row>
    <row r="564" spans="1:17" ht="15.75" x14ac:dyDescent="0.3">
      <c r="A564" s="1">
        <v>1817</v>
      </c>
      <c r="B564" s="2">
        <v>13030</v>
      </c>
      <c r="C564" s="3">
        <f>DATE(2012,12,31)-1258</f>
        <v>40016</v>
      </c>
      <c r="D564" s="1" t="s">
        <v>12</v>
      </c>
      <c r="E564" s="2">
        <v>32</v>
      </c>
      <c r="F564" s="2">
        <v>136.19999999999999</v>
      </c>
      <c r="G564" s="2">
        <v>0.09</v>
      </c>
      <c r="H564" s="2">
        <v>0.37</v>
      </c>
      <c r="I564" s="4">
        <v>-154.30700000000002</v>
      </c>
      <c r="J564" s="5">
        <v>3.89</v>
      </c>
      <c r="K564" s="5">
        <v>7.01</v>
      </c>
      <c r="L564" s="1" t="s">
        <v>9</v>
      </c>
      <c r="M564" s="1" t="s">
        <v>38</v>
      </c>
      <c r="N564" s="1" t="s">
        <v>15</v>
      </c>
      <c r="O564" s="1" t="s">
        <v>6</v>
      </c>
      <c r="P564" s="1" t="s">
        <v>7</v>
      </c>
      <c r="Q564" s="6">
        <f>C564+2</f>
        <v>40018</v>
      </c>
    </row>
    <row r="565" spans="1:17" ht="15.75" x14ac:dyDescent="0.3">
      <c r="A565" s="1">
        <v>1823</v>
      </c>
      <c r="B565" s="2">
        <v>13091</v>
      </c>
      <c r="C565" s="3">
        <f>DATE(2012,12,31)-1142</f>
        <v>40132</v>
      </c>
      <c r="D565" s="1" t="s">
        <v>12</v>
      </c>
      <c r="E565" s="2">
        <v>12</v>
      </c>
      <c r="F565" s="2">
        <v>81.430000000000007</v>
      </c>
      <c r="G565" s="2">
        <v>0.08</v>
      </c>
      <c r="H565" s="2">
        <v>0.37</v>
      </c>
      <c r="I565" s="4">
        <v>-44.66</v>
      </c>
      <c r="J565" s="5">
        <v>6.48</v>
      </c>
      <c r="K565" s="5">
        <v>7.03</v>
      </c>
      <c r="L565" s="1" t="s">
        <v>5</v>
      </c>
      <c r="M565" s="1" t="s">
        <v>38</v>
      </c>
      <c r="N565" s="1" t="s">
        <v>2</v>
      </c>
      <c r="O565" s="1" t="s">
        <v>6</v>
      </c>
      <c r="P565" s="1" t="s">
        <v>7</v>
      </c>
      <c r="Q565" s="6">
        <f>C565+1</f>
        <v>40133</v>
      </c>
    </row>
    <row r="566" spans="1:17" ht="15.75" x14ac:dyDescent="0.3">
      <c r="A566" s="1">
        <v>1824</v>
      </c>
      <c r="B566" s="2">
        <v>13091</v>
      </c>
      <c r="C566" s="3">
        <f>DATE(2012,12,31)-1142</f>
        <v>40132</v>
      </c>
      <c r="D566" s="1" t="s">
        <v>12</v>
      </c>
      <c r="E566" s="2">
        <v>39</v>
      </c>
      <c r="F566" s="2">
        <v>883.15</v>
      </c>
      <c r="G566" s="2">
        <v>0.01</v>
      </c>
      <c r="H566" s="2">
        <v>0.84</v>
      </c>
      <c r="I566" s="4">
        <v>-1148.19</v>
      </c>
      <c r="J566" s="5">
        <v>20.34</v>
      </c>
      <c r="K566" s="5">
        <v>35</v>
      </c>
      <c r="L566" s="1" t="s">
        <v>5</v>
      </c>
      <c r="M566" s="1" t="s">
        <v>38</v>
      </c>
      <c r="N566" s="1" t="s">
        <v>2</v>
      </c>
      <c r="O566" s="1" t="s">
        <v>6</v>
      </c>
      <c r="P566" s="1" t="s">
        <v>10</v>
      </c>
      <c r="Q566" s="6">
        <f>C566+1</f>
        <v>40133</v>
      </c>
    </row>
    <row r="567" spans="1:17" ht="15.75" x14ac:dyDescent="0.3">
      <c r="A567" s="1">
        <v>1862</v>
      </c>
      <c r="B567" s="2">
        <v>13383</v>
      </c>
      <c r="C567" s="3">
        <f>DATE(2012,12,31)-199</f>
        <v>41075</v>
      </c>
      <c r="D567" s="1" t="s">
        <v>8</v>
      </c>
      <c r="E567" s="2">
        <v>35</v>
      </c>
      <c r="F567" s="2">
        <v>750.03</v>
      </c>
      <c r="G567" s="2">
        <v>7.0000000000000007E-2</v>
      </c>
      <c r="H567" s="2">
        <v>0.84</v>
      </c>
      <c r="I567" s="4">
        <v>-1072.97</v>
      </c>
      <c r="J567" s="5">
        <v>20.34</v>
      </c>
      <c r="K567" s="5">
        <v>35</v>
      </c>
      <c r="L567" s="1" t="s">
        <v>5</v>
      </c>
      <c r="M567" s="1" t="s">
        <v>38</v>
      </c>
      <c r="N567" s="1" t="s">
        <v>21</v>
      </c>
      <c r="O567" s="1" t="s">
        <v>6</v>
      </c>
      <c r="P567" s="1" t="s">
        <v>10</v>
      </c>
      <c r="Q567" s="6">
        <f>C567+2</f>
        <v>41077</v>
      </c>
    </row>
    <row r="568" spans="1:17" ht="15.75" x14ac:dyDescent="0.3">
      <c r="A568" s="1">
        <v>1867</v>
      </c>
      <c r="B568" s="2">
        <v>13440</v>
      </c>
      <c r="C568" s="3">
        <f>DATE(2012,12,31)-810</f>
        <v>40464</v>
      </c>
      <c r="D568" s="1" t="s">
        <v>8</v>
      </c>
      <c r="E568" s="2">
        <v>22</v>
      </c>
      <c r="F568" s="2">
        <v>971.82</v>
      </c>
      <c r="G568" s="2">
        <v>7.0000000000000007E-2</v>
      </c>
      <c r="H568" s="2">
        <v>0.44</v>
      </c>
      <c r="I568" s="4">
        <v>326.39</v>
      </c>
      <c r="J568" s="5">
        <v>43.98</v>
      </c>
      <c r="K568" s="5">
        <v>1.99</v>
      </c>
      <c r="L568" s="1" t="s">
        <v>5</v>
      </c>
      <c r="M568" s="1" t="s">
        <v>38</v>
      </c>
      <c r="N568" s="1" t="s">
        <v>21</v>
      </c>
      <c r="O568" s="1" t="s">
        <v>11</v>
      </c>
      <c r="P568" s="1" t="s">
        <v>20</v>
      </c>
      <c r="Q568" s="6">
        <f>C568+2</f>
        <v>40466</v>
      </c>
    </row>
    <row r="569" spans="1:17" ht="15.75" x14ac:dyDescent="0.3">
      <c r="A569" s="1">
        <v>1874</v>
      </c>
      <c r="B569" s="2">
        <v>13479</v>
      </c>
      <c r="C569" s="3">
        <f>DATE(2012,12,31)-1123</f>
        <v>40151</v>
      </c>
      <c r="D569" s="1" t="s">
        <v>17</v>
      </c>
      <c r="E569" s="2">
        <v>3</v>
      </c>
      <c r="F569" s="2">
        <v>292.95999999999998</v>
      </c>
      <c r="G569" s="2">
        <v>0.09</v>
      </c>
      <c r="H569" s="2">
        <v>0.52</v>
      </c>
      <c r="I569" s="4">
        <v>-322.95</v>
      </c>
      <c r="J569" s="5">
        <v>99.99</v>
      </c>
      <c r="K569" s="5">
        <v>19.989999999999998</v>
      </c>
      <c r="L569" s="1" t="s">
        <v>5</v>
      </c>
      <c r="M569" s="1" t="s">
        <v>38</v>
      </c>
      <c r="N569" s="1" t="s">
        <v>21</v>
      </c>
      <c r="O569" s="1" t="s">
        <v>11</v>
      </c>
      <c r="P569" s="1" t="s">
        <v>7</v>
      </c>
      <c r="Q569" s="6">
        <f>C569+2</f>
        <v>40153</v>
      </c>
    </row>
    <row r="570" spans="1:17" ht="15.75" x14ac:dyDescent="0.3">
      <c r="A570" s="1">
        <v>1875</v>
      </c>
      <c r="B570" s="2">
        <v>13479</v>
      </c>
      <c r="C570" s="3">
        <f>DATE(2012,12,31)-1123</f>
        <v>40151</v>
      </c>
      <c r="D570" s="1" t="s">
        <v>17</v>
      </c>
      <c r="E570" s="2">
        <v>13</v>
      </c>
      <c r="F570" s="2">
        <v>2206.991</v>
      </c>
      <c r="G570" s="2">
        <v>0.04</v>
      </c>
      <c r="H570" s="2">
        <v>0.56000000000000005</v>
      </c>
      <c r="I570" s="4">
        <v>-1.6280000000000201</v>
      </c>
      <c r="J570" s="5">
        <v>205.99</v>
      </c>
      <c r="K570" s="5">
        <v>5.26</v>
      </c>
      <c r="L570" s="1" t="s">
        <v>5</v>
      </c>
      <c r="M570" s="1" t="s">
        <v>38</v>
      </c>
      <c r="N570" s="1" t="s">
        <v>21</v>
      </c>
      <c r="O570" s="1" t="s">
        <v>11</v>
      </c>
      <c r="P570" s="1" t="s">
        <v>7</v>
      </c>
      <c r="Q570" s="6">
        <f>C570+1</f>
        <v>40152</v>
      </c>
    </row>
    <row r="571" spans="1:17" ht="15.75" x14ac:dyDescent="0.3">
      <c r="A571" s="1">
        <v>1903</v>
      </c>
      <c r="B571" s="2">
        <v>13633</v>
      </c>
      <c r="C571" s="3">
        <f>DATE(2012,12,31)-272</f>
        <v>41002</v>
      </c>
      <c r="D571" s="1" t="s">
        <v>8</v>
      </c>
      <c r="E571" s="2">
        <v>18</v>
      </c>
      <c r="F571" s="2">
        <v>2703.37</v>
      </c>
      <c r="G571" s="2">
        <v>0.09</v>
      </c>
      <c r="H571" s="2">
        <v>0.59</v>
      </c>
      <c r="I571" s="4">
        <v>-231.6</v>
      </c>
      <c r="J571" s="5">
        <v>150.97999999999999</v>
      </c>
      <c r="K571" s="5">
        <v>57.2</v>
      </c>
      <c r="L571" s="1" t="s">
        <v>1</v>
      </c>
      <c r="M571" s="1" t="s">
        <v>38</v>
      </c>
      <c r="N571" s="1" t="s">
        <v>2</v>
      </c>
      <c r="O571" s="1" t="s">
        <v>3</v>
      </c>
      <c r="P571" s="1" t="s">
        <v>4</v>
      </c>
      <c r="Q571" s="6">
        <f>C571+1</f>
        <v>41003</v>
      </c>
    </row>
    <row r="572" spans="1:17" ht="15.75" x14ac:dyDescent="0.3">
      <c r="A572" s="1">
        <v>1904</v>
      </c>
      <c r="B572" s="2">
        <v>13633</v>
      </c>
      <c r="C572" s="3">
        <f>DATE(2012,12,31)-272</f>
        <v>41002</v>
      </c>
      <c r="D572" s="1" t="s">
        <v>8</v>
      </c>
      <c r="E572" s="2">
        <v>39</v>
      </c>
      <c r="F572" s="2">
        <v>1538.17</v>
      </c>
      <c r="G572" s="2">
        <v>0.02</v>
      </c>
      <c r="H572" s="2">
        <v>0.8</v>
      </c>
      <c r="I572" s="4">
        <v>-1119.6400000000001</v>
      </c>
      <c r="J572" s="5">
        <v>38.94</v>
      </c>
      <c r="K572" s="5">
        <v>35</v>
      </c>
      <c r="L572" s="1" t="s">
        <v>5</v>
      </c>
      <c r="M572" s="1" t="s">
        <v>38</v>
      </c>
      <c r="N572" s="1" t="s">
        <v>2</v>
      </c>
      <c r="O572" s="1" t="s">
        <v>6</v>
      </c>
      <c r="P572" s="1" t="s">
        <v>10</v>
      </c>
      <c r="Q572" s="6">
        <f>C572+1</f>
        <v>41003</v>
      </c>
    </row>
    <row r="573" spans="1:17" ht="15.75" x14ac:dyDescent="0.3">
      <c r="A573" s="1">
        <v>1917</v>
      </c>
      <c r="B573" s="2">
        <v>13735</v>
      </c>
      <c r="C573" s="3">
        <f>DATE(2012,12,31)-1320</f>
        <v>39954</v>
      </c>
      <c r="D573" s="1" t="s">
        <v>12</v>
      </c>
      <c r="E573" s="2">
        <v>36</v>
      </c>
      <c r="F573" s="2">
        <v>281.70999999999998</v>
      </c>
      <c r="G573" s="2">
        <v>0.02</v>
      </c>
      <c r="H573" s="2">
        <v>0.36</v>
      </c>
      <c r="I573" s="4">
        <v>117.38</v>
      </c>
      <c r="J573" s="5">
        <v>7.64</v>
      </c>
      <c r="K573" s="5">
        <v>1.39</v>
      </c>
      <c r="L573" s="1" t="s">
        <v>5</v>
      </c>
      <c r="M573" s="1" t="s">
        <v>38</v>
      </c>
      <c r="N573" s="1" t="s">
        <v>15</v>
      </c>
      <c r="O573" s="1" t="s">
        <v>6</v>
      </c>
      <c r="P573" s="1" t="s">
        <v>7</v>
      </c>
      <c r="Q573" s="6">
        <f>C573+2</f>
        <v>39956</v>
      </c>
    </row>
    <row r="574" spans="1:17" ht="15.75" x14ac:dyDescent="0.3">
      <c r="A574" s="1">
        <v>1935</v>
      </c>
      <c r="B574" s="2">
        <v>13861</v>
      </c>
      <c r="C574" s="3">
        <f>DATE(2012,12,31)-873</f>
        <v>40401</v>
      </c>
      <c r="D574" s="1" t="s">
        <v>17</v>
      </c>
      <c r="E574" s="2">
        <v>7</v>
      </c>
      <c r="F574" s="2">
        <v>37.299999999999997</v>
      </c>
      <c r="G574" s="2">
        <v>0</v>
      </c>
      <c r="H574" s="2">
        <v>0.52</v>
      </c>
      <c r="I574" s="4">
        <v>5.03</v>
      </c>
      <c r="J574" s="5">
        <v>4.84</v>
      </c>
      <c r="K574" s="5">
        <v>0.71</v>
      </c>
      <c r="L574" s="1" t="s">
        <v>5</v>
      </c>
      <c r="M574" s="1" t="s">
        <v>38</v>
      </c>
      <c r="N574" s="1" t="s">
        <v>2</v>
      </c>
      <c r="O574" s="1" t="s">
        <v>6</v>
      </c>
      <c r="P574" s="1" t="s">
        <v>14</v>
      </c>
      <c r="Q574" s="6">
        <f>C574+0</f>
        <v>40401</v>
      </c>
    </row>
    <row r="575" spans="1:17" ht="15.75" x14ac:dyDescent="0.3">
      <c r="A575" s="1">
        <v>1937</v>
      </c>
      <c r="B575" s="2">
        <v>13892</v>
      </c>
      <c r="C575" s="3">
        <f>DATE(2012,12,31)-248</f>
        <v>41026</v>
      </c>
      <c r="D575" s="1" t="s">
        <v>17</v>
      </c>
      <c r="E575" s="2">
        <v>47</v>
      </c>
      <c r="F575" s="2">
        <v>1446.97</v>
      </c>
      <c r="G575" s="2">
        <v>0</v>
      </c>
      <c r="H575" s="2">
        <v>0.5</v>
      </c>
      <c r="I575" s="4">
        <v>531.47</v>
      </c>
      <c r="J575" s="5">
        <v>29.89</v>
      </c>
      <c r="K575" s="5">
        <v>1.99</v>
      </c>
      <c r="L575" s="1" t="s">
        <v>5</v>
      </c>
      <c r="M575" s="1" t="s">
        <v>38</v>
      </c>
      <c r="N575" s="1" t="s">
        <v>15</v>
      </c>
      <c r="O575" s="1" t="s">
        <v>11</v>
      </c>
      <c r="P575" s="1" t="s">
        <v>20</v>
      </c>
      <c r="Q575" s="6">
        <f>C575+1</f>
        <v>41027</v>
      </c>
    </row>
    <row r="576" spans="1:17" ht="15.75" x14ac:dyDescent="0.3">
      <c r="A576" s="1">
        <v>1962</v>
      </c>
      <c r="B576" s="2">
        <v>14023</v>
      </c>
      <c r="C576" s="3">
        <f>DATE(2012,12,31)-1045</f>
        <v>40229</v>
      </c>
      <c r="D576" s="1" t="s">
        <v>8</v>
      </c>
      <c r="E576" s="2">
        <v>36</v>
      </c>
      <c r="F576" s="2">
        <v>711.1</v>
      </c>
      <c r="G576" s="2">
        <v>0.08</v>
      </c>
      <c r="H576" s="2">
        <v>0.36</v>
      </c>
      <c r="I576" s="4">
        <v>241.077</v>
      </c>
      <c r="J576" s="5">
        <v>21.38</v>
      </c>
      <c r="K576" s="5">
        <v>2.99</v>
      </c>
      <c r="L576" s="1" t="s">
        <v>5</v>
      </c>
      <c r="M576" s="1" t="s">
        <v>38</v>
      </c>
      <c r="N576" s="1" t="s">
        <v>2</v>
      </c>
      <c r="O576" s="1" t="s">
        <v>6</v>
      </c>
      <c r="P576" s="1" t="s">
        <v>7</v>
      </c>
      <c r="Q576" s="6">
        <f>C576+2</f>
        <v>40231</v>
      </c>
    </row>
    <row r="577" spans="1:17" ht="15.75" x14ac:dyDescent="0.3">
      <c r="A577" s="1">
        <v>1963</v>
      </c>
      <c r="B577" s="2">
        <v>14023</v>
      </c>
      <c r="C577" s="3">
        <f>DATE(2012,12,31)-1045</f>
        <v>40229</v>
      </c>
      <c r="D577" s="1" t="s">
        <v>8</v>
      </c>
      <c r="E577" s="2">
        <v>48</v>
      </c>
      <c r="F577" s="2">
        <v>498.16</v>
      </c>
      <c r="G577" s="2">
        <v>0.03</v>
      </c>
      <c r="H577" s="2">
        <v>0.4</v>
      </c>
      <c r="I577" s="4">
        <v>40.61</v>
      </c>
      <c r="J577" s="5">
        <v>9.99</v>
      </c>
      <c r="K577" s="5">
        <v>5.12</v>
      </c>
      <c r="L577" s="1" t="s">
        <v>5</v>
      </c>
      <c r="M577" s="1" t="s">
        <v>38</v>
      </c>
      <c r="N577" s="1" t="s">
        <v>2</v>
      </c>
      <c r="O577" s="1" t="s">
        <v>6</v>
      </c>
      <c r="P577" s="1" t="s">
        <v>7</v>
      </c>
      <c r="Q577" s="6">
        <f>C577+1</f>
        <v>40230</v>
      </c>
    </row>
    <row r="578" spans="1:17" ht="15.75" x14ac:dyDescent="0.3">
      <c r="A578" s="1">
        <v>1976</v>
      </c>
      <c r="B578" s="2">
        <v>14115</v>
      </c>
      <c r="C578" s="3">
        <f>DATE(2012,12,31)-1235</f>
        <v>40039</v>
      </c>
      <c r="D578" s="1" t="s">
        <v>8</v>
      </c>
      <c r="E578" s="2">
        <v>24</v>
      </c>
      <c r="F578" s="2">
        <v>158.78</v>
      </c>
      <c r="G578" s="2">
        <v>0.04</v>
      </c>
      <c r="H578" s="2">
        <v>0.53</v>
      </c>
      <c r="I578" s="4">
        <v>-38.380000000000003</v>
      </c>
      <c r="J578" s="5">
        <v>6.28</v>
      </c>
      <c r="K578" s="5">
        <v>5.41</v>
      </c>
      <c r="L578" s="1" t="s">
        <v>5</v>
      </c>
      <c r="M578" s="1" t="s">
        <v>38</v>
      </c>
      <c r="N578" s="1" t="s">
        <v>21</v>
      </c>
      <c r="O578" s="1" t="s">
        <v>3</v>
      </c>
      <c r="P578" s="1" t="s">
        <v>7</v>
      </c>
      <c r="Q578" s="6">
        <f>C578+2</f>
        <v>40041</v>
      </c>
    </row>
    <row r="579" spans="1:17" ht="15.75" x14ac:dyDescent="0.3">
      <c r="A579" s="1">
        <v>1977</v>
      </c>
      <c r="B579" s="2">
        <v>14115</v>
      </c>
      <c r="C579" s="3">
        <f>DATE(2012,12,31)-1235</f>
        <v>40039</v>
      </c>
      <c r="D579" s="1" t="s">
        <v>8</v>
      </c>
      <c r="E579" s="2">
        <v>46</v>
      </c>
      <c r="F579" s="2">
        <v>3296.0619999999999</v>
      </c>
      <c r="G579" s="2">
        <v>0.06</v>
      </c>
      <c r="H579" s="2">
        <v>0.57999999999999996</v>
      </c>
      <c r="I579" s="4">
        <v>591.91199999999992</v>
      </c>
      <c r="J579" s="5">
        <v>85.99</v>
      </c>
      <c r="K579" s="5">
        <v>10.78</v>
      </c>
      <c r="L579" s="1" t="s">
        <v>5</v>
      </c>
      <c r="M579" s="1" t="s">
        <v>38</v>
      </c>
      <c r="N579" s="1" t="s">
        <v>21</v>
      </c>
      <c r="O579" s="1" t="s">
        <v>11</v>
      </c>
      <c r="P579" s="1" t="s">
        <v>7</v>
      </c>
      <c r="Q579" s="6">
        <f>C579+2</f>
        <v>40041</v>
      </c>
    </row>
    <row r="580" spans="1:17" ht="15.75" x14ac:dyDescent="0.3">
      <c r="A580" s="1">
        <v>1984</v>
      </c>
      <c r="B580" s="2">
        <v>14147</v>
      </c>
      <c r="C580" s="3">
        <f>DATE(2012,12,31)-1030</f>
        <v>40244</v>
      </c>
      <c r="D580" s="1" t="s">
        <v>8</v>
      </c>
      <c r="E580" s="2">
        <v>8</v>
      </c>
      <c r="F580" s="2">
        <v>351.49</v>
      </c>
      <c r="G580" s="2">
        <v>0.03</v>
      </c>
      <c r="H580" s="2">
        <v>0.35</v>
      </c>
      <c r="I580" s="4">
        <v>107.321</v>
      </c>
      <c r="J580" s="5">
        <v>41.94</v>
      </c>
      <c r="K580" s="5">
        <v>2.99</v>
      </c>
      <c r="L580" s="1" t="s">
        <v>5</v>
      </c>
      <c r="M580" s="1" t="s">
        <v>38</v>
      </c>
      <c r="N580" s="1" t="s">
        <v>15</v>
      </c>
      <c r="O580" s="1" t="s">
        <v>6</v>
      </c>
      <c r="P580" s="1" t="s">
        <v>7</v>
      </c>
      <c r="Q580" s="6">
        <f>C580+3</f>
        <v>40247</v>
      </c>
    </row>
    <row r="581" spans="1:17" ht="15.75" x14ac:dyDescent="0.3">
      <c r="A581" s="1">
        <v>1985</v>
      </c>
      <c r="B581" s="2">
        <v>14147</v>
      </c>
      <c r="C581" s="3">
        <f>DATE(2012,12,31)-1030</f>
        <v>40244</v>
      </c>
      <c r="D581" s="1" t="s">
        <v>8</v>
      </c>
      <c r="E581" s="2">
        <v>16</v>
      </c>
      <c r="F581" s="2">
        <v>74.13</v>
      </c>
      <c r="G581" s="2">
        <v>0.08</v>
      </c>
      <c r="H581" s="2">
        <v>0.4</v>
      </c>
      <c r="I581" s="4">
        <v>-69.34</v>
      </c>
      <c r="J581" s="5">
        <v>4.28</v>
      </c>
      <c r="K581" s="5">
        <v>6.72</v>
      </c>
      <c r="L581" s="1" t="s">
        <v>5</v>
      </c>
      <c r="M581" s="1" t="s">
        <v>38</v>
      </c>
      <c r="N581" s="1" t="s">
        <v>15</v>
      </c>
      <c r="O581" s="1" t="s">
        <v>6</v>
      </c>
      <c r="P581" s="1" t="s">
        <v>7</v>
      </c>
      <c r="Q581" s="6">
        <f>C581+1</f>
        <v>40245</v>
      </c>
    </row>
    <row r="582" spans="1:17" ht="15.75" x14ac:dyDescent="0.3">
      <c r="A582" s="1">
        <v>1986</v>
      </c>
      <c r="B582" s="2">
        <v>14147</v>
      </c>
      <c r="C582" s="3">
        <f>DATE(2012,12,31)-1030</f>
        <v>40244</v>
      </c>
      <c r="D582" s="1" t="s">
        <v>8</v>
      </c>
      <c r="E582" s="2">
        <v>45</v>
      </c>
      <c r="F582" s="2">
        <v>195.03</v>
      </c>
      <c r="G582" s="2">
        <v>0.09</v>
      </c>
      <c r="H582" s="2">
        <v>0.4</v>
      </c>
      <c r="I582" s="4">
        <v>-148.87</v>
      </c>
      <c r="J582" s="5">
        <v>4.28</v>
      </c>
      <c r="K582" s="5">
        <v>5.74</v>
      </c>
      <c r="L582" s="1" t="s">
        <v>5</v>
      </c>
      <c r="M582" s="1" t="s">
        <v>38</v>
      </c>
      <c r="N582" s="1" t="s">
        <v>15</v>
      </c>
      <c r="O582" s="1" t="s">
        <v>6</v>
      </c>
      <c r="P582" s="1" t="s">
        <v>7</v>
      </c>
      <c r="Q582" s="6">
        <f>C582+2</f>
        <v>40246</v>
      </c>
    </row>
    <row r="583" spans="1:17" ht="15.75" x14ac:dyDescent="0.3">
      <c r="A583" s="1">
        <v>1990</v>
      </c>
      <c r="B583" s="2">
        <v>14211</v>
      </c>
      <c r="C583" s="3">
        <f>DATE(2012,12,31)-1418</f>
        <v>39856</v>
      </c>
      <c r="D583" s="1" t="s">
        <v>8</v>
      </c>
      <c r="E583" s="2">
        <v>22</v>
      </c>
      <c r="F583" s="2">
        <v>3220.58</v>
      </c>
      <c r="G583" s="2">
        <v>0.04</v>
      </c>
      <c r="H583" s="2">
        <v>0.38</v>
      </c>
      <c r="I583" s="4">
        <v>1046.69</v>
      </c>
      <c r="J583" s="5">
        <v>150.97999999999999</v>
      </c>
      <c r="K583" s="5">
        <v>13.99</v>
      </c>
      <c r="L583" s="1" t="s">
        <v>5</v>
      </c>
      <c r="M583" s="1" t="s">
        <v>38</v>
      </c>
      <c r="N583" s="1" t="s">
        <v>15</v>
      </c>
      <c r="O583" s="1" t="s">
        <v>11</v>
      </c>
      <c r="P583" s="1" t="s">
        <v>18</v>
      </c>
      <c r="Q583" s="6">
        <f>C583+3</f>
        <v>39859</v>
      </c>
    </row>
    <row r="584" spans="1:17" ht="15.75" x14ac:dyDescent="0.3">
      <c r="A584" s="1">
        <v>1991</v>
      </c>
      <c r="B584" s="2">
        <v>14211</v>
      </c>
      <c r="C584" s="3">
        <f>DATE(2012,12,31)-1418</f>
        <v>39856</v>
      </c>
      <c r="D584" s="1" t="s">
        <v>8</v>
      </c>
      <c r="E584" s="2">
        <v>14</v>
      </c>
      <c r="F584" s="2">
        <v>2367.9899999999998</v>
      </c>
      <c r="G584" s="2">
        <v>0.04</v>
      </c>
      <c r="H584" s="2">
        <v>0.62</v>
      </c>
      <c r="I584" s="4">
        <v>320.10000000000002</v>
      </c>
      <c r="J584" s="5">
        <v>176.19</v>
      </c>
      <c r="K584" s="5">
        <v>11.87</v>
      </c>
      <c r="L584" s="1" t="s">
        <v>5</v>
      </c>
      <c r="M584" s="1" t="s">
        <v>38</v>
      </c>
      <c r="N584" s="1" t="s">
        <v>15</v>
      </c>
      <c r="O584" s="1" t="s">
        <v>6</v>
      </c>
      <c r="P584" s="1" t="s">
        <v>7</v>
      </c>
      <c r="Q584" s="6">
        <f>C584+2</f>
        <v>39858</v>
      </c>
    </row>
    <row r="585" spans="1:17" ht="15.75" x14ac:dyDescent="0.3">
      <c r="A585" s="1">
        <v>2011</v>
      </c>
      <c r="B585" s="2">
        <v>14368</v>
      </c>
      <c r="C585" s="3">
        <f>DATE(2012,12,31)-478</f>
        <v>40796</v>
      </c>
      <c r="D585" s="1" t="s">
        <v>17</v>
      </c>
      <c r="E585" s="2">
        <v>5</v>
      </c>
      <c r="F585" s="2">
        <v>522.05999999999995</v>
      </c>
      <c r="G585" s="2">
        <v>0.06</v>
      </c>
      <c r="H585" s="2">
        <v>0.65</v>
      </c>
      <c r="I585" s="4">
        <v>319.64</v>
      </c>
      <c r="J585" s="5">
        <v>105.98</v>
      </c>
      <c r="K585" s="5">
        <v>13.99</v>
      </c>
      <c r="L585" s="1" t="s">
        <v>5</v>
      </c>
      <c r="M585" s="1" t="s">
        <v>38</v>
      </c>
      <c r="N585" s="1" t="s">
        <v>21</v>
      </c>
      <c r="O585" s="1" t="s">
        <v>3</v>
      </c>
      <c r="P585" s="1" t="s">
        <v>18</v>
      </c>
      <c r="Q585" s="6">
        <f>C585+1</f>
        <v>40797</v>
      </c>
    </row>
    <row r="586" spans="1:17" ht="15.75" x14ac:dyDescent="0.3">
      <c r="A586" s="1">
        <v>2012</v>
      </c>
      <c r="B586" s="2">
        <v>14368</v>
      </c>
      <c r="C586" s="3">
        <f>DATE(2012,12,31)-478</f>
        <v>40796</v>
      </c>
      <c r="D586" s="1" t="s">
        <v>17</v>
      </c>
      <c r="E586" s="2">
        <v>37</v>
      </c>
      <c r="F586" s="2">
        <v>1218.08</v>
      </c>
      <c r="G586" s="2">
        <v>0.1</v>
      </c>
      <c r="H586" s="2">
        <v>0.56000000000000005</v>
      </c>
      <c r="I586" s="4">
        <v>99.79</v>
      </c>
      <c r="J586" s="5">
        <v>34.58</v>
      </c>
      <c r="K586" s="5">
        <v>8.99</v>
      </c>
      <c r="L586" s="1" t="s">
        <v>5</v>
      </c>
      <c r="M586" s="1" t="s">
        <v>38</v>
      </c>
      <c r="N586" s="1" t="s">
        <v>21</v>
      </c>
      <c r="O586" s="1" t="s">
        <v>6</v>
      </c>
      <c r="P586" s="1" t="s">
        <v>20</v>
      </c>
      <c r="Q586" s="6">
        <f>C586+2</f>
        <v>40798</v>
      </c>
    </row>
    <row r="587" spans="1:17" ht="15.75" x14ac:dyDescent="0.3">
      <c r="A587" s="1">
        <v>2045</v>
      </c>
      <c r="B587" s="2">
        <v>14596</v>
      </c>
      <c r="C587" s="3">
        <f>DATE(2012,12,31)-1451</f>
        <v>39823</v>
      </c>
      <c r="D587" s="1" t="s">
        <v>0</v>
      </c>
      <c r="E587" s="2">
        <v>24</v>
      </c>
      <c r="F587" s="2">
        <v>199.12</v>
      </c>
      <c r="G587" s="2">
        <v>0.01</v>
      </c>
      <c r="H587" s="2">
        <v>0.43</v>
      </c>
      <c r="I587" s="4">
        <v>73.33</v>
      </c>
      <c r="J587" s="5">
        <v>8.34</v>
      </c>
      <c r="K587" s="5">
        <v>0.96</v>
      </c>
      <c r="L587" s="1" t="s">
        <v>5</v>
      </c>
      <c r="M587" s="1" t="s">
        <v>38</v>
      </c>
      <c r="N587" s="1" t="s">
        <v>2</v>
      </c>
      <c r="O587" s="1" t="s">
        <v>3</v>
      </c>
      <c r="P587" s="1" t="s">
        <v>14</v>
      </c>
      <c r="Q587" s="6">
        <f>C587+2</f>
        <v>39825</v>
      </c>
    </row>
    <row r="588" spans="1:17" ht="15.75" x14ac:dyDescent="0.3">
      <c r="A588" s="1">
        <v>2046</v>
      </c>
      <c r="B588" s="2">
        <v>14596</v>
      </c>
      <c r="C588" s="3">
        <f>DATE(2012,12,31)-1451</f>
        <v>39823</v>
      </c>
      <c r="D588" s="1" t="s">
        <v>0</v>
      </c>
      <c r="E588" s="2">
        <v>19</v>
      </c>
      <c r="F588" s="2">
        <v>63.14</v>
      </c>
      <c r="G588" s="2">
        <v>0.06</v>
      </c>
      <c r="H588" s="2">
        <v>0.56000000000000005</v>
      </c>
      <c r="I588" s="4">
        <v>-53.75</v>
      </c>
      <c r="J588" s="5">
        <v>3.28</v>
      </c>
      <c r="K588" s="5">
        <v>3.97</v>
      </c>
      <c r="L588" s="1" t="s">
        <v>5</v>
      </c>
      <c r="M588" s="1" t="s">
        <v>38</v>
      </c>
      <c r="N588" s="1" t="s">
        <v>2</v>
      </c>
      <c r="O588" s="1" t="s">
        <v>6</v>
      </c>
      <c r="P588" s="1" t="s">
        <v>14</v>
      </c>
      <c r="Q588" s="6">
        <f>C588+1</f>
        <v>39824</v>
      </c>
    </row>
    <row r="589" spans="1:17" ht="15.75" x14ac:dyDescent="0.3">
      <c r="A589" s="1">
        <v>2055</v>
      </c>
      <c r="B589" s="2">
        <v>14693</v>
      </c>
      <c r="C589" s="3">
        <f>DATE(2012,12,31)-722</f>
        <v>40552</v>
      </c>
      <c r="D589" s="1" t="s">
        <v>0</v>
      </c>
      <c r="E589" s="2">
        <v>39</v>
      </c>
      <c r="F589" s="2">
        <v>268.94</v>
      </c>
      <c r="G589" s="2">
        <v>0.02</v>
      </c>
      <c r="H589" s="2">
        <v>0.37</v>
      </c>
      <c r="I589" s="4">
        <v>-87.52</v>
      </c>
      <c r="J589" s="5">
        <v>6.48</v>
      </c>
      <c r="K589" s="5">
        <v>6.41</v>
      </c>
      <c r="L589" s="1" t="s">
        <v>5</v>
      </c>
      <c r="M589" s="1" t="s">
        <v>38</v>
      </c>
      <c r="N589" s="1" t="s">
        <v>2</v>
      </c>
      <c r="O589" s="1" t="s">
        <v>6</v>
      </c>
      <c r="P589" s="1" t="s">
        <v>7</v>
      </c>
      <c r="Q589" s="6">
        <f>C589+2</f>
        <v>40554</v>
      </c>
    </row>
    <row r="590" spans="1:17" ht="15.75" x14ac:dyDescent="0.3">
      <c r="A590" s="1">
        <v>2056</v>
      </c>
      <c r="B590" s="2">
        <v>14693</v>
      </c>
      <c r="C590" s="3">
        <f>DATE(2012,12,31)-722</f>
        <v>40552</v>
      </c>
      <c r="D590" s="1" t="s">
        <v>0</v>
      </c>
      <c r="E590" s="2">
        <v>38</v>
      </c>
      <c r="F590" s="2">
        <v>847.82</v>
      </c>
      <c r="G590" s="2">
        <v>0.05</v>
      </c>
      <c r="H590" s="2">
        <v>0.61</v>
      </c>
      <c r="I590" s="4">
        <v>-1348.5</v>
      </c>
      <c r="J590" s="5">
        <v>20.98</v>
      </c>
      <c r="K590" s="5">
        <v>45</v>
      </c>
      <c r="L590" s="1" t="s">
        <v>1</v>
      </c>
      <c r="M590" s="1" t="s">
        <v>38</v>
      </c>
      <c r="N590" s="1" t="s">
        <v>2</v>
      </c>
      <c r="O590" s="1" t="s">
        <v>6</v>
      </c>
      <c r="P590" s="1" t="s">
        <v>4</v>
      </c>
      <c r="Q590" s="6">
        <f>C590+2</f>
        <v>40554</v>
      </c>
    </row>
    <row r="591" spans="1:17" ht="15.75" x14ac:dyDescent="0.3">
      <c r="A591" s="1">
        <v>2057</v>
      </c>
      <c r="B591" s="2">
        <v>14695</v>
      </c>
      <c r="C591" s="3">
        <f>DATE(2012,12,31)-117</f>
        <v>41157</v>
      </c>
      <c r="D591" s="1" t="s">
        <v>17</v>
      </c>
      <c r="E591" s="2">
        <v>40</v>
      </c>
      <c r="F591" s="2">
        <v>1992.45</v>
      </c>
      <c r="G591" s="2">
        <v>0.05</v>
      </c>
      <c r="H591" s="2">
        <v>0.69</v>
      </c>
      <c r="I591" s="4">
        <v>-1609.92</v>
      </c>
      <c r="J591" s="5">
        <v>48.58</v>
      </c>
      <c r="K591" s="5">
        <v>54.11</v>
      </c>
      <c r="L591" s="1" t="s">
        <v>1</v>
      </c>
      <c r="M591" s="1" t="s">
        <v>38</v>
      </c>
      <c r="N591" s="1" t="s">
        <v>2</v>
      </c>
      <c r="O591" s="1" t="s">
        <v>3</v>
      </c>
      <c r="P591" s="1" t="s">
        <v>19</v>
      </c>
      <c r="Q591" s="6">
        <f>C591+1</f>
        <v>41158</v>
      </c>
    </row>
    <row r="592" spans="1:17" ht="15.75" x14ac:dyDescent="0.3">
      <c r="A592" s="1">
        <v>2073</v>
      </c>
      <c r="B592" s="2">
        <v>14823</v>
      </c>
      <c r="C592" s="3">
        <f>DATE(2012,12,31)-1418</f>
        <v>39856</v>
      </c>
      <c r="D592" s="1" t="s">
        <v>16</v>
      </c>
      <c r="E592" s="2">
        <v>15</v>
      </c>
      <c r="F592" s="2">
        <v>103.62</v>
      </c>
      <c r="G592" s="2">
        <v>0.1</v>
      </c>
      <c r="H592" s="2">
        <v>0.38</v>
      </c>
      <c r="I592" s="4">
        <v>39.979999999999997</v>
      </c>
      <c r="J592" s="5">
        <v>7.31</v>
      </c>
      <c r="K592" s="5">
        <v>0.49</v>
      </c>
      <c r="L592" s="1" t="s">
        <v>5</v>
      </c>
      <c r="M592" s="1" t="s">
        <v>38</v>
      </c>
      <c r="N592" s="1" t="s">
        <v>13</v>
      </c>
      <c r="O592" s="1" t="s">
        <v>6</v>
      </c>
      <c r="P592" s="1" t="s">
        <v>7</v>
      </c>
      <c r="Q592" s="6">
        <f>C592+9</f>
        <v>39865</v>
      </c>
    </row>
    <row r="593" spans="1:17" ht="15.75" x14ac:dyDescent="0.3">
      <c r="A593" s="1">
        <v>2074</v>
      </c>
      <c r="B593" s="2">
        <v>14823</v>
      </c>
      <c r="C593" s="3">
        <f>DATE(2012,12,31)-1418</f>
        <v>39856</v>
      </c>
      <c r="D593" s="1" t="s">
        <v>16</v>
      </c>
      <c r="E593" s="2">
        <v>20</v>
      </c>
      <c r="F593" s="2">
        <v>124.84</v>
      </c>
      <c r="G593" s="2">
        <v>0.08</v>
      </c>
      <c r="H593" s="2">
        <v>0.52</v>
      </c>
      <c r="I593" s="4">
        <v>10.56</v>
      </c>
      <c r="J593" s="5">
        <v>6.7</v>
      </c>
      <c r="K593" s="5">
        <v>1.56</v>
      </c>
      <c r="L593" s="1" t="s">
        <v>5</v>
      </c>
      <c r="M593" s="1" t="s">
        <v>38</v>
      </c>
      <c r="N593" s="1" t="s">
        <v>13</v>
      </c>
      <c r="O593" s="1" t="s">
        <v>6</v>
      </c>
      <c r="P593" s="1" t="s">
        <v>14</v>
      </c>
      <c r="Q593" s="6">
        <f>C593+0</f>
        <v>39856</v>
      </c>
    </row>
    <row r="594" spans="1:17" ht="15.75" x14ac:dyDescent="0.3">
      <c r="A594" s="1">
        <v>2101</v>
      </c>
      <c r="B594" s="2">
        <v>15014</v>
      </c>
      <c r="C594" s="3">
        <f>DATE(2012,12,31)-1055</f>
        <v>40219</v>
      </c>
      <c r="D594" s="1" t="s">
        <v>12</v>
      </c>
      <c r="E594" s="2">
        <v>10</v>
      </c>
      <c r="F594" s="2">
        <v>633.13</v>
      </c>
      <c r="G594" s="2">
        <v>0.05</v>
      </c>
      <c r="H594" s="2">
        <v>0.61</v>
      </c>
      <c r="I594" s="4">
        <v>-203.9</v>
      </c>
      <c r="J594" s="5">
        <v>58.14</v>
      </c>
      <c r="K594" s="5">
        <v>36.61</v>
      </c>
      <c r="L594" s="1" t="s">
        <v>1</v>
      </c>
      <c r="M594" s="1" t="s">
        <v>38</v>
      </c>
      <c r="N594" s="1" t="s">
        <v>2</v>
      </c>
      <c r="O594" s="1" t="s">
        <v>3</v>
      </c>
      <c r="P594" s="1" t="s">
        <v>19</v>
      </c>
      <c r="Q594" s="6">
        <f>C594+3</f>
        <v>40222</v>
      </c>
    </row>
    <row r="595" spans="1:17" ht="15.75" x14ac:dyDescent="0.3">
      <c r="A595" s="1">
        <v>2213</v>
      </c>
      <c r="B595" s="2">
        <v>15972</v>
      </c>
      <c r="C595" s="3">
        <f>DATE(2012,12,31)-510</f>
        <v>40764</v>
      </c>
      <c r="D595" s="1" t="s">
        <v>8</v>
      </c>
      <c r="E595" s="2">
        <v>3</v>
      </c>
      <c r="F595" s="2">
        <v>10.33</v>
      </c>
      <c r="G595" s="2">
        <v>0.04</v>
      </c>
      <c r="H595" s="2">
        <v>0.39</v>
      </c>
      <c r="I595" s="4">
        <v>-3.86</v>
      </c>
      <c r="J595" s="5">
        <v>2.98</v>
      </c>
      <c r="K595" s="5">
        <v>1.58</v>
      </c>
      <c r="L595" s="1" t="s">
        <v>5</v>
      </c>
      <c r="M595" s="1" t="s">
        <v>38</v>
      </c>
      <c r="N595" s="1" t="s">
        <v>13</v>
      </c>
      <c r="O595" s="1" t="s">
        <v>6</v>
      </c>
      <c r="P595" s="1" t="s">
        <v>14</v>
      </c>
      <c r="Q595" s="6">
        <f>C595+0</f>
        <v>40764</v>
      </c>
    </row>
    <row r="596" spans="1:17" ht="15.75" x14ac:dyDescent="0.3">
      <c r="A596" s="1">
        <v>2214</v>
      </c>
      <c r="B596" s="2">
        <v>15972</v>
      </c>
      <c r="C596" s="3">
        <f>DATE(2012,12,31)-510</f>
        <v>40764</v>
      </c>
      <c r="D596" s="1" t="s">
        <v>8</v>
      </c>
      <c r="E596" s="2">
        <v>2</v>
      </c>
      <c r="F596" s="2">
        <v>14.39</v>
      </c>
      <c r="G596" s="2">
        <v>7.0000000000000007E-2</v>
      </c>
      <c r="H596" s="2">
        <v>0.54</v>
      </c>
      <c r="I596" s="4">
        <v>-10.24</v>
      </c>
      <c r="J596" s="5">
        <v>5.81</v>
      </c>
      <c r="K596" s="5">
        <v>3.37</v>
      </c>
      <c r="L596" s="1" t="s">
        <v>5</v>
      </c>
      <c r="M596" s="1" t="s">
        <v>38</v>
      </c>
      <c r="N596" s="1" t="s">
        <v>13</v>
      </c>
      <c r="O596" s="1" t="s">
        <v>6</v>
      </c>
      <c r="P596" s="1" t="s">
        <v>14</v>
      </c>
      <c r="Q596" s="6">
        <f>C596+1</f>
        <v>40765</v>
      </c>
    </row>
    <row r="597" spans="1:17" ht="15.75" x14ac:dyDescent="0.3">
      <c r="A597" s="1">
        <v>2222</v>
      </c>
      <c r="B597" s="2">
        <v>16065</v>
      </c>
      <c r="C597" s="3">
        <f>DATE(2012,12,31)-895</f>
        <v>40379</v>
      </c>
      <c r="D597" s="1" t="s">
        <v>17</v>
      </c>
      <c r="E597" s="2">
        <v>15</v>
      </c>
      <c r="F597" s="2">
        <v>6933.45</v>
      </c>
      <c r="G597" s="2">
        <v>0.04</v>
      </c>
      <c r="H597" s="2">
        <v>0.38</v>
      </c>
      <c r="I597" s="4">
        <v>1200.2049999999999</v>
      </c>
      <c r="J597" s="5">
        <v>449.99</v>
      </c>
      <c r="K597" s="5">
        <v>49</v>
      </c>
      <c r="L597" s="1" t="s">
        <v>1</v>
      </c>
      <c r="M597" s="1" t="s">
        <v>38</v>
      </c>
      <c r="N597" s="1" t="s">
        <v>2</v>
      </c>
      <c r="O597" s="1" t="s">
        <v>11</v>
      </c>
      <c r="P597" s="1" t="s">
        <v>4</v>
      </c>
      <c r="Q597" s="6">
        <f>C597+0</f>
        <v>40379</v>
      </c>
    </row>
    <row r="598" spans="1:17" ht="15.75" x14ac:dyDescent="0.3">
      <c r="A598" s="1">
        <v>2223</v>
      </c>
      <c r="B598" s="2">
        <v>16065</v>
      </c>
      <c r="C598" s="3">
        <f>DATE(2012,12,31)-895</f>
        <v>40379</v>
      </c>
      <c r="D598" s="1" t="s">
        <v>17</v>
      </c>
      <c r="E598" s="2">
        <v>14</v>
      </c>
      <c r="F598" s="2">
        <v>54.99</v>
      </c>
      <c r="G598" s="2">
        <v>0.06</v>
      </c>
      <c r="H598" s="2">
        <v>0.37</v>
      </c>
      <c r="I598" s="4">
        <v>8.07</v>
      </c>
      <c r="J598" s="5">
        <v>4</v>
      </c>
      <c r="K598" s="5">
        <v>1.3</v>
      </c>
      <c r="L598" s="1" t="s">
        <v>5</v>
      </c>
      <c r="M598" s="1" t="s">
        <v>38</v>
      </c>
      <c r="N598" s="1" t="s">
        <v>2</v>
      </c>
      <c r="O598" s="1" t="s">
        <v>6</v>
      </c>
      <c r="P598" s="1" t="s">
        <v>14</v>
      </c>
      <c r="Q598" s="6">
        <f>C598+1</f>
        <v>40380</v>
      </c>
    </row>
    <row r="599" spans="1:17" ht="15.75" x14ac:dyDescent="0.3">
      <c r="A599" s="1">
        <v>2224</v>
      </c>
      <c r="B599" s="2">
        <v>16096</v>
      </c>
      <c r="C599" s="3">
        <f>DATE(2012,12,31)-712</f>
        <v>40562</v>
      </c>
      <c r="D599" s="1" t="s">
        <v>17</v>
      </c>
      <c r="E599" s="2">
        <v>9</v>
      </c>
      <c r="F599" s="2">
        <v>42.21</v>
      </c>
      <c r="G599" s="2">
        <v>0</v>
      </c>
      <c r="H599" s="2">
        <v>0.36</v>
      </c>
      <c r="I599" s="4">
        <v>18.21</v>
      </c>
      <c r="J599" s="5">
        <v>2.88</v>
      </c>
      <c r="K599" s="5">
        <v>0.99</v>
      </c>
      <c r="L599" s="1" t="s">
        <v>9</v>
      </c>
      <c r="M599" s="1" t="s">
        <v>38</v>
      </c>
      <c r="N599" s="1" t="s">
        <v>21</v>
      </c>
      <c r="O599" s="1" t="s">
        <v>6</v>
      </c>
      <c r="P599" s="1" t="s">
        <v>7</v>
      </c>
      <c r="Q599" s="6">
        <f>C599+1</f>
        <v>40563</v>
      </c>
    </row>
    <row r="600" spans="1:17" ht="15.75" x14ac:dyDescent="0.3">
      <c r="A600" s="1">
        <v>2236</v>
      </c>
      <c r="B600" s="2">
        <v>16160</v>
      </c>
      <c r="C600" s="3">
        <f>DATE(2012,12,31)-527</f>
        <v>40747</v>
      </c>
      <c r="D600" s="1" t="s">
        <v>0</v>
      </c>
      <c r="E600" s="2">
        <v>50</v>
      </c>
      <c r="F600" s="2">
        <v>514.86</v>
      </c>
      <c r="G600" s="2">
        <v>0.09</v>
      </c>
      <c r="H600" s="2">
        <v>0.59</v>
      </c>
      <c r="I600" s="4">
        <v>-53.18</v>
      </c>
      <c r="J600" s="5">
        <v>10.89</v>
      </c>
      <c r="K600" s="5">
        <v>4.5</v>
      </c>
      <c r="L600" s="1" t="s">
        <v>5</v>
      </c>
      <c r="M600" s="1" t="s">
        <v>38</v>
      </c>
      <c r="N600" s="1" t="s">
        <v>15</v>
      </c>
      <c r="O600" s="1" t="s">
        <v>6</v>
      </c>
      <c r="P600" s="1" t="s">
        <v>7</v>
      </c>
      <c r="Q600" s="6">
        <f>C600+1</f>
        <v>40748</v>
      </c>
    </row>
    <row r="601" spans="1:17" ht="15.75" x14ac:dyDescent="0.3">
      <c r="A601" s="1">
        <v>2249</v>
      </c>
      <c r="B601" s="2">
        <v>16196</v>
      </c>
      <c r="C601" s="3">
        <f>DATE(2012,12,31)-1168</f>
        <v>40106</v>
      </c>
      <c r="D601" s="1" t="s">
        <v>17</v>
      </c>
      <c r="E601" s="2">
        <v>44</v>
      </c>
      <c r="F601" s="2">
        <v>14521.39</v>
      </c>
      <c r="G601" s="2">
        <v>0.03</v>
      </c>
      <c r="H601" s="2">
        <v>0.55000000000000004</v>
      </c>
      <c r="I601" s="4">
        <v>5034.1499999999996</v>
      </c>
      <c r="J601" s="5">
        <v>320.98</v>
      </c>
      <c r="K601" s="5">
        <v>24.49</v>
      </c>
      <c r="L601" s="1" t="s">
        <v>5</v>
      </c>
      <c r="M601" s="1" t="s">
        <v>38</v>
      </c>
      <c r="N601" s="1" t="s">
        <v>15</v>
      </c>
      <c r="O601" s="1" t="s">
        <v>3</v>
      </c>
      <c r="P601" s="1" t="s">
        <v>10</v>
      </c>
      <c r="Q601" s="6">
        <f>C601+2</f>
        <v>40108</v>
      </c>
    </row>
    <row r="602" spans="1:17" ht="15.75" x14ac:dyDescent="0.3">
      <c r="A602" s="1">
        <v>2250</v>
      </c>
      <c r="B602" s="2">
        <v>16196</v>
      </c>
      <c r="C602" s="3">
        <f>DATE(2012,12,31)-1168</f>
        <v>40106</v>
      </c>
      <c r="D602" s="1" t="s">
        <v>17</v>
      </c>
      <c r="E602" s="2">
        <v>39</v>
      </c>
      <c r="F602" s="2">
        <v>3925.9714999999997</v>
      </c>
      <c r="G602" s="2">
        <v>0.06</v>
      </c>
      <c r="H602" s="2">
        <v>0.59</v>
      </c>
      <c r="I602" s="4">
        <v>671.94900000000007</v>
      </c>
      <c r="J602" s="5">
        <v>125.99</v>
      </c>
      <c r="K602" s="5">
        <v>8.8000000000000007</v>
      </c>
      <c r="L602" s="1" t="s">
        <v>5</v>
      </c>
      <c r="M602" s="1" t="s">
        <v>38</v>
      </c>
      <c r="N602" s="1" t="s">
        <v>15</v>
      </c>
      <c r="O602" s="1" t="s">
        <v>11</v>
      </c>
      <c r="P602" s="1" t="s">
        <v>7</v>
      </c>
      <c r="Q602" s="6">
        <f>C602+1</f>
        <v>40107</v>
      </c>
    </row>
    <row r="603" spans="1:17" ht="15.75" x14ac:dyDescent="0.3">
      <c r="A603" s="1">
        <v>2268</v>
      </c>
      <c r="B603" s="2">
        <v>16291</v>
      </c>
      <c r="C603" s="3">
        <f>DATE(2012,12,31)-633</f>
        <v>40641</v>
      </c>
      <c r="D603" s="1" t="s">
        <v>8</v>
      </c>
      <c r="E603" s="2">
        <v>31</v>
      </c>
      <c r="F603" s="2">
        <v>894.64</v>
      </c>
      <c r="G603" s="2">
        <v>0.01</v>
      </c>
      <c r="H603" s="2">
        <v>0.44</v>
      </c>
      <c r="I603" s="4">
        <v>-27.79</v>
      </c>
      <c r="J603" s="5">
        <v>27.42</v>
      </c>
      <c r="K603" s="5">
        <v>19.46</v>
      </c>
      <c r="L603" s="1" t="s">
        <v>5</v>
      </c>
      <c r="M603" s="1" t="s">
        <v>38</v>
      </c>
      <c r="N603" s="1" t="s">
        <v>21</v>
      </c>
      <c r="O603" s="1" t="s">
        <v>3</v>
      </c>
      <c r="P603" s="1" t="s">
        <v>7</v>
      </c>
      <c r="Q603" s="6">
        <f>C603+1</f>
        <v>40642</v>
      </c>
    </row>
    <row r="604" spans="1:17" ht="15.75" x14ac:dyDescent="0.3">
      <c r="A604" s="1">
        <v>2292</v>
      </c>
      <c r="B604" s="2">
        <v>16519</v>
      </c>
      <c r="C604" s="3">
        <f>DATE(2012,12,31)-570</f>
        <v>40704</v>
      </c>
      <c r="D604" s="1" t="s">
        <v>12</v>
      </c>
      <c r="E604" s="2">
        <v>39</v>
      </c>
      <c r="F604" s="2">
        <v>158.97</v>
      </c>
      <c r="G604" s="2">
        <v>0.08</v>
      </c>
      <c r="H604" s="2">
        <v>0.37</v>
      </c>
      <c r="I604" s="4">
        <v>-30.268000000000001</v>
      </c>
      <c r="J604" s="5">
        <v>4.18</v>
      </c>
      <c r="K604" s="5">
        <v>2.99</v>
      </c>
      <c r="L604" s="1" t="s">
        <v>5</v>
      </c>
      <c r="M604" s="1" t="s">
        <v>38</v>
      </c>
      <c r="N604" s="1" t="s">
        <v>13</v>
      </c>
      <c r="O604" s="1" t="s">
        <v>6</v>
      </c>
      <c r="P604" s="1" t="s">
        <v>7</v>
      </c>
      <c r="Q604" s="6">
        <f t="shared" ref="Q604:Q609" si="0">C604+2</f>
        <v>40706</v>
      </c>
    </row>
    <row r="605" spans="1:17" ht="15.75" x14ac:dyDescent="0.3">
      <c r="A605" s="1">
        <v>2293</v>
      </c>
      <c r="B605" s="2">
        <v>16519</v>
      </c>
      <c r="C605" s="3">
        <f>DATE(2012,12,31)-570</f>
        <v>40704</v>
      </c>
      <c r="D605" s="1" t="s">
        <v>12</v>
      </c>
      <c r="E605" s="2">
        <v>49</v>
      </c>
      <c r="F605" s="2">
        <v>138.96</v>
      </c>
      <c r="G605" s="2">
        <v>0.03</v>
      </c>
      <c r="H605" s="2">
        <v>0.56000000000000005</v>
      </c>
      <c r="I605" s="4">
        <v>19.87</v>
      </c>
      <c r="J605" s="5">
        <v>2.88</v>
      </c>
      <c r="K605" s="5">
        <v>0.7</v>
      </c>
      <c r="L605" s="1" t="s">
        <v>5</v>
      </c>
      <c r="M605" s="1" t="s">
        <v>38</v>
      </c>
      <c r="N605" s="1" t="s">
        <v>13</v>
      </c>
      <c r="O605" s="1" t="s">
        <v>6</v>
      </c>
      <c r="P605" s="1" t="s">
        <v>14</v>
      </c>
      <c r="Q605" s="6">
        <f t="shared" si="0"/>
        <v>40706</v>
      </c>
    </row>
    <row r="606" spans="1:17" ht="15.75" x14ac:dyDescent="0.3">
      <c r="A606" s="1">
        <v>2298</v>
      </c>
      <c r="B606" s="2">
        <v>16548</v>
      </c>
      <c r="C606" s="3">
        <f>DATE(2012,12,31)-330</f>
        <v>40944</v>
      </c>
      <c r="D606" s="1" t="s">
        <v>8</v>
      </c>
      <c r="E606" s="2">
        <v>22</v>
      </c>
      <c r="F606" s="2">
        <v>75.19</v>
      </c>
      <c r="G606" s="2">
        <v>0.06</v>
      </c>
      <c r="H606" s="2">
        <v>0.57999999999999996</v>
      </c>
      <c r="I606" s="4">
        <v>-59.12</v>
      </c>
      <c r="J606" s="5">
        <v>3.28</v>
      </c>
      <c r="K606" s="5">
        <v>3.97</v>
      </c>
      <c r="L606" s="1" t="s">
        <v>5</v>
      </c>
      <c r="M606" s="1" t="s">
        <v>38</v>
      </c>
      <c r="N606" s="1" t="s">
        <v>21</v>
      </c>
      <c r="O606" s="1" t="s">
        <v>3</v>
      </c>
      <c r="P606" s="1" t="s">
        <v>10</v>
      </c>
      <c r="Q606" s="6">
        <f t="shared" si="0"/>
        <v>40946</v>
      </c>
    </row>
    <row r="607" spans="1:17" ht="15.75" x14ac:dyDescent="0.3">
      <c r="A607" s="1">
        <v>2306</v>
      </c>
      <c r="B607" s="2">
        <v>16613</v>
      </c>
      <c r="C607" s="3">
        <f>DATE(2012,12,31)-738</f>
        <v>40536</v>
      </c>
      <c r="D607" s="1" t="s">
        <v>17</v>
      </c>
      <c r="E607" s="2">
        <v>28</v>
      </c>
      <c r="F607" s="2">
        <v>51.14</v>
      </c>
      <c r="G607" s="2">
        <v>0.08</v>
      </c>
      <c r="H607" s="2">
        <v>0.53</v>
      </c>
      <c r="I607" s="4">
        <v>-81.96</v>
      </c>
      <c r="J607" s="5">
        <v>1.74</v>
      </c>
      <c r="K607" s="5">
        <v>4.08</v>
      </c>
      <c r="L607" s="1" t="s">
        <v>5</v>
      </c>
      <c r="M607" s="1" t="s">
        <v>38</v>
      </c>
      <c r="N607" s="1" t="s">
        <v>15</v>
      </c>
      <c r="O607" s="1" t="s">
        <v>3</v>
      </c>
      <c r="P607" s="1" t="s">
        <v>20</v>
      </c>
      <c r="Q607" s="6">
        <f t="shared" si="0"/>
        <v>40538</v>
      </c>
    </row>
    <row r="608" spans="1:17" ht="15.75" x14ac:dyDescent="0.3">
      <c r="A608" s="1">
        <v>2326</v>
      </c>
      <c r="B608" s="2">
        <v>16771</v>
      </c>
      <c r="C608" s="3">
        <f>DATE(2012,12,31)-1190</f>
        <v>40084</v>
      </c>
      <c r="D608" s="1" t="s">
        <v>17</v>
      </c>
      <c r="E608" s="2">
        <v>42</v>
      </c>
      <c r="F608" s="2">
        <v>1737.06</v>
      </c>
      <c r="G608" s="2">
        <v>0.02</v>
      </c>
      <c r="H608" s="2">
        <v>0.65</v>
      </c>
      <c r="I608" s="4">
        <v>339.17</v>
      </c>
      <c r="J608" s="5">
        <v>39.979999999999997</v>
      </c>
      <c r="K608" s="5">
        <v>9.1999999999999993</v>
      </c>
      <c r="L608" s="1" t="s">
        <v>5</v>
      </c>
      <c r="M608" s="1" t="s">
        <v>38</v>
      </c>
      <c r="N608" s="1" t="s">
        <v>2</v>
      </c>
      <c r="O608" s="1" t="s">
        <v>3</v>
      </c>
      <c r="P608" s="1" t="s">
        <v>14</v>
      </c>
      <c r="Q608" s="6">
        <f t="shared" si="0"/>
        <v>40086</v>
      </c>
    </row>
    <row r="609" spans="1:17" ht="15.75" x14ac:dyDescent="0.3">
      <c r="A609" s="1">
        <v>2331</v>
      </c>
      <c r="B609" s="2">
        <v>16804</v>
      </c>
      <c r="C609" s="3">
        <f>DATE(2012,12,31)-296</f>
        <v>40978</v>
      </c>
      <c r="D609" s="1" t="s">
        <v>17</v>
      </c>
      <c r="E609" s="2">
        <v>46</v>
      </c>
      <c r="F609" s="2">
        <v>2430.34</v>
      </c>
      <c r="G609" s="2">
        <v>0.08</v>
      </c>
      <c r="H609" s="2">
        <v>0.36</v>
      </c>
      <c r="I609" s="4">
        <v>752.87</v>
      </c>
      <c r="J609" s="5">
        <v>55.98</v>
      </c>
      <c r="K609" s="5">
        <v>13.88</v>
      </c>
      <c r="L609" s="1" t="s">
        <v>5</v>
      </c>
      <c r="M609" s="1" t="s">
        <v>38</v>
      </c>
      <c r="N609" s="1" t="s">
        <v>21</v>
      </c>
      <c r="O609" s="1" t="s">
        <v>6</v>
      </c>
      <c r="P609" s="1" t="s">
        <v>7</v>
      </c>
      <c r="Q609" s="6">
        <f t="shared" si="0"/>
        <v>40980</v>
      </c>
    </row>
    <row r="610" spans="1:17" ht="15.75" x14ac:dyDescent="0.3">
      <c r="A610" s="1">
        <v>2332</v>
      </c>
      <c r="B610" s="2">
        <v>16804</v>
      </c>
      <c r="C610" s="3">
        <f>DATE(2012,12,31)-296</f>
        <v>40978</v>
      </c>
      <c r="D610" s="1" t="s">
        <v>17</v>
      </c>
      <c r="E610" s="2">
        <v>36</v>
      </c>
      <c r="F610" s="2">
        <v>218.6</v>
      </c>
      <c r="G610" s="2">
        <v>0.05</v>
      </c>
      <c r="H610" s="2">
        <v>0.36</v>
      </c>
      <c r="I610" s="4">
        <v>-46.43</v>
      </c>
      <c r="J610" s="5">
        <v>5.78</v>
      </c>
      <c r="K610" s="5">
        <v>4.96</v>
      </c>
      <c r="L610" s="1" t="s">
        <v>9</v>
      </c>
      <c r="M610" s="1" t="s">
        <v>38</v>
      </c>
      <c r="N610" s="1" t="s">
        <v>21</v>
      </c>
      <c r="O610" s="1" t="s">
        <v>6</v>
      </c>
      <c r="P610" s="1" t="s">
        <v>7</v>
      </c>
      <c r="Q610" s="6">
        <f>C610+1</f>
        <v>40979</v>
      </c>
    </row>
    <row r="611" spans="1:17" ht="15.75" x14ac:dyDescent="0.3">
      <c r="A611" s="1">
        <v>2358</v>
      </c>
      <c r="B611" s="2">
        <v>17024</v>
      </c>
      <c r="C611" s="3">
        <f>DATE(2012,12,31)-1175</f>
        <v>40099</v>
      </c>
      <c r="D611" s="1" t="s">
        <v>12</v>
      </c>
      <c r="E611" s="2">
        <v>31</v>
      </c>
      <c r="F611" s="2">
        <v>1401.75</v>
      </c>
      <c r="G611" s="2">
        <v>0.02</v>
      </c>
      <c r="H611" s="2">
        <v>0.56000000000000005</v>
      </c>
      <c r="I611" s="4">
        <v>426.44</v>
      </c>
      <c r="J611" s="5">
        <v>42.98</v>
      </c>
      <c r="K611" s="5">
        <v>4.62</v>
      </c>
      <c r="L611" s="1" t="s">
        <v>5</v>
      </c>
      <c r="M611" s="1" t="s">
        <v>38</v>
      </c>
      <c r="N611" s="1" t="s">
        <v>2</v>
      </c>
      <c r="O611" s="1" t="s">
        <v>6</v>
      </c>
      <c r="P611" s="1" t="s">
        <v>7</v>
      </c>
      <c r="Q611" s="6">
        <f>C611+2</f>
        <v>40101</v>
      </c>
    </row>
    <row r="612" spans="1:17" ht="15.75" x14ac:dyDescent="0.3">
      <c r="A612" s="1">
        <v>2361</v>
      </c>
      <c r="B612" s="2">
        <v>17061</v>
      </c>
      <c r="C612" s="3">
        <f>DATE(2012,12,31)-62</f>
        <v>41212</v>
      </c>
      <c r="D612" s="1" t="s">
        <v>0</v>
      </c>
      <c r="E612" s="2">
        <v>28</v>
      </c>
      <c r="F612" s="2">
        <v>80.53</v>
      </c>
      <c r="G612" s="2">
        <v>0.01</v>
      </c>
      <c r="H612" s="2">
        <v>0.56000000000000005</v>
      </c>
      <c r="I612" s="4">
        <v>10.01</v>
      </c>
      <c r="J612" s="5">
        <v>2.88</v>
      </c>
      <c r="K612" s="5">
        <v>0.7</v>
      </c>
      <c r="L612" s="1" t="s">
        <v>5</v>
      </c>
      <c r="M612" s="1" t="s">
        <v>38</v>
      </c>
      <c r="N612" s="1" t="s">
        <v>21</v>
      </c>
      <c r="O612" s="1" t="s">
        <v>6</v>
      </c>
      <c r="P612" s="1" t="s">
        <v>14</v>
      </c>
      <c r="Q612" s="6">
        <f>C612+2</f>
        <v>41214</v>
      </c>
    </row>
    <row r="613" spans="1:17" ht="15.75" x14ac:dyDescent="0.3">
      <c r="A613" s="1">
        <v>2367</v>
      </c>
      <c r="B613" s="2">
        <v>17152</v>
      </c>
      <c r="C613" s="3">
        <f>DATE(2012,12,31)-294</f>
        <v>40980</v>
      </c>
      <c r="D613" s="1" t="s">
        <v>17</v>
      </c>
      <c r="E613" s="2">
        <v>32</v>
      </c>
      <c r="F613" s="2">
        <v>236.45</v>
      </c>
      <c r="G613" s="2">
        <v>0.06</v>
      </c>
      <c r="H613" s="2">
        <v>0.83</v>
      </c>
      <c r="I613" s="4">
        <v>-259.02</v>
      </c>
      <c r="J613" s="5">
        <v>6.98</v>
      </c>
      <c r="K613" s="5">
        <v>9.69</v>
      </c>
      <c r="L613" s="1" t="s">
        <v>5</v>
      </c>
      <c r="M613" s="1" t="s">
        <v>38</v>
      </c>
      <c r="N613" s="1" t="s">
        <v>15</v>
      </c>
      <c r="O613" s="1" t="s">
        <v>6</v>
      </c>
      <c r="P613" s="1" t="s">
        <v>7</v>
      </c>
      <c r="Q613" s="6">
        <f>C613+1</f>
        <v>40981</v>
      </c>
    </row>
    <row r="614" spans="1:17" ht="15.75" x14ac:dyDescent="0.3">
      <c r="A614" s="1">
        <v>2373</v>
      </c>
      <c r="B614" s="2">
        <v>17187</v>
      </c>
      <c r="C614" s="3">
        <f>DATE(2012,12,31)-99</f>
        <v>41175</v>
      </c>
      <c r="D614" s="1" t="s">
        <v>17</v>
      </c>
      <c r="E614" s="2">
        <v>4</v>
      </c>
      <c r="F614" s="2">
        <v>2951.97</v>
      </c>
      <c r="G614" s="2">
        <v>0.09</v>
      </c>
      <c r="H614" s="2">
        <v>0.56000000000000005</v>
      </c>
      <c r="I614" s="4">
        <v>-1890.3272999999999</v>
      </c>
      <c r="J614" s="5">
        <v>810.98</v>
      </c>
      <c r="K614" s="5">
        <v>16.059999999999999</v>
      </c>
      <c r="L614" s="1" t="s">
        <v>1</v>
      </c>
      <c r="M614" s="1" t="s">
        <v>38</v>
      </c>
      <c r="N614" s="1" t="s">
        <v>2</v>
      </c>
      <c r="O614" s="1" t="s">
        <v>11</v>
      </c>
      <c r="P614" s="1" t="s">
        <v>4</v>
      </c>
      <c r="Q614" s="6">
        <f>C614+2</f>
        <v>41177</v>
      </c>
    </row>
    <row r="615" spans="1:17" ht="15.75" x14ac:dyDescent="0.3">
      <c r="A615" s="1">
        <v>2378</v>
      </c>
      <c r="B615" s="2">
        <v>17252</v>
      </c>
      <c r="C615" s="3">
        <f>DATE(2012,12,31)-612</f>
        <v>40662</v>
      </c>
      <c r="D615" s="1" t="s">
        <v>8</v>
      </c>
      <c r="E615" s="2">
        <v>48</v>
      </c>
      <c r="F615" s="2">
        <v>2283.2199999999998</v>
      </c>
      <c r="G615" s="2">
        <v>0.03</v>
      </c>
      <c r="H615" s="2">
        <v>0.38</v>
      </c>
      <c r="I615" s="4">
        <v>1006.72</v>
      </c>
      <c r="J615" s="5">
        <v>48.91</v>
      </c>
      <c r="K615" s="5">
        <v>5.97</v>
      </c>
      <c r="L615" s="1" t="s">
        <v>5</v>
      </c>
      <c r="M615" s="1" t="s">
        <v>38</v>
      </c>
      <c r="N615" s="1" t="s">
        <v>21</v>
      </c>
      <c r="O615" s="1" t="s">
        <v>6</v>
      </c>
      <c r="P615" s="1" t="s">
        <v>7</v>
      </c>
      <c r="Q615" s="6">
        <f>C615+1</f>
        <v>40663</v>
      </c>
    </row>
    <row r="616" spans="1:17" ht="15.75" x14ac:dyDescent="0.3">
      <c r="A616" s="1">
        <v>2379</v>
      </c>
      <c r="B616" s="2">
        <v>17252</v>
      </c>
      <c r="C616" s="3">
        <f>DATE(2012,12,31)-612</f>
        <v>40662</v>
      </c>
      <c r="D616" s="1" t="s">
        <v>8</v>
      </c>
      <c r="E616" s="2">
        <v>49</v>
      </c>
      <c r="F616" s="2">
        <v>11365.616000000002</v>
      </c>
      <c r="G616" s="2">
        <v>0.08</v>
      </c>
      <c r="H616" s="2">
        <v>0.76</v>
      </c>
      <c r="I616" s="4">
        <v>229.22</v>
      </c>
      <c r="J616" s="5">
        <v>296.18</v>
      </c>
      <c r="K616" s="5">
        <v>54.12</v>
      </c>
      <c r="L616" s="1" t="s">
        <v>1</v>
      </c>
      <c r="M616" s="1" t="s">
        <v>38</v>
      </c>
      <c r="N616" s="1" t="s">
        <v>21</v>
      </c>
      <c r="O616" s="1" t="s">
        <v>3</v>
      </c>
      <c r="P616" s="1" t="s">
        <v>19</v>
      </c>
      <c r="Q616" s="6">
        <f>C616+2</f>
        <v>40664</v>
      </c>
    </row>
    <row r="617" spans="1:17" ht="15.75" x14ac:dyDescent="0.3">
      <c r="A617" s="1">
        <v>2388</v>
      </c>
      <c r="B617" s="2">
        <v>17312</v>
      </c>
      <c r="C617" s="3">
        <f>DATE(2012,12,31)-591</f>
        <v>40683</v>
      </c>
      <c r="D617" s="1" t="s">
        <v>8</v>
      </c>
      <c r="E617" s="2">
        <v>37</v>
      </c>
      <c r="F617" s="2">
        <v>258.54000000000002</v>
      </c>
      <c r="G617" s="2">
        <v>0.05</v>
      </c>
      <c r="H617" s="2">
        <v>0.37</v>
      </c>
      <c r="I617" s="4">
        <v>-116.37</v>
      </c>
      <c r="J617" s="5">
        <v>6.68</v>
      </c>
      <c r="K617" s="5">
        <v>7.3</v>
      </c>
      <c r="L617" s="1" t="s">
        <v>5</v>
      </c>
      <c r="M617" s="1" t="s">
        <v>38</v>
      </c>
      <c r="N617" s="1" t="s">
        <v>15</v>
      </c>
      <c r="O617" s="1" t="s">
        <v>6</v>
      </c>
      <c r="P617" s="1" t="s">
        <v>7</v>
      </c>
      <c r="Q617" s="6">
        <f>C617+1</f>
        <v>40684</v>
      </c>
    </row>
    <row r="618" spans="1:17" ht="15.75" x14ac:dyDescent="0.3">
      <c r="A618" s="1">
        <v>2389</v>
      </c>
      <c r="B618" s="2">
        <v>17312</v>
      </c>
      <c r="C618" s="3">
        <f>DATE(2012,12,31)-591</f>
        <v>40683</v>
      </c>
      <c r="D618" s="1" t="s">
        <v>8</v>
      </c>
      <c r="E618" s="2">
        <v>41</v>
      </c>
      <c r="F618" s="2">
        <v>4610.2894999999999</v>
      </c>
      <c r="G618" s="2">
        <v>0</v>
      </c>
      <c r="H618" s="2">
        <v>0.6</v>
      </c>
      <c r="I618" s="4">
        <v>1432.8629999999998</v>
      </c>
      <c r="J618" s="5">
        <v>125.99</v>
      </c>
      <c r="K618" s="5">
        <v>2.5</v>
      </c>
      <c r="L618" s="1" t="s">
        <v>5</v>
      </c>
      <c r="M618" s="1" t="s">
        <v>38</v>
      </c>
      <c r="N618" s="1" t="s">
        <v>15</v>
      </c>
      <c r="O618" s="1" t="s">
        <v>11</v>
      </c>
      <c r="P618" s="1" t="s">
        <v>7</v>
      </c>
      <c r="Q618" s="6">
        <f>C618+1</f>
        <v>40684</v>
      </c>
    </row>
    <row r="619" spans="1:17" ht="15.75" x14ac:dyDescent="0.3">
      <c r="A619" s="1">
        <v>2396</v>
      </c>
      <c r="B619" s="2">
        <v>17377</v>
      </c>
      <c r="C619" s="3">
        <f>DATE(2012,12,31)-430</f>
        <v>40844</v>
      </c>
      <c r="D619" s="1" t="s">
        <v>16</v>
      </c>
      <c r="E619" s="2">
        <v>39</v>
      </c>
      <c r="F619" s="2">
        <v>110.38</v>
      </c>
      <c r="G619" s="2">
        <v>0.05</v>
      </c>
      <c r="H619" s="2">
        <v>0.57999999999999996</v>
      </c>
      <c r="I619" s="4">
        <v>-4.8600000000000003</v>
      </c>
      <c r="J619" s="5">
        <v>2.78</v>
      </c>
      <c r="K619" s="5">
        <v>1.2</v>
      </c>
      <c r="L619" s="1" t="s">
        <v>5</v>
      </c>
      <c r="M619" s="1" t="s">
        <v>38</v>
      </c>
      <c r="N619" s="1" t="s">
        <v>2</v>
      </c>
      <c r="O619" s="1" t="s">
        <v>6</v>
      </c>
      <c r="P619" s="1" t="s">
        <v>14</v>
      </c>
      <c r="Q619" s="6">
        <f>C619+2</f>
        <v>40846</v>
      </c>
    </row>
    <row r="620" spans="1:17" ht="15.75" x14ac:dyDescent="0.3">
      <c r="A620" s="1">
        <v>2427</v>
      </c>
      <c r="B620" s="2">
        <v>17634</v>
      </c>
      <c r="C620" s="3">
        <f>DATE(2012,12,31)-163</f>
        <v>41111</v>
      </c>
      <c r="D620" s="1" t="s">
        <v>17</v>
      </c>
      <c r="E620" s="2">
        <v>5</v>
      </c>
      <c r="F620" s="2">
        <v>489.07</v>
      </c>
      <c r="G620" s="2">
        <v>0.08</v>
      </c>
      <c r="H620" s="2">
        <v>0.66</v>
      </c>
      <c r="I620" s="4">
        <v>-197.88</v>
      </c>
      <c r="J620" s="5">
        <v>89.99</v>
      </c>
      <c r="K620" s="5">
        <v>42</v>
      </c>
      <c r="L620" s="1" t="s">
        <v>1</v>
      </c>
      <c r="M620" s="1" t="s">
        <v>38</v>
      </c>
      <c r="N620" s="1" t="s">
        <v>2</v>
      </c>
      <c r="O620" s="1" t="s">
        <v>3</v>
      </c>
      <c r="P620" s="1" t="s">
        <v>4</v>
      </c>
      <c r="Q620" s="6">
        <f>C620+0</f>
        <v>41111</v>
      </c>
    </row>
    <row r="621" spans="1:17" ht="15.75" x14ac:dyDescent="0.3">
      <c r="A621" s="1">
        <v>2431</v>
      </c>
      <c r="B621" s="2">
        <v>17668</v>
      </c>
      <c r="C621" s="3">
        <f>DATE(2012,12,31)-1132</f>
        <v>40142</v>
      </c>
      <c r="D621" s="1" t="s">
        <v>12</v>
      </c>
      <c r="E621" s="2">
        <v>49</v>
      </c>
      <c r="F621" s="2">
        <v>848.92</v>
      </c>
      <c r="G621" s="2">
        <v>0.04</v>
      </c>
      <c r="H621" s="2">
        <v>0.45</v>
      </c>
      <c r="I621" s="4">
        <v>296.06</v>
      </c>
      <c r="J621" s="5">
        <v>17.48</v>
      </c>
      <c r="K621" s="5">
        <v>1.99</v>
      </c>
      <c r="L621" s="1" t="s">
        <v>5</v>
      </c>
      <c r="M621" s="1" t="s">
        <v>38</v>
      </c>
      <c r="N621" s="1" t="s">
        <v>2</v>
      </c>
      <c r="O621" s="1" t="s">
        <v>11</v>
      </c>
      <c r="P621" s="1" t="s">
        <v>20</v>
      </c>
      <c r="Q621" s="6">
        <f>C621+2</f>
        <v>40144</v>
      </c>
    </row>
    <row r="622" spans="1:17" ht="15.75" x14ac:dyDescent="0.3">
      <c r="A622" s="1">
        <v>2432</v>
      </c>
      <c r="B622" s="2">
        <v>17668</v>
      </c>
      <c r="C622" s="3">
        <f>DATE(2012,12,31)-1132</f>
        <v>40142</v>
      </c>
      <c r="D622" s="1" t="s">
        <v>12</v>
      </c>
      <c r="E622" s="2">
        <v>24</v>
      </c>
      <c r="F622" s="2">
        <v>6930.97</v>
      </c>
      <c r="G622" s="2">
        <v>0.05</v>
      </c>
      <c r="H622" s="2">
        <v>0.39</v>
      </c>
      <c r="I622" s="4">
        <v>2574.12</v>
      </c>
      <c r="J622" s="5">
        <v>300.98</v>
      </c>
      <c r="K622" s="5">
        <v>13.99</v>
      </c>
      <c r="L622" s="1" t="s">
        <v>5</v>
      </c>
      <c r="M622" s="1" t="s">
        <v>38</v>
      </c>
      <c r="N622" s="1" t="s">
        <v>2</v>
      </c>
      <c r="O622" s="1" t="s">
        <v>11</v>
      </c>
      <c r="P622" s="1" t="s">
        <v>18</v>
      </c>
      <c r="Q622" s="6">
        <f>C622+1</f>
        <v>40143</v>
      </c>
    </row>
    <row r="623" spans="1:17" ht="15.75" x14ac:dyDescent="0.3">
      <c r="A623" s="1">
        <v>2433</v>
      </c>
      <c r="B623" s="2">
        <v>17668</v>
      </c>
      <c r="C623" s="3">
        <f>DATE(2012,12,31)-1132</f>
        <v>40142</v>
      </c>
      <c r="D623" s="1" t="s">
        <v>12</v>
      </c>
      <c r="E623" s="2">
        <v>13</v>
      </c>
      <c r="F623" s="2">
        <v>2219.7324999999996</v>
      </c>
      <c r="G623" s="2">
        <v>0.04</v>
      </c>
      <c r="H623" s="2">
        <v>0.59</v>
      </c>
      <c r="I623" s="4">
        <v>-69.783999999999992</v>
      </c>
      <c r="J623" s="5">
        <v>205.99</v>
      </c>
      <c r="K623" s="5">
        <v>5</v>
      </c>
      <c r="L623" s="1" t="s">
        <v>9</v>
      </c>
      <c r="M623" s="1" t="s">
        <v>38</v>
      </c>
      <c r="N623" s="1" t="s">
        <v>2</v>
      </c>
      <c r="O623" s="1" t="s">
        <v>11</v>
      </c>
      <c r="P623" s="1" t="s">
        <v>7</v>
      </c>
      <c r="Q623" s="6">
        <f>C623+1</f>
        <v>40143</v>
      </c>
    </row>
    <row r="624" spans="1:17" ht="15.75" x14ac:dyDescent="0.3">
      <c r="A624" s="1">
        <v>2443</v>
      </c>
      <c r="B624" s="2">
        <v>17735</v>
      </c>
      <c r="C624" s="3">
        <f>DATE(2012,12,31)-172</f>
        <v>41102</v>
      </c>
      <c r="D624" s="1" t="s">
        <v>16</v>
      </c>
      <c r="E624" s="2">
        <v>45</v>
      </c>
      <c r="F624" s="2">
        <v>311.64999999999998</v>
      </c>
      <c r="G624" s="2">
        <v>0.03</v>
      </c>
      <c r="H624" s="2">
        <v>0.37</v>
      </c>
      <c r="I624" s="4">
        <v>-71.254000000000005</v>
      </c>
      <c r="J624" s="5">
        <v>6.81</v>
      </c>
      <c r="K624" s="5">
        <v>5.48</v>
      </c>
      <c r="L624" s="1" t="s">
        <v>5</v>
      </c>
      <c r="M624" s="1" t="s">
        <v>38</v>
      </c>
      <c r="N624" s="1" t="s">
        <v>21</v>
      </c>
      <c r="O624" s="1" t="s">
        <v>6</v>
      </c>
      <c r="P624" s="1" t="s">
        <v>7</v>
      </c>
      <c r="Q624" s="6">
        <f>C624+5</f>
        <v>41107</v>
      </c>
    </row>
    <row r="625" spans="1:17" ht="15.75" x14ac:dyDescent="0.3">
      <c r="A625" s="1">
        <v>2444</v>
      </c>
      <c r="B625" s="2">
        <v>17735</v>
      </c>
      <c r="C625" s="3">
        <f>DATE(2012,12,31)-172</f>
        <v>41102</v>
      </c>
      <c r="D625" s="1" t="s">
        <v>16</v>
      </c>
      <c r="E625" s="2">
        <v>28</v>
      </c>
      <c r="F625" s="2">
        <v>101.19</v>
      </c>
      <c r="G625" s="2">
        <v>0.06</v>
      </c>
      <c r="H625" s="2">
        <v>0.39</v>
      </c>
      <c r="I625" s="4">
        <v>32.47</v>
      </c>
      <c r="J625" s="5">
        <v>3.78</v>
      </c>
      <c r="K625" s="5">
        <v>0.71</v>
      </c>
      <c r="L625" s="1" t="s">
        <v>5</v>
      </c>
      <c r="M625" s="1" t="s">
        <v>38</v>
      </c>
      <c r="N625" s="1" t="s">
        <v>21</v>
      </c>
      <c r="O625" s="1" t="s">
        <v>6</v>
      </c>
      <c r="P625" s="1" t="s">
        <v>14</v>
      </c>
      <c r="Q625" s="6">
        <f>C625+5</f>
        <v>41107</v>
      </c>
    </row>
    <row r="626" spans="1:17" ht="15.75" x14ac:dyDescent="0.3">
      <c r="A626" s="1">
        <v>2451</v>
      </c>
      <c r="B626" s="2">
        <v>17825</v>
      </c>
      <c r="C626" s="3">
        <f>DATE(2012,12,31)-1083</f>
        <v>40191</v>
      </c>
      <c r="D626" s="1" t="s">
        <v>8</v>
      </c>
      <c r="E626" s="2">
        <v>26</v>
      </c>
      <c r="F626" s="2">
        <v>981.9</v>
      </c>
      <c r="G626" s="2">
        <v>0.06</v>
      </c>
      <c r="H626" s="2">
        <v>0.56999999999999995</v>
      </c>
      <c r="I626" s="4">
        <v>11.38</v>
      </c>
      <c r="J626" s="5">
        <v>37.76</v>
      </c>
      <c r="K626" s="5">
        <v>12.9</v>
      </c>
      <c r="L626" s="1" t="s">
        <v>5</v>
      </c>
      <c r="M626" s="1" t="s">
        <v>38</v>
      </c>
      <c r="N626" s="1" t="s">
        <v>15</v>
      </c>
      <c r="O626" s="1" t="s">
        <v>6</v>
      </c>
      <c r="P626" s="1" t="s">
        <v>7</v>
      </c>
      <c r="Q626" s="6">
        <f>C626+3</f>
        <v>40194</v>
      </c>
    </row>
    <row r="627" spans="1:17" ht="15.75" x14ac:dyDescent="0.3">
      <c r="A627" s="1">
        <v>2469</v>
      </c>
      <c r="B627" s="2">
        <v>17956</v>
      </c>
      <c r="C627" s="3">
        <f>DATE(2012,12,31)-879</f>
        <v>40395</v>
      </c>
      <c r="D627" s="1" t="s">
        <v>0</v>
      </c>
      <c r="E627" s="2">
        <v>40</v>
      </c>
      <c r="F627" s="2">
        <v>1567.51</v>
      </c>
      <c r="G627" s="2">
        <v>0.01</v>
      </c>
      <c r="H627" s="2">
        <v>0.38</v>
      </c>
      <c r="I627" s="4">
        <v>711.74</v>
      </c>
      <c r="J627" s="5">
        <v>37.94</v>
      </c>
      <c r="K627" s="5">
        <v>5.08</v>
      </c>
      <c r="L627" s="1" t="s">
        <v>9</v>
      </c>
      <c r="M627" s="1" t="s">
        <v>38</v>
      </c>
      <c r="N627" s="1" t="s">
        <v>2</v>
      </c>
      <c r="O627" s="1" t="s">
        <v>6</v>
      </c>
      <c r="P627" s="1" t="s">
        <v>14</v>
      </c>
      <c r="Q627" s="6">
        <f>C627+3</f>
        <v>40398</v>
      </c>
    </row>
    <row r="628" spans="1:17" ht="15.75" x14ac:dyDescent="0.3">
      <c r="A628" s="1">
        <v>2470</v>
      </c>
      <c r="B628" s="2">
        <v>17956</v>
      </c>
      <c r="C628" s="3">
        <f>DATE(2012,12,31)-879</f>
        <v>40395</v>
      </c>
      <c r="D628" s="1" t="s">
        <v>0</v>
      </c>
      <c r="E628" s="2">
        <v>17</v>
      </c>
      <c r="F628" s="2">
        <v>1914.65</v>
      </c>
      <c r="G628" s="2">
        <v>0.01</v>
      </c>
      <c r="H628" s="2">
        <v>0.78</v>
      </c>
      <c r="I628" s="4">
        <v>73.45</v>
      </c>
      <c r="J628" s="5">
        <v>111.03</v>
      </c>
      <c r="K628" s="5">
        <v>8.64</v>
      </c>
      <c r="L628" s="1" t="s">
        <v>5</v>
      </c>
      <c r="M628" s="1" t="s">
        <v>38</v>
      </c>
      <c r="N628" s="1" t="s">
        <v>2</v>
      </c>
      <c r="O628" s="1" t="s">
        <v>6</v>
      </c>
      <c r="P628" s="1" t="s">
        <v>7</v>
      </c>
      <c r="Q628" s="6">
        <f>C628+1</f>
        <v>40396</v>
      </c>
    </row>
    <row r="629" spans="1:17" ht="15.75" x14ac:dyDescent="0.3">
      <c r="A629" s="1">
        <v>2476</v>
      </c>
      <c r="B629" s="2">
        <v>17986</v>
      </c>
      <c r="C629" s="3">
        <f>DATE(2012,12,31)-270</f>
        <v>41004</v>
      </c>
      <c r="D629" s="1" t="s">
        <v>8</v>
      </c>
      <c r="E629" s="2">
        <v>43</v>
      </c>
      <c r="F629" s="2">
        <v>87.31</v>
      </c>
      <c r="G629" s="2">
        <v>0.05</v>
      </c>
      <c r="H629" s="2">
        <v>0.36</v>
      </c>
      <c r="I629" s="4">
        <v>-15.087999999999999</v>
      </c>
      <c r="J629" s="5">
        <v>2.08</v>
      </c>
      <c r="K629" s="5">
        <v>1.49</v>
      </c>
      <c r="L629" s="1" t="s">
        <v>5</v>
      </c>
      <c r="M629" s="1" t="s">
        <v>38</v>
      </c>
      <c r="N629" s="1" t="s">
        <v>13</v>
      </c>
      <c r="O629" s="1" t="s">
        <v>6</v>
      </c>
      <c r="P629" s="1" t="s">
        <v>7</v>
      </c>
      <c r="Q629" s="6">
        <f>C629+2</f>
        <v>41006</v>
      </c>
    </row>
    <row r="630" spans="1:17" ht="15.75" x14ac:dyDescent="0.3">
      <c r="A630" s="1">
        <v>2486</v>
      </c>
      <c r="B630" s="2">
        <v>18112</v>
      </c>
      <c r="C630" s="3">
        <f>DATE(2012,12,31)-290</f>
        <v>40984</v>
      </c>
      <c r="D630" s="1" t="s">
        <v>8</v>
      </c>
      <c r="E630" s="2">
        <v>13</v>
      </c>
      <c r="F630" s="2">
        <v>83.31</v>
      </c>
      <c r="G630" s="2">
        <v>0.06</v>
      </c>
      <c r="H630" s="2">
        <v>0.36</v>
      </c>
      <c r="I630" s="4">
        <v>22.8</v>
      </c>
      <c r="J630" s="5">
        <v>6.45</v>
      </c>
      <c r="K630" s="5">
        <v>1.34</v>
      </c>
      <c r="L630" s="1" t="s">
        <v>5</v>
      </c>
      <c r="M630" s="1" t="s">
        <v>38</v>
      </c>
      <c r="N630" s="1" t="s">
        <v>13</v>
      </c>
      <c r="O630" s="1" t="s">
        <v>6</v>
      </c>
      <c r="P630" s="1" t="s">
        <v>14</v>
      </c>
      <c r="Q630" s="6">
        <f>C630+1</f>
        <v>40985</v>
      </c>
    </row>
    <row r="631" spans="1:17" ht="15.75" x14ac:dyDescent="0.3">
      <c r="A631" s="1">
        <v>2496</v>
      </c>
      <c r="B631" s="2">
        <v>18178</v>
      </c>
      <c r="C631" s="3">
        <f>DATE(2012,12,31)-1155</f>
        <v>40119</v>
      </c>
      <c r="D631" s="1" t="s">
        <v>16</v>
      </c>
      <c r="E631" s="2">
        <v>43</v>
      </c>
      <c r="F631" s="2">
        <v>235.09</v>
      </c>
      <c r="G631" s="2">
        <v>0.08</v>
      </c>
      <c r="H631" s="2">
        <v>0.6</v>
      </c>
      <c r="I631" s="4">
        <v>-1987.49</v>
      </c>
      <c r="J631" s="5">
        <v>4.4800000000000004</v>
      </c>
      <c r="K631" s="5">
        <v>49</v>
      </c>
      <c r="L631" s="1" t="s">
        <v>5</v>
      </c>
      <c r="M631" s="1" t="s">
        <v>38</v>
      </c>
      <c r="N631" s="1" t="s">
        <v>13</v>
      </c>
      <c r="O631" s="1" t="s">
        <v>6</v>
      </c>
      <c r="P631" s="1" t="s">
        <v>10</v>
      </c>
      <c r="Q631" s="6">
        <f>C631+0</f>
        <v>40119</v>
      </c>
    </row>
    <row r="632" spans="1:17" ht="15.75" x14ac:dyDescent="0.3">
      <c r="A632" s="1">
        <v>2497</v>
      </c>
      <c r="B632" s="2">
        <v>18178</v>
      </c>
      <c r="C632" s="3">
        <f>DATE(2012,12,31)-1155</f>
        <v>40119</v>
      </c>
      <c r="D632" s="1" t="s">
        <v>16</v>
      </c>
      <c r="E632" s="2">
        <v>10</v>
      </c>
      <c r="F632" s="2">
        <v>187.46</v>
      </c>
      <c r="G632" s="2">
        <v>0</v>
      </c>
      <c r="H632" s="2">
        <v>0.47</v>
      </c>
      <c r="I632" s="4">
        <v>49.85</v>
      </c>
      <c r="J632" s="5">
        <v>17.670000000000002</v>
      </c>
      <c r="K632" s="5">
        <v>8.99</v>
      </c>
      <c r="L632" s="1" t="s">
        <v>5</v>
      </c>
      <c r="M632" s="1" t="s">
        <v>38</v>
      </c>
      <c r="N632" s="1" t="s">
        <v>13</v>
      </c>
      <c r="O632" s="1" t="s">
        <v>3</v>
      </c>
      <c r="P632" s="1" t="s">
        <v>20</v>
      </c>
      <c r="Q632" s="6">
        <f>C632+7</f>
        <v>40126</v>
      </c>
    </row>
    <row r="633" spans="1:17" ht="15.75" x14ac:dyDescent="0.3">
      <c r="A633" s="1">
        <v>2501</v>
      </c>
      <c r="B633" s="2">
        <v>18182</v>
      </c>
      <c r="C633" s="3">
        <f>DATE(2012,12,31)-631</f>
        <v>40643</v>
      </c>
      <c r="D633" s="1" t="s">
        <v>12</v>
      </c>
      <c r="E633" s="2">
        <v>45</v>
      </c>
      <c r="F633" s="2">
        <v>4598.7299999999996</v>
      </c>
      <c r="G633" s="2">
        <v>0.04</v>
      </c>
      <c r="H633" s="2">
        <v>0.5</v>
      </c>
      <c r="I633" s="4">
        <v>1049.45</v>
      </c>
      <c r="J633" s="5">
        <v>99.99</v>
      </c>
      <c r="K633" s="5">
        <v>19.989999999999998</v>
      </c>
      <c r="L633" s="1" t="s">
        <v>5</v>
      </c>
      <c r="M633" s="1" t="s">
        <v>38</v>
      </c>
      <c r="N633" s="1" t="s">
        <v>2</v>
      </c>
      <c r="O633" s="1" t="s">
        <v>11</v>
      </c>
      <c r="P633" s="1" t="s">
        <v>7</v>
      </c>
      <c r="Q633" s="6">
        <f>C633+2</f>
        <v>40645</v>
      </c>
    </row>
    <row r="634" spans="1:17" ht="15.75" x14ac:dyDescent="0.3">
      <c r="A634" s="1">
        <v>2502</v>
      </c>
      <c r="B634" s="2">
        <v>18182</v>
      </c>
      <c r="C634" s="3">
        <f>DATE(2012,12,31)-631</f>
        <v>40643</v>
      </c>
      <c r="D634" s="1" t="s">
        <v>12</v>
      </c>
      <c r="E634" s="2">
        <v>45</v>
      </c>
      <c r="F634" s="2">
        <v>2673.08</v>
      </c>
      <c r="G634" s="2">
        <v>0.01</v>
      </c>
      <c r="H634" s="2">
        <v>0.72</v>
      </c>
      <c r="I634" s="4">
        <v>-1363.12</v>
      </c>
      <c r="J634" s="5">
        <v>55.5</v>
      </c>
      <c r="K634" s="5">
        <v>52.2</v>
      </c>
      <c r="L634" s="1" t="s">
        <v>5</v>
      </c>
      <c r="M634" s="1" t="s">
        <v>38</v>
      </c>
      <c r="N634" s="1" t="s">
        <v>2</v>
      </c>
      <c r="O634" s="1" t="s">
        <v>3</v>
      </c>
      <c r="P634" s="1" t="s">
        <v>18</v>
      </c>
      <c r="Q634" s="6">
        <f>C634+1</f>
        <v>40644</v>
      </c>
    </row>
    <row r="635" spans="1:17" ht="15.75" x14ac:dyDescent="0.3">
      <c r="A635" s="1">
        <v>2503</v>
      </c>
      <c r="B635" s="2">
        <v>18182</v>
      </c>
      <c r="C635" s="3">
        <f>DATE(2012,12,31)-631</f>
        <v>40643</v>
      </c>
      <c r="D635" s="1" t="s">
        <v>12</v>
      </c>
      <c r="E635" s="2">
        <v>12</v>
      </c>
      <c r="F635" s="2">
        <v>396.69</v>
      </c>
      <c r="G635" s="2">
        <v>0.09</v>
      </c>
      <c r="H635" s="2">
        <v>0.61</v>
      </c>
      <c r="I635" s="4">
        <v>-18.45</v>
      </c>
      <c r="J635" s="5">
        <v>33.29</v>
      </c>
      <c r="K635" s="5">
        <v>8.74</v>
      </c>
      <c r="L635" s="1" t="s">
        <v>9</v>
      </c>
      <c r="M635" s="1" t="s">
        <v>38</v>
      </c>
      <c r="N635" s="1" t="s">
        <v>2</v>
      </c>
      <c r="O635" s="1" t="s">
        <v>6</v>
      </c>
      <c r="P635" s="1" t="s">
        <v>7</v>
      </c>
      <c r="Q635" s="6">
        <f>C635+2</f>
        <v>40645</v>
      </c>
    </row>
    <row r="636" spans="1:17" ht="15.75" x14ac:dyDescent="0.3">
      <c r="A636" s="1">
        <v>2538</v>
      </c>
      <c r="B636" s="2">
        <v>18405</v>
      </c>
      <c r="C636" s="3">
        <f>DATE(2012,12,31)-1454</f>
        <v>39820</v>
      </c>
      <c r="D636" s="1" t="s">
        <v>12</v>
      </c>
      <c r="E636" s="2">
        <v>30</v>
      </c>
      <c r="F636" s="2">
        <v>610.65</v>
      </c>
      <c r="G636" s="2">
        <v>0.09</v>
      </c>
      <c r="H636" s="2">
        <v>0.37</v>
      </c>
      <c r="I636" s="4">
        <v>60.273499999999999</v>
      </c>
      <c r="J636" s="5">
        <v>20.98</v>
      </c>
      <c r="K636" s="5">
        <v>8.83</v>
      </c>
      <c r="L636" s="1" t="s">
        <v>9</v>
      </c>
      <c r="M636" s="1" t="s">
        <v>38</v>
      </c>
      <c r="N636" s="1" t="s">
        <v>21</v>
      </c>
      <c r="O636" s="1" t="s">
        <v>6</v>
      </c>
      <c r="P636" s="1" t="s">
        <v>7</v>
      </c>
      <c r="Q636" s="6">
        <f>C636+2</f>
        <v>39822</v>
      </c>
    </row>
    <row r="637" spans="1:17" ht="15.75" x14ac:dyDescent="0.3">
      <c r="A637" s="1">
        <v>2539</v>
      </c>
      <c r="B637" s="2">
        <v>18405</v>
      </c>
      <c r="C637" s="3">
        <f>DATE(2012,12,31)-1454</f>
        <v>39820</v>
      </c>
      <c r="D637" s="1" t="s">
        <v>12</v>
      </c>
      <c r="E637" s="2">
        <v>2</v>
      </c>
      <c r="F637" s="2">
        <v>158.04</v>
      </c>
      <c r="G637" s="2">
        <v>0.03</v>
      </c>
      <c r="H637" s="2">
        <v>0.65</v>
      </c>
      <c r="I637" s="4">
        <v>-263.08999999999997</v>
      </c>
      <c r="J637" s="5">
        <v>73.98</v>
      </c>
      <c r="K637" s="5">
        <v>14.52</v>
      </c>
      <c r="L637" s="1" t="s">
        <v>5</v>
      </c>
      <c r="M637" s="1" t="s">
        <v>38</v>
      </c>
      <c r="N637" s="1" t="s">
        <v>21</v>
      </c>
      <c r="O637" s="1" t="s">
        <v>11</v>
      </c>
      <c r="P637" s="1" t="s">
        <v>7</v>
      </c>
      <c r="Q637" s="6">
        <f>C637+3</f>
        <v>39823</v>
      </c>
    </row>
    <row r="638" spans="1:17" ht="15.75" x14ac:dyDescent="0.3">
      <c r="A638" s="1">
        <v>2565</v>
      </c>
      <c r="B638" s="2">
        <v>18531</v>
      </c>
      <c r="C638" s="3">
        <f>DATE(2012,12,31)-63</f>
        <v>41211</v>
      </c>
      <c r="D638" s="1" t="s">
        <v>0</v>
      </c>
      <c r="E638" s="2">
        <v>50</v>
      </c>
      <c r="F638" s="2">
        <v>1298.81</v>
      </c>
      <c r="G638" s="2">
        <v>0.04</v>
      </c>
      <c r="H638" s="2">
        <v>0.6</v>
      </c>
      <c r="I638" s="4">
        <v>-250.55</v>
      </c>
      <c r="J638" s="5">
        <v>25.98</v>
      </c>
      <c r="K638" s="5">
        <v>14.36</v>
      </c>
      <c r="L638" s="1" t="s">
        <v>1</v>
      </c>
      <c r="M638" s="1" t="s">
        <v>38</v>
      </c>
      <c r="N638" s="1" t="s">
        <v>13</v>
      </c>
      <c r="O638" s="1" t="s">
        <v>3</v>
      </c>
      <c r="P638" s="1" t="s">
        <v>4</v>
      </c>
      <c r="Q638" s="6">
        <f>C638+2</f>
        <v>41213</v>
      </c>
    </row>
    <row r="639" spans="1:17" ht="15.75" x14ac:dyDescent="0.3">
      <c r="A639" s="1">
        <v>2568</v>
      </c>
      <c r="B639" s="2">
        <v>18533</v>
      </c>
      <c r="C639" s="3">
        <f>DATE(2012,12,31)-1151</f>
        <v>40123</v>
      </c>
      <c r="D639" s="1" t="s">
        <v>8</v>
      </c>
      <c r="E639" s="2">
        <v>27</v>
      </c>
      <c r="F639" s="2">
        <v>442.57</v>
      </c>
      <c r="G639" s="2">
        <v>0.01</v>
      </c>
      <c r="H639" s="2">
        <v>0.56999999999999995</v>
      </c>
      <c r="I639" s="4">
        <v>-60.73</v>
      </c>
      <c r="J639" s="5">
        <v>15.31</v>
      </c>
      <c r="K639" s="5">
        <v>8.7799999999999994</v>
      </c>
      <c r="L639" s="1" t="s">
        <v>5</v>
      </c>
      <c r="M639" s="1" t="s">
        <v>38</v>
      </c>
      <c r="N639" s="1" t="s">
        <v>15</v>
      </c>
      <c r="O639" s="1" t="s">
        <v>6</v>
      </c>
      <c r="P639" s="1" t="s">
        <v>7</v>
      </c>
      <c r="Q639" s="6">
        <f>C639+1</f>
        <v>40124</v>
      </c>
    </row>
    <row r="640" spans="1:17" ht="15.75" x14ac:dyDescent="0.3">
      <c r="A640" s="1">
        <v>2569</v>
      </c>
      <c r="B640" s="2">
        <v>18533</v>
      </c>
      <c r="C640" s="3">
        <f>DATE(2012,12,31)-1151</f>
        <v>40123</v>
      </c>
      <c r="D640" s="1" t="s">
        <v>8</v>
      </c>
      <c r="E640" s="2">
        <v>5</v>
      </c>
      <c r="F640" s="2">
        <v>53.736999999999995</v>
      </c>
      <c r="G640" s="2">
        <v>0.05</v>
      </c>
      <c r="H640" s="2">
        <v>0.6</v>
      </c>
      <c r="I640" s="4">
        <v>-28.434999999999999</v>
      </c>
      <c r="J640" s="5">
        <v>7.99</v>
      </c>
      <c r="K640" s="5">
        <v>5.03</v>
      </c>
      <c r="L640" s="1" t="s">
        <v>9</v>
      </c>
      <c r="M640" s="1" t="s">
        <v>38</v>
      </c>
      <c r="N640" s="1" t="s">
        <v>15</v>
      </c>
      <c r="O640" s="1" t="s">
        <v>11</v>
      </c>
      <c r="P640" s="1" t="s">
        <v>18</v>
      </c>
      <c r="Q640" s="6">
        <f>C640+2</f>
        <v>40125</v>
      </c>
    </row>
    <row r="641" spans="1:17" ht="15.75" x14ac:dyDescent="0.3">
      <c r="A641" s="1">
        <v>2584</v>
      </c>
      <c r="B641" s="2">
        <v>18661</v>
      </c>
      <c r="C641" s="3">
        <f>DATE(2012,12,31)-114</f>
        <v>41160</v>
      </c>
      <c r="D641" s="1" t="s">
        <v>16</v>
      </c>
      <c r="E641" s="2">
        <v>12</v>
      </c>
      <c r="F641" s="2">
        <v>1207.08</v>
      </c>
      <c r="G641" s="2">
        <v>0.05</v>
      </c>
      <c r="H641" s="2">
        <v>0.57999999999999996</v>
      </c>
      <c r="I641" s="4">
        <v>-351.3</v>
      </c>
      <c r="J641" s="5">
        <v>95.98</v>
      </c>
      <c r="K641" s="5">
        <v>58.2</v>
      </c>
      <c r="L641" s="1" t="s">
        <v>1</v>
      </c>
      <c r="M641" s="1" t="s">
        <v>38</v>
      </c>
      <c r="N641" s="1" t="s">
        <v>2</v>
      </c>
      <c r="O641" s="1" t="s">
        <v>3</v>
      </c>
      <c r="P641" s="1" t="s">
        <v>4</v>
      </c>
      <c r="Q641" s="6">
        <f>C641+4</f>
        <v>41164</v>
      </c>
    </row>
    <row r="642" spans="1:17" ht="15.75" x14ac:dyDescent="0.3">
      <c r="A642" s="1">
        <v>2585</v>
      </c>
      <c r="B642" s="2">
        <v>18661</v>
      </c>
      <c r="C642" s="3">
        <f>DATE(2012,12,31)-114</f>
        <v>41160</v>
      </c>
      <c r="D642" s="1" t="s">
        <v>16</v>
      </c>
      <c r="E642" s="2">
        <v>11</v>
      </c>
      <c r="F642" s="2">
        <v>2618.1120000000001</v>
      </c>
      <c r="G642" s="2">
        <v>0.04</v>
      </c>
      <c r="H642" s="2">
        <v>0.78</v>
      </c>
      <c r="I642" s="4">
        <v>-139.26600000000002</v>
      </c>
      <c r="J642" s="5">
        <v>286.85000000000002</v>
      </c>
      <c r="K642" s="5">
        <v>61.76</v>
      </c>
      <c r="L642" s="1" t="s">
        <v>1</v>
      </c>
      <c r="M642" s="1" t="s">
        <v>38</v>
      </c>
      <c r="N642" s="1" t="s">
        <v>2</v>
      </c>
      <c r="O642" s="1" t="s">
        <v>3</v>
      </c>
      <c r="P642" s="1" t="s">
        <v>19</v>
      </c>
      <c r="Q642" s="6">
        <f>C642+2</f>
        <v>41162</v>
      </c>
    </row>
    <row r="643" spans="1:17" ht="15.75" x14ac:dyDescent="0.3">
      <c r="A643" s="1">
        <v>2591</v>
      </c>
      <c r="B643" s="2">
        <v>18723</v>
      </c>
      <c r="C643" s="3">
        <f>DATE(2012,12,31)-1237</f>
        <v>40037</v>
      </c>
      <c r="D643" s="1" t="s">
        <v>12</v>
      </c>
      <c r="E643" s="2">
        <v>1</v>
      </c>
      <c r="F643" s="2">
        <v>52.096499999999999</v>
      </c>
      <c r="G643" s="2">
        <v>0</v>
      </c>
      <c r="H643" s="2">
        <v>0.83</v>
      </c>
      <c r="I643" s="4">
        <v>-232.80399999999997</v>
      </c>
      <c r="J643" s="5">
        <v>55.99</v>
      </c>
      <c r="K643" s="5">
        <v>2.5</v>
      </c>
      <c r="L643" s="1" t="s">
        <v>5</v>
      </c>
      <c r="M643" s="1" t="s">
        <v>38</v>
      </c>
      <c r="N643" s="1" t="s">
        <v>21</v>
      </c>
      <c r="O643" s="1" t="s">
        <v>11</v>
      </c>
      <c r="P643" s="1" t="s">
        <v>20</v>
      </c>
      <c r="Q643" s="6">
        <f>C643+2</f>
        <v>40039</v>
      </c>
    </row>
    <row r="644" spans="1:17" ht="15.75" x14ac:dyDescent="0.3">
      <c r="A644" s="1">
        <v>2592</v>
      </c>
      <c r="B644" s="2">
        <v>18753</v>
      </c>
      <c r="C644" s="3">
        <f>DATE(2012,12,31)-1249</f>
        <v>40025</v>
      </c>
      <c r="D644" s="1" t="s">
        <v>12</v>
      </c>
      <c r="E644" s="2">
        <v>31</v>
      </c>
      <c r="F644" s="2">
        <v>3945.95</v>
      </c>
      <c r="G644" s="2">
        <v>0.03</v>
      </c>
      <c r="H644" s="2"/>
      <c r="I644" s="4">
        <v>1031.32</v>
      </c>
      <c r="J644" s="5">
        <v>128.24</v>
      </c>
      <c r="K644" s="5">
        <v>12.65</v>
      </c>
      <c r="L644" s="1" t="s">
        <v>5</v>
      </c>
      <c r="M644" s="1" t="s">
        <v>38</v>
      </c>
      <c r="N644" s="1" t="s">
        <v>2</v>
      </c>
      <c r="O644" s="1" t="s">
        <v>3</v>
      </c>
      <c r="P644" s="1" t="s">
        <v>18</v>
      </c>
      <c r="Q644" s="6">
        <f>C644+2</f>
        <v>40027</v>
      </c>
    </row>
    <row r="645" spans="1:17" ht="15.75" x14ac:dyDescent="0.3">
      <c r="A645" s="1">
        <v>2593</v>
      </c>
      <c r="B645" s="2">
        <v>18753</v>
      </c>
      <c r="C645" s="3">
        <f>DATE(2012,12,31)-1249</f>
        <v>40025</v>
      </c>
      <c r="D645" s="1" t="s">
        <v>12</v>
      </c>
      <c r="E645" s="2">
        <v>33</v>
      </c>
      <c r="F645" s="2">
        <v>5394.4</v>
      </c>
      <c r="G645" s="2">
        <v>0.01</v>
      </c>
      <c r="H645" s="2">
        <v>0.62</v>
      </c>
      <c r="I645" s="4">
        <v>788.79</v>
      </c>
      <c r="J645" s="5">
        <v>160.97999999999999</v>
      </c>
      <c r="K645" s="5">
        <v>30</v>
      </c>
      <c r="L645" s="1" t="s">
        <v>1</v>
      </c>
      <c r="M645" s="1" t="s">
        <v>38</v>
      </c>
      <c r="N645" s="1" t="s">
        <v>2</v>
      </c>
      <c r="O645" s="1" t="s">
        <v>3</v>
      </c>
      <c r="P645" s="1" t="s">
        <v>4</v>
      </c>
      <c r="Q645" s="6">
        <f>C645+2</f>
        <v>40027</v>
      </c>
    </row>
    <row r="646" spans="1:17" ht="15.75" x14ac:dyDescent="0.3">
      <c r="A646" s="1">
        <v>2653</v>
      </c>
      <c r="B646" s="2">
        <v>19204</v>
      </c>
      <c r="C646" s="3">
        <f>DATE(2012,12,31)-1200</f>
        <v>40074</v>
      </c>
      <c r="D646" s="1" t="s">
        <v>12</v>
      </c>
      <c r="E646" s="2">
        <v>27</v>
      </c>
      <c r="F646" s="2">
        <v>233.92</v>
      </c>
      <c r="G646" s="2">
        <v>0.1</v>
      </c>
      <c r="H646" s="2">
        <v>0.43</v>
      </c>
      <c r="I646" s="4">
        <v>-80.75</v>
      </c>
      <c r="J646" s="5">
        <v>8.75</v>
      </c>
      <c r="K646" s="5">
        <v>8.5399999999999991</v>
      </c>
      <c r="L646" s="1" t="s">
        <v>5</v>
      </c>
      <c r="M646" s="1" t="s">
        <v>38</v>
      </c>
      <c r="N646" s="1" t="s">
        <v>2</v>
      </c>
      <c r="O646" s="1" t="s">
        <v>3</v>
      </c>
      <c r="P646" s="1" t="s">
        <v>20</v>
      </c>
      <c r="Q646" s="6">
        <f>C646+1</f>
        <v>40075</v>
      </c>
    </row>
    <row r="647" spans="1:17" ht="15.75" x14ac:dyDescent="0.3">
      <c r="A647" s="1">
        <v>2654</v>
      </c>
      <c r="B647" s="2">
        <v>19204</v>
      </c>
      <c r="C647" s="3">
        <f>DATE(2012,12,31)-1200</f>
        <v>40074</v>
      </c>
      <c r="D647" s="1" t="s">
        <v>12</v>
      </c>
      <c r="E647" s="2">
        <v>28</v>
      </c>
      <c r="F647" s="2">
        <v>1642.05</v>
      </c>
      <c r="G647" s="2">
        <v>0.03</v>
      </c>
      <c r="H647" s="2">
        <v>0.36</v>
      </c>
      <c r="I647" s="4">
        <v>829.73</v>
      </c>
      <c r="J647" s="5">
        <v>55.98</v>
      </c>
      <c r="K647" s="5">
        <v>4.8600000000000003</v>
      </c>
      <c r="L647" s="1" t="s">
        <v>5</v>
      </c>
      <c r="M647" s="1" t="s">
        <v>38</v>
      </c>
      <c r="N647" s="1" t="s">
        <v>2</v>
      </c>
      <c r="O647" s="1" t="s">
        <v>6</v>
      </c>
      <c r="P647" s="1" t="s">
        <v>7</v>
      </c>
      <c r="Q647" s="6">
        <f>C647+2</f>
        <v>40076</v>
      </c>
    </row>
    <row r="648" spans="1:17" ht="15.75" x14ac:dyDescent="0.3">
      <c r="A648" s="1">
        <v>2680</v>
      </c>
      <c r="B648" s="2">
        <v>19394</v>
      </c>
      <c r="C648" s="3">
        <f>DATE(2012,12,31)-6</f>
        <v>41268</v>
      </c>
      <c r="D648" s="1" t="s">
        <v>12</v>
      </c>
      <c r="E648" s="2">
        <v>16</v>
      </c>
      <c r="F648" s="2">
        <v>279.327</v>
      </c>
      <c r="G648" s="2">
        <v>0.05</v>
      </c>
      <c r="H648" s="2">
        <v>0.37</v>
      </c>
      <c r="I648" s="4">
        <v>75.212999999999994</v>
      </c>
      <c r="J648" s="5">
        <v>20.99</v>
      </c>
      <c r="K648" s="5">
        <v>0.99</v>
      </c>
      <c r="L648" s="1" t="s">
        <v>5</v>
      </c>
      <c r="M648" s="1" t="s">
        <v>38</v>
      </c>
      <c r="N648" s="1" t="s">
        <v>2</v>
      </c>
      <c r="O648" s="1" t="s">
        <v>11</v>
      </c>
      <c r="P648" s="1" t="s">
        <v>14</v>
      </c>
      <c r="Q648" s="6">
        <f>C648+1</f>
        <v>41269</v>
      </c>
    </row>
    <row r="649" spans="1:17" ht="15.75" x14ac:dyDescent="0.3">
      <c r="A649" s="1">
        <v>2681</v>
      </c>
      <c r="B649" s="2">
        <v>19394</v>
      </c>
      <c r="C649" s="3">
        <f>DATE(2012,12,31)-6</f>
        <v>41268</v>
      </c>
      <c r="D649" s="1" t="s">
        <v>12</v>
      </c>
      <c r="E649" s="2">
        <v>5</v>
      </c>
      <c r="F649" s="2">
        <v>539.20600000000002</v>
      </c>
      <c r="G649" s="2">
        <v>0.05</v>
      </c>
      <c r="H649" s="2">
        <v>0.59</v>
      </c>
      <c r="I649" s="4">
        <v>-452.38599999999997</v>
      </c>
      <c r="J649" s="5">
        <v>125.99</v>
      </c>
      <c r="K649" s="5">
        <v>8.8000000000000007</v>
      </c>
      <c r="L649" s="1" t="s">
        <v>5</v>
      </c>
      <c r="M649" s="1" t="s">
        <v>38</v>
      </c>
      <c r="N649" s="1" t="s">
        <v>2</v>
      </c>
      <c r="O649" s="1" t="s">
        <v>11</v>
      </c>
      <c r="P649" s="1" t="s">
        <v>7</v>
      </c>
      <c r="Q649" s="6">
        <f>C649+3</f>
        <v>41271</v>
      </c>
    </row>
    <row r="650" spans="1:17" ht="15.75" x14ac:dyDescent="0.3">
      <c r="A650" s="1">
        <v>2724</v>
      </c>
      <c r="B650" s="2">
        <v>19653</v>
      </c>
      <c r="C650" s="3">
        <f>DATE(2012,12,31)-111</f>
        <v>41163</v>
      </c>
      <c r="D650" s="1" t="s">
        <v>8</v>
      </c>
      <c r="E650" s="2">
        <v>34</v>
      </c>
      <c r="F650" s="2">
        <v>125.46</v>
      </c>
      <c r="G650" s="2">
        <v>7.0000000000000007E-2</v>
      </c>
      <c r="H650" s="2">
        <v>0.37</v>
      </c>
      <c r="I650" s="4">
        <v>-129.62799999999999</v>
      </c>
      <c r="J650" s="5">
        <v>3.58</v>
      </c>
      <c r="K650" s="5">
        <v>5.47</v>
      </c>
      <c r="L650" s="1" t="s">
        <v>5</v>
      </c>
      <c r="M650" s="1" t="s">
        <v>38</v>
      </c>
      <c r="N650" s="1" t="s">
        <v>15</v>
      </c>
      <c r="O650" s="1" t="s">
        <v>6</v>
      </c>
      <c r="P650" s="1" t="s">
        <v>7</v>
      </c>
      <c r="Q650" s="6">
        <f>C650+0</f>
        <v>41163</v>
      </c>
    </row>
    <row r="651" spans="1:17" ht="15.75" x14ac:dyDescent="0.3">
      <c r="A651" s="1">
        <v>2729</v>
      </c>
      <c r="B651" s="2">
        <v>19687</v>
      </c>
      <c r="C651" s="3">
        <f>DATE(2012,12,31)-871</f>
        <v>40403</v>
      </c>
      <c r="D651" s="1" t="s">
        <v>12</v>
      </c>
      <c r="E651" s="2">
        <v>33</v>
      </c>
      <c r="F651" s="2">
        <v>47.99</v>
      </c>
      <c r="G651" s="2">
        <v>0.06</v>
      </c>
      <c r="H651" s="2">
        <v>0.37</v>
      </c>
      <c r="I651" s="4">
        <v>3.86</v>
      </c>
      <c r="J651" s="5">
        <v>1.48</v>
      </c>
      <c r="K651" s="5">
        <v>0.7</v>
      </c>
      <c r="L651" s="1" t="s">
        <v>5</v>
      </c>
      <c r="M651" s="1" t="s">
        <v>38</v>
      </c>
      <c r="N651" s="1" t="s">
        <v>21</v>
      </c>
      <c r="O651" s="1" t="s">
        <v>6</v>
      </c>
      <c r="P651" s="1" t="s">
        <v>14</v>
      </c>
      <c r="Q651" s="6">
        <f>C651+1</f>
        <v>40404</v>
      </c>
    </row>
    <row r="652" spans="1:17" ht="15.75" x14ac:dyDescent="0.3">
      <c r="A652" s="1">
        <v>2730</v>
      </c>
      <c r="B652" s="2">
        <v>19687</v>
      </c>
      <c r="C652" s="3">
        <f>DATE(2012,12,31)-871</f>
        <v>40403</v>
      </c>
      <c r="D652" s="1" t="s">
        <v>12</v>
      </c>
      <c r="E652" s="2">
        <v>23</v>
      </c>
      <c r="F652" s="2">
        <v>829.61699999999996</v>
      </c>
      <c r="G652" s="2">
        <v>0.1</v>
      </c>
      <c r="H652" s="2">
        <v>0.56999999999999995</v>
      </c>
      <c r="I652" s="4">
        <v>25.533000000000001</v>
      </c>
      <c r="J652" s="5">
        <v>45.99</v>
      </c>
      <c r="K652" s="5">
        <v>4.99</v>
      </c>
      <c r="L652" s="1" t="s">
        <v>5</v>
      </c>
      <c r="M652" s="1" t="s">
        <v>38</v>
      </c>
      <c r="N652" s="1" t="s">
        <v>21</v>
      </c>
      <c r="O652" s="1" t="s">
        <v>11</v>
      </c>
      <c r="P652" s="1" t="s">
        <v>7</v>
      </c>
      <c r="Q652" s="6">
        <f>C652+2</f>
        <v>40405</v>
      </c>
    </row>
    <row r="653" spans="1:17" ht="15.75" x14ac:dyDescent="0.3">
      <c r="A653" s="1">
        <v>2731</v>
      </c>
      <c r="B653" s="2">
        <v>19716</v>
      </c>
      <c r="C653" s="3">
        <f>DATE(2012,12,31)-1189</f>
        <v>40085</v>
      </c>
      <c r="D653" s="1" t="s">
        <v>16</v>
      </c>
      <c r="E653" s="2">
        <v>5</v>
      </c>
      <c r="F653" s="2">
        <v>616.10550000000001</v>
      </c>
      <c r="G653" s="2">
        <v>0.03</v>
      </c>
      <c r="H653" s="2">
        <v>0.59</v>
      </c>
      <c r="I653" s="4">
        <v>-458.74400000000003</v>
      </c>
      <c r="J653" s="5">
        <v>140.99</v>
      </c>
      <c r="K653" s="5">
        <v>4.2</v>
      </c>
      <c r="L653" s="1" t="s">
        <v>5</v>
      </c>
      <c r="M653" s="1" t="s">
        <v>38</v>
      </c>
      <c r="N653" s="1" t="s">
        <v>15</v>
      </c>
      <c r="O653" s="1" t="s">
        <v>11</v>
      </c>
      <c r="P653" s="1" t="s">
        <v>7</v>
      </c>
      <c r="Q653" s="6">
        <f>C653+7</f>
        <v>40092</v>
      </c>
    </row>
    <row r="654" spans="1:17" ht="15.75" x14ac:dyDescent="0.3">
      <c r="A654" s="1">
        <v>2742</v>
      </c>
      <c r="B654" s="2">
        <v>19782</v>
      </c>
      <c r="C654" s="3">
        <f>DATE(2012,12,31)-74</f>
        <v>41200</v>
      </c>
      <c r="D654" s="1" t="s">
        <v>16</v>
      </c>
      <c r="E654" s="2">
        <v>18</v>
      </c>
      <c r="F654" s="2">
        <v>33.21</v>
      </c>
      <c r="G654" s="2">
        <v>0.06</v>
      </c>
      <c r="H654" s="2">
        <v>0.52</v>
      </c>
      <c r="I654" s="4">
        <v>-0.85</v>
      </c>
      <c r="J654" s="5">
        <v>1.81</v>
      </c>
      <c r="K654" s="5">
        <v>0.75</v>
      </c>
      <c r="L654" s="1" t="s">
        <v>5</v>
      </c>
      <c r="M654" s="1" t="s">
        <v>38</v>
      </c>
      <c r="N654" s="1" t="s">
        <v>21</v>
      </c>
      <c r="O654" s="1" t="s">
        <v>6</v>
      </c>
      <c r="P654" s="1" t="s">
        <v>14</v>
      </c>
      <c r="Q654" s="6">
        <f>C654+4</f>
        <v>41204</v>
      </c>
    </row>
    <row r="655" spans="1:17" ht="15.75" x14ac:dyDescent="0.3">
      <c r="A655" s="1">
        <v>2792</v>
      </c>
      <c r="B655" s="2">
        <v>20134</v>
      </c>
      <c r="C655" s="3">
        <f>DATE(2012,12,31)-660</f>
        <v>40614</v>
      </c>
      <c r="D655" s="1" t="s">
        <v>16</v>
      </c>
      <c r="E655" s="2">
        <v>26</v>
      </c>
      <c r="F655" s="2">
        <v>583.55999999999995</v>
      </c>
      <c r="G655" s="2">
        <v>0.02</v>
      </c>
      <c r="H655" s="2">
        <v>0.78</v>
      </c>
      <c r="I655" s="4">
        <v>-94.59</v>
      </c>
      <c r="J655" s="5">
        <v>20.97</v>
      </c>
      <c r="K655" s="5">
        <v>6.5</v>
      </c>
      <c r="L655" s="1" t="s">
        <v>5</v>
      </c>
      <c r="M655" s="1" t="s">
        <v>38</v>
      </c>
      <c r="N655" s="1" t="s">
        <v>2</v>
      </c>
      <c r="O655" s="1" t="s">
        <v>11</v>
      </c>
      <c r="P655" s="1" t="s">
        <v>7</v>
      </c>
      <c r="Q655" s="6">
        <f>C655+4</f>
        <v>40618</v>
      </c>
    </row>
    <row r="656" spans="1:17" ht="15.75" x14ac:dyDescent="0.3">
      <c r="A656" s="1">
        <v>2793</v>
      </c>
      <c r="B656" s="2">
        <v>20134</v>
      </c>
      <c r="C656" s="3">
        <f>DATE(2012,12,31)-660</f>
        <v>40614</v>
      </c>
      <c r="D656" s="1" t="s">
        <v>16</v>
      </c>
      <c r="E656" s="2">
        <v>47</v>
      </c>
      <c r="F656" s="2">
        <v>281.47000000000003</v>
      </c>
      <c r="G656" s="2">
        <v>0.1</v>
      </c>
      <c r="H656" s="2">
        <v>0.37</v>
      </c>
      <c r="I656" s="4">
        <v>-190.57</v>
      </c>
      <c r="J656" s="5">
        <v>6.48</v>
      </c>
      <c r="K656" s="5">
        <v>7.37</v>
      </c>
      <c r="L656" s="1" t="s">
        <v>5</v>
      </c>
      <c r="M656" s="1" t="s">
        <v>38</v>
      </c>
      <c r="N656" s="1" t="s">
        <v>2</v>
      </c>
      <c r="O656" s="1" t="s">
        <v>6</v>
      </c>
      <c r="P656" s="1" t="s">
        <v>7</v>
      </c>
      <c r="Q656" s="6">
        <f>C656+7</f>
        <v>40621</v>
      </c>
    </row>
    <row r="657" spans="1:17" ht="15.75" x14ac:dyDescent="0.3">
      <c r="A657" s="1">
        <v>2806</v>
      </c>
      <c r="B657" s="2">
        <v>20259</v>
      </c>
      <c r="C657" s="3">
        <f>DATE(2012,12,31)-587</f>
        <v>40687</v>
      </c>
      <c r="D657" s="1" t="s">
        <v>0</v>
      </c>
      <c r="E657" s="2">
        <v>42</v>
      </c>
      <c r="F657" s="2">
        <v>539.05999999999995</v>
      </c>
      <c r="G657" s="2">
        <v>0.05</v>
      </c>
      <c r="H657" s="2">
        <v>0.82</v>
      </c>
      <c r="I657" s="4">
        <v>-123.07</v>
      </c>
      <c r="J657" s="5">
        <v>12.88</v>
      </c>
      <c r="K657" s="5">
        <v>4.59</v>
      </c>
      <c r="L657" s="1" t="s">
        <v>5</v>
      </c>
      <c r="M657" s="1" t="s">
        <v>38</v>
      </c>
      <c r="N657" s="1" t="s">
        <v>2</v>
      </c>
      <c r="O657" s="1" t="s">
        <v>6</v>
      </c>
      <c r="P657" s="1" t="s">
        <v>14</v>
      </c>
      <c r="Q657" s="6">
        <f>C657+1</f>
        <v>40688</v>
      </c>
    </row>
    <row r="658" spans="1:17" ht="15.75" x14ac:dyDescent="0.3">
      <c r="A658" s="1">
        <v>2807</v>
      </c>
      <c r="B658" s="2">
        <v>20261</v>
      </c>
      <c r="C658" s="3">
        <f>DATE(2012,12,31)-1321</f>
        <v>39953</v>
      </c>
      <c r="D658" s="1" t="s">
        <v>12</v>
      </c>
      <c r="E658" s="2">
        <v>25</v>
      </c>
      <c r="F658" s="2">
        <v>751.52</v>
      </c>
      <c r="G658" s="2">
        <v>0.09</v>
      </c>
      <c r="H658" s="2">
        <v>0.37</v>
      </c>
      <c r="I658" s="4">
        <v>67.107500000000002</v>
      </c>
      <c r="J658" s="5">
        <v>31.74</v>
      </c>
      <c r="K658" s="5">
        <v>12.62</v>
      </c>
      <c r="L658" s="1" t="s">
        <v>9</v>
      </c>
      <c r="M658" s="1" t="s">
        <v>38</v>
      </c>
      <c r="N658" s="1" t="s">
        <v>13</v>
      </c>
      <c r="O658" s="1" t="s">
        <v>6</v>
      </c>
      <c r="P658" s="1" t="s">
        <v>7</v>
      </c>
      <c r="Q658" s="6">
        <f>C658+0</f>
        <v>39953</v>
      </c>
    </row>
    <row r="659" spans="1:17" ht="15.75" x14ac:dyDescent="0.3">
      <c r="A659" s="1">
        <v>2808</v>
      </c>
      <c r="B659" s="2">
        <v>20261</v>
      </c>
      <c r="C659" s="3">
        <f>DATE(2012,12,31)-1321</f>
        <v>39953</v>
      </c>
      <c r="D659" s="1" t="s">
        <v>12</v>
      </c>
      <c r="E659" s="2">
        <v>36</v>
      </c>
      <c r="F659" s="2">
        <v>220.48</v>
      </c>
      <c r="G659" s="2">
        <v>0.04</v>
      </c>
      <c r="H659" s="2">
        <v>0.39</v>
      </c>
      <c r="I659" s="4">
        <v>81.91</v>
      </c>
      <c r="J659" s="5">
        <v>6.35</v>
      </c>
      <c r="K659" s="5">
        <v>1.02</v>
      </c>
      <c r="L659" s="1" t="s">
        <v>5</v>
      </c>
      <c r="M659" s="1" t="s">
        <v>38</v>
      </c>
      <c r="N659" s="1" t="s">
        <v>13</v>
      </c>
      <c r="O659" s="1" t="s">
        <v>6</v>
      </c>
      <c r="P659" s="1" t="s">
        <v>14</v>
      </c>
      <c r="Q659" s="6">
        <f>C659+3</f>
        <v>39956</v>
      </c>
    </row>
    <row r="660" spans="1:17" ht="15.75" x14ac:dyDescent="0.3">
      <c r="A660" s="1">
        <v>2809</v>
      </c>
      <c r="B660" s="2">
        <v>20261</v>
      </c>
      <c r="C660" s="3">
        <f>DATE(2012,12,31)-1321</f>
        <v>39953</v>
      </c>
      <c r="D660" s="1" t="s">
        <v>12</v>
      </c>
      <c r="E660" s="2">
        <v>21</v>
      </c>
      <c r="F660" s="2">
        <v>1259.4535000000001</v>
      </c>
      <c r="G660" s="2">
        <v>0.02</v>
      </c>
      <c r="H660" s="2">
        <v>0.56000000000000005</v>
      </c>
      <c r="I660" s="4">
        <v>168.23699999999999</v>
      </c>
      <c r="J660" s="5">
        <v>65.989999999999995</v>
      </c>
      <c r="K660" s="5">
        <v>8.99</v>
      </c>
      <c r="L660" s="1" t="s">
        <v>9</v>
      </c>
      <c r="M660" s="1" t="s">
        <v>38</v>
      </c>
      <c r="N660" s="1" t="s">
        <v>13</v>
      </c>
      <c r="O660" s="1" t="s">
        <v>11</v>
      </c>
      <c r="P660" s="1" t="s">
        <v>7</v>
      </c>
      <c r="Q660" s="6">
        <f>C660+1</f>
        <v>39954</v>
      </c>
    </row>
    <row r="661" spans="1:17" ht="15.75" x14ac:dyDescent="0.3">
      <c r="A661" s="1">
        <v>2837</v>
      </c>
      <c r="B661" s="2">
        <v>20453</v>
      </c>
      <c r="C661" s="3">
        <f>DATE(2012,12,31)-662</f>
        <v>40612</v>
      </c>
      <c r="D661" s="1" t="s">
        <v>12</v>
      </c>
      <c r="E661" s="2">
        <v>23</v>
      </c>
      <c r="F661" s="2">
        <v>450.39</v>
      </c>
      <c r="G661" s="2">
        <v>7.0000000000000007E-2</v>
      </c>
      <c r="H661" s="2">
        <v>0.44</v>
      </c>
      <c r="I661" s="4">
        <v>152.79</v>
      </c>
      <c r="J661" s="5">
        <v>19.23</v>
      </c>
      <c r="K661" s="5">
        <v>6.15</v>
      </c>
      <c r="L661" s="1" t="s">
        <v>5</v>
      </c>
      <c r="M661" s="1" t="s">
        <v>38</v>
      </c>
      <c r="N661" s="1" t="s">
        <v>15</v>
      </c>
      <c r="O661" s="1" t="s">
        <v>3</v>
      </c>
      <c r="P661" s="1" t="s">
        <v>20</v>
      </c>
      <c r="Q661" s="6">
        <f>C661+2</f>
        <v>40614</v>
      </c>
    </row>
    <row r="662" spans="1:17" ht="15.75" x14ac:dyDescent="0.3">
      <c r="A662" s="1">
        <v>2838</v>
      </c>
      <c r="B662" s="2">
        <v>20453</v>
      </c>
      <c r="C662" s="3">
        <f>DATE(2012,12,31)-662</f>
        <v>40612</v>
      </c>
      <c r="D662" s="1" t="s">
        <v>12</v>
      </c>
      <c r="E662" s="2">
        <v>17</v>
      </c>
      <c r="F662" s="2">
        <v>1193.1195</v>
      </c>
      <c r="G662" s="2">
        <v>0.08</v>
      </c>
      <c r="H662" s="2">
        <v>0.55000000000000004</v>
      </c>
      <c r="I662" s="4">
        <v>137.59199999999998</v>
      </c>
      <c r="J662" s="5">
        <v>85.99</v>
      </c>
      <c r="K662" s="5">
        <v>0.99</v>
      </c>
      <c r="L662" s="1" t="s">
        <v>9</v>
      </c>
      <c r="M662" s="1" t="s">
        <v>38</v>
      </c>
      <c r="N662" s="1" t="s">
        <v>15</v>
      </c>
      <c r="O662" s="1" t="s">
        <v>11</v>
      </c>
      <c r="P662" s="1" t="s">
        <v>14</v>
      </c>
      <c r="Q662" s="6">
        <f>C662+2</f>
        <v>40614</v>
      </c>
    </row>
    <row r="663" spans="1:17" ht="15.75" x14ac:dyDescent="0.3">
      <c r="A663" s="1">
        <v>2858</v>
      </c>
      <c r="B663" s="2">
        <v>20614</v>
      </c>
      <c r="C663" s="3">
        <f>DATE(2012,12,31)-1323</f>
        <v>39951</v>
      </c>
      <c r="D663" s="1" t="s">
        <v>8</v>
      </c>
      <c r="E663" s="2">
        <v>47</v>
      </c>
      <c r="F663" s="2">
        <v>3596.36</v>
      </c>
      <c r="G663" s="2">
        <v>0</v>
      </c>
      <c r="H663" s="2">
        <v>0.67</v>
      </c>
      <c r="I663" s="4">
        <v>326.25</v>
      </c>
      <c r="J663" s="5">
        <v>73.98</v>
      </c>
      <c r="K663" s="5">
        <v>12.14</v>
      </c>
      <c r="L663" s="1" t="s">
        <v>9</v>
      </c>
      <c r="M663" s="1" t="s">
        <v>38</v>
      </c>
      <c r="N663" s="1" t="s">
        <v>2</v>
      </c>
      <c r="O663" s="1" t="s">
        <v>11</v>
      </c>
      <c r="P663" s="1" t="s">
        <v>7</v>
      </c>
      <c r="Q663" s="6">
        <f>C663+2</f>
        <v>39953</v>
      </c>
    </row>
    <row r="664" spans="1:17" ht="15.75" x14ac:dyDescent="0.3">
      <c r="A664" s="1">
        <v>2870</v>
      </c>
      <c r="B664" s="2">
        <v>20709</v>
      </c>
      <c r="C664" s="3">
        <f>DATE(2012,12,31)-1238</f>
        <v>40036</v>
      </c>
      <c r="D664" s="1" t="s">
        <v>17</v>
      </c>
      <c r="E664" s="2">
        <v>4</v>
      </c>
      <c r="F664" s="2">
        <v>16.600000000000001</v>
      </c>
      <c r="G664" s="2">
        <v>0.1</v>
      </c>
      <c r="H664" s="2">
        <v>0.39</v>
      </c>
      <c r="I664" s="4">
        <v>-2.06</v>
      </c>
      <c r="J664" s="5">
        <v>4.13</v>
      </c>
      <c r="K664" s="5">
        <v>0.99</v>
      </c>
      <c r="L664" s="1" t="s">
        <v>5</v>
      </c>
      <c r="M664" s="1" t="s">
        <v>38</v>
      </c>
      <c r="N664" s="1" t="s">
        <v>21</v>
      </c>
      <c r="O664" s="1" t="s">
        <v>6</v>
      </c>
      <c r="P664" s="1" t="s">
        <v>7</v>
      </c>
      <c r="Q664" s="6">
        <f>C664+0</f>
        <v>40036</v>
      </c>
    </row>
    <row r="665" spans="1:17" ht="15.75" x14ac:dyDescent="0.3">
      <c r="A665" s="1">
        <v>2871</v>
      </c>
      <c r="B665" s="2">
        <v>20709</v>
      </c>
      <c r="C665" s="3">
        <f>DATE(2012,12,31)-1238</f>
        <v>40036</v>
      </c>
      <c r="D665" s="1" t="s">
        <v>17</v>
      </c>
      <c r="E665" s="2">
        <v>5</v>
      </c>
      <c r="F665" s="2">
        <v>25.1</v>
      </c>
      <c r="G665" s="2">
        <v>0.04</v>
      </c>
      <c r="H665" s="2">
        <v>0.39</v>
      </c>
      <c r="I665" s="4">
        <v>2.98</v>
      </c>
      <c r="J665" s="5">
        <v>4.9800000000000004</v>
      </c>
      <c r="K665" s="5">
        <v>0.49</v>
      </c>
      <c r="L665" s="1" t="s">
        <v>5</v>
      </c>
      <c r="M665" s="1" t="s">
        <v>38</v>
      </c>
      <c r="N665" s="1" t="s">
        <v>21</v>
      </c>
      <c r="O665" s="1" t="s">
        <v>6</v>
      </c>
      <c r="P665" s="1" t="s">
        <v>7</v>
      </c>
      <c r="Q665" s="6">
        <f>C665+2</f>
        <v>40038</v>
      </c>
    </row>
    <row r="666" spans="1:17" ht="15.75" x14ac:dyDescent="0.3">
      <c r="A666" s="1">
        <v>2913</v>
      </c>
      <c r="B666" s="2">
        <v>21025</v>
      </c>
      <c r="C666" s="3">
        <f>DATE(2012,12,31)-842</f>
        <v>40432</v>
      </c>
      <c r="D666" s="1" t="s">
        <v>8</v>
      </c>
      <c r="E666" s="2">
        <v>38</v>
      </c>
      <c r="F666" s="2">
        <v>553.02</v>
      </c>
      <c r="G666" s="2">
        <v>0.1</v>
      </c>
      <c r="H666" s="2">
        <v>0.48</v>
      </c>
      <c r="I666" s="4">
        <v>-49.38</v>
      </c>
      <c r="J666" s="5">
        <v>15.98</v>
      </c>
      <c r="K666" s="5">
        <v>6.5</v>
      </c>
      <c r="L666" s="1" t="s">
        <v>5</v>
      </c>
      <c r="M666" s="1" t="s">
        <v>38</v>
      </c>
      <c r="N666" s="1" t="s">
        <v>13</v>
      </c>
      <c r="O666" s="1" t="s">
        <v>11</v>
      </c>
      <c r="P666" s="1" t="s">
        <v>7</v>
      </c>
      <c r="Q666" s="6">
        <f>C666+2</f>
        <v>40434</v>
      </c>
    </row>
    <row r="667" spans="1:17" ht="15.75" x14ac:dyDescent="0.3">
      <c r="A667" s="1">
        <v>2914</v>
      </c>
      <c r="B667" s="2">
        <v>21028</v>
      </c>
      <c r="C667" s="3">
        <f>DATE(2012,12,31)-207</f>
        <v>41067</v>
      </c>
      <c r="D667" s="1" t="s">
        <v>0</v>
      </c>
      <c r="E667" s="2">
        <v>38</v>
      </c>
      <c r="F667" s="2">
        <v>437.86</v>
      </c>
      <c r="G667" s="2">
        <v>0.04</v>
      </c>
      <c r="H667" s="2">
        <v>0.35</v>
      </c>
      <c r="I667" s="4">
        <v>-4.17</v>
      </c>
      <c r="J667" s="5">
        <v>11.58</v>
      </c>
      <c r="K667" s="5">
        <v>6.97</v>
      </c>
      <c r="L667" s="1" t="s">
        <v>5</v>
      </c>
      <c r="M667" s="1" t="s">
        <v>38</v>
      </c>
      <c r="N667" s="1" t="s">
        <v>21</v>
      </c>
      <c r="O667" s="1" t="s">
        <v>6</v>
      </c>
      <c r="P667" s="1" t="s">
        <v>7</v>
      </c>
      <c r="Q667" s="6">
        <f>C667+2</f>
        <v>41069</v>
      </c>
    </row>
    <row r="668" spans="1:17" ht="15.75" x14ac:dyDescent="0.3">
      <c r="A668" s="1">
        <v>2921</v>
      </c>
      <c r="B668" s="2">
        <v>21125</v>
      </c>
      <c r="C668" s="3">
        <f>DATE(2012,12,31)-674</f>
        <v>40600</v>
      </c>
      <c r="D668" s="1" t="s">
        <v>8</v>
      </c>
      <c r="E668" s="2">
        <v>17</v>
      </c>
      <c r="F668" s="2">
        <v>155.16999999999999</v>
      </c>
      <c r="G668" s="2">
        <v>0.08</v>
      </c>
      <c r="H668" s="2">
        <v>0.38</v>
      </c>
      <c r="I668" s="4">
        <v>2.12</v>
      </c>
      <c r="J668" s="5">
        <v>9.27</v>
      </c>
      <c r="K668" s="5">
        <v>4.3899999999999997</v>
      </c>
      <c r="L668" s="1" t="s">
        <v>5</v>
      </c>
      <c r="M668" s="1" t="s">
        <v>38</v>
      </c>
      <c r="N668" s="1" t="s">
        <v>15</v>
      </c>
      <c r="O668" s="1" t="s">
        <v>6</v>
      </c>
      <c r="P668" s="1" t="s">
        <v>14</v>
      </c>
      <c r="Q668" s="6">
        <f>C668+1</f>
        <v>40601</v>
      </c>
    </row>
    <row r="669" spans="1:17" ht="15.75" x14ac:dyDescent="0.3">
      <c r="A669" s="1">
        <v>2955</v>
      </c>
      <c r="B669" s="2">
        <v>21382</v>
      </c>
      <c r="C669" s="3">
        <f>DATE(2012,12,31)-354</f>
        <v>40920</v>
      </c>
      <c r="D669" s="1" t="s">
        <v>0</v>
      </c>
      <c r="E669" s="2">
        <v>27</v>
      </c>
      <c r="F669" s="2">
        <v>145.93</v>
      </c>
      <c r="G669" s="2">
        <v>0</v>
      </c>
      <c r="H669" s="2">
        <v>0.36</v>
      </c>
      <c r="I669" s="4">
        <v>-113.32</v>
      </c>
      <c r="J669" s="5">
        <v>4.9800000000000004</v>
      </c>
      <c r="K669" s="5">
        <v>7.44</v>
      </c>
      <c r="L669" s="1" t="s">
        <v>5</v>
      </c>
      <c r="M669" s="1" t="s">
        <v>38</v>
      </c>
      <c r="N669" s="1" t="s">
        <v>2</v>
      </c>
      <c r="O669" s="1" t="s">
        <v>6</v>
      </c>
      <c r="P669" s="1" t="s">
        <v>7</v>
      </c>
      <c r="Q669" s="6">
        <f>C669+3</f>
        <v>40923</v>
      </c>
    </row>
    <row r="670" spans="1:17" ht="15.75" x14ac:dyDescent="0.3">
      <c r="A670" s="1">
        <v>2994</v>
      </c>
      <c r="B670" s="2">
        <v>21604</v>
      </c>
      <c r="C670" s="3">
        <f>DATE(2012,12,31)-274</f>
        <v>41000</v>
      </c>
      <c r="D670" s="1" t="s">
        <v>12</v>
      </c>
      <c r="E670" s="2">
        <v>6</v>
      </c>
      <c r="F670" s="2">
        <v>2478.88</v>
      </c>
      <c r="G670" s="2">
        <v>0.02</v>
      </c>
      <c r="H670" s="2">
        <v>0.38</v>
      </c>
      <c r="I670" s="4">
        <v>593.58900000000006</v>
      </c>
      <c r="J670" s="5">
        <v>387.99</v>
      </c>
      <c r="K670" s="5">
        <v>19.989999999999998</v>
      </c>
      <c r="L670" s="1" t="s">
        <v>9</v>
      </c>
      <c r="M670" s="1" t="s">
        <v>38</v>
      </c>
      <c r="N670" s="1" t="s">
        <v>15</v>
      </c>
      <c r="O670" s="1" t="s">
        <v>6</v>
      </c>
      <c r="P670" s="1" t="s">
        <v>7</v>
      </c>
      <c r="Q670" s="6">
        <f>C670+2</f>
        <v>41002</v>
      </c>
    </row>
    <row r="671" spans="1:17" ht="15.75" x14ac:dyDescent="0.3">
      <c r="A671" s="1">
        <v>3037</v>
      </c>
      <c r="B671" s="2">
        <v>21824</v>
      </c>
      <c r="C671" s="3">
        <f>DATE(2012,12,31)-693</f>
        <v>40581</v>
      </c>
      <c r="D671" s="1" t="s">
        <v>16</v>
      </c>
      <c r="E671" s="2">
        <v>37</v>
      </c>
      <c r="F671" s="2">
        <v>3351.55</v>
      </c>
      <c r="G671" s="2">
        <v>0.04</v>
      </c>
      <c r="H671" s="2">
        <v>0.74</v>
      </c>
      <c r="I671" s="4">
        <v>-1036.92</v>
      </c>
      <c r="J671" s="5">
        <v>90.98</v>
      </c>
      <c r="K671" s="5">
        <v>56.2</v>
      </c>
      <c r="L671" s="1" t="s">
        <v>9</v>
      </c>
      <c r="M671" s="1" t="s">
        <v>38</v>
      </c>
      <c r="N671" s="1" t="s">
        <v>15</v>
      </c>
      <c r="O671" s="1" t="s">
        <v>3</v>
      </c>
      <c r="P671" s="1" t="s">
        <v>18</v>
      </c>
      <c r="Q671" s="6">
        <f>C671+7</f>
        <v>40588</v>
      </c>
    </row>
    <row r="672" spans="1:17" ht="15.75" x14ac:dyDescent="0.3">
      <c r="A672" s="1">
        <v>3057</v>
      </c>
      <c r="B672" s="2">
        <v>21893</v>
      </c>
      <c r="C672" s="3">
        <f>DATE(2012,12,31)-434</f>
        <v>40840</v>
      </c>
      <c r="D672" s="1" t="s">
        <v>0</v>
      </c>
      <c r="E672" s="2">
        <v>30</v>
      </c>
      <c r="F672" s="2">
        <v>532.11</v>
      </c>
      <c r="G672" s="2">
        <v>0.01</v>
      </c>
      <c r="H672" s="2">
        <v>0.38</v>
      </c>
      <c r="I672" s="4">
        <v>59.47</v>
      </c>
      <c r="J672" s="5">
        <v>17.07</v>
      </c>
      <c r="K672" s="5">
        <v>8.1300000000000008</v>
      </c>
      <c r="L672" s="1" t="s">
        <v>9</v>
      </c>
      <c r="M672" s="1" t="s">
        <v>38</v>
      </c>
      <c r="N672" s="1" t="s">
        <v>15</v>
      </c>
      <c r="O672" s="1" t="s">
        <v>6</v>
      </c>
      <c r="P672" s="1" t="s">
        <v>7</v>
      </c>
      <c r="Q672" s="6">
        <f>C672+1</f>
        <v>40841</v>
      </c>
    </row>
    <row r="673" spans="1:17" ht="15.75" x14ac:dyDescent="0.3">
      <c r="A673" s="1">
        <v>3075</v>
      </c>
      <c r="B673" s="2">
        <v>22054</v>
      </c>
      <c r="C673" s="3">
        <f>DATE(2012,12,31)-886</f>
        <v>40388</v>
      </c>
      <c r="D673" s="1" t="s">
        <v>12</v>
      </c>
      <c r="E673" s="2">
        <v>32</v>
      </c>
      <c r="F673" s="2">
        <v>216.79</v>
      </c>
      <c r="G673" s="2">
        <v>7.0000000000000007E-2</v>
      </c>
      <c r="H673" s="2">
        <v>0.37</v>
      </c>
      <c r="I673" s="4">
        <v>57.55</v>
      </c>
      <c r="J673" s="5">
        <v>6.98</v>
      </c>
      <c r="K673" s="5">
        <v>2.83</v>
      </c>
      <c r="L673" s="1" t="s">
        <v>5</v>
      </c>
      <c r="M673" s="1" t="s">
        <v>38</v>
      </c>
      <c r="N673" s="1" t="s">
        <v>2</v>
      </c>
      <c r="O673" s="1" t="s">
        <v>3</v>
      </c>
      <c r="P673" s="1" t="s">
        <v>20</v>
      </c>
      <c r="Q673" s="6">
        <f>C673+2</f>
        <v>40390</v>
      </c>
    </row>
    <row r="674" spans="1:17" ht="15.75" x14ac:dyDescent="0.3">
      <c r="A674" s="1">
        <v>3091</v>
      </c>
      <c r="B674" s="2">
        <v>22181</v>
      </c>
      <c r="C674" s="3">
        <f>DATE(2012,12,31)-451</f>
        <v>40823</v>
      </c>
      <c r="D674" s="1" t="s">
        <v>16</v>
      </c>
      <c r="E674" s="2">
        <v>41</v>
      </c>
      <c r="F674" s="2">
        <v>258.13</v>
      </c>
      <c r="G674" s="2">
        <v>0.03</v>
      </c>
      <c r="H674" s="2">
        <v>0.35</v>
      </c>
      <c r="I674" s="4">
        <v>84.1</v>
      </c>
      <c r="J674" s="5">
        <v>6.08</v>
      </c>
      <c r="K674" s="5">
        <v>1.82</v>
      </c>
      <c r="L674" s="1" t="s">
        <v>5</v>
      </c>
      <c r="M674" s="1" t="s">
        <v>38</v>
      </c>
      <c r="N674" s="1" t="s">
        <v>2</v>
      </c>
      <c r="O674" s="1" t="s">
        <v>6</v>
      </c>
      <c r="P674" s="1" t="s">
        <v>14</v>
      </c>
      <c r="Q674" s="6">
        <f>C674+9</f>
        <v>40832</v>
      </c>
    </row>
    <row r="675" spans="1:17" ht="15.75" x14ac:dyDescent="0.3">
      <c r="A675" s="1">
        <v>3104</v>
      </c>
      <c r="B675" s="2">
        <v>22272</v>
      </c>
      <c r="C675" s="3">
        <f>DATE(2012,12,31)-239</f>
        <v>41035</v>
      </c>
      <c r="D675" s="1" t="s">
        <v>17</v>
      </c>
      <c r="E675" s="2">
        <v>37</v>
      </c>
      <c r="F675" s="2">
        <v>5382.24</v>
      </c>
      <c r="G675" s="2">
        <v>0.1</v>
      </c>
      <c r="H675" s="2">
        <v>0.79</v>
      </c>
      <c r="I675" s="4">
        <v>14.85</v>
      </c>
      <c r="J675" s="5">
        <v>152.47999999999999</v>
      </c>
      <c r="K675" s="5">
        <v>4</v>
      </c>
      <c r="L675" s="1" t="s">
        <v>5</v>
      </c>
      <c r="M675" s="1" t="s">
        <v>38</v>
      </c>
      <c r="N675" s="1" t="s">
        <v>15</v>
      </c>
      <c r="O675" s="1" t="s">
        <v>11</v>
      </c>
      <c r="P675" s="1" t="s">
        <v>7</v>
      </c>
      <c r="Q675" s="6">
        <f>C675+2</f>
        <v>41037</v>
      </c>
    </row>
    <row r="676" spans="1:17" ht="15.75" x14ac:dyDescent="0.3">
      <c r="A676" s="1">
        <v>3105</v>
      </c>
      <c r="B676" s="2">
        <v>22272</v>
      </c>
      <c r="C676" s="3">
        <f>DATE(2012,12,31)-239</f>
        <v>41035</v>
      </c>
      <c r="D676" s="1" t="s">
        <v>17</v>
      </c>
      <c r="E676" s="2">
        <v>30</v>
      </c>
      <c r="F676" s="2">
        <v>1035.95</v>
      </c>
      <c r="G676" s="2">
        <v>0.08</v>
      </c>
      <c r="H676" s="2">
        <v>0.43</v>
      </c>
      <c r="I676" s="4">
        <v>342.41</v>
      </c>
      <c r="J676" s="5">
        <v>35.409999999999997</v>
      </c>
      <c r="K676" s="5">
        <v>1.99</v>
      </c>
      <c r="L676" s="1" t="s">
        <v>5</v>
      </c>
      <c r="M676" s="1" t="s">
        <v>38</v>
      </c>
      <c r="N676" s="1" t="s">
        <v>15</v>
      </c>
      <c r="O676" s="1" t="s">
        <v>11</v>
      </c>
      <c r="P676" s="1" t="s">
        <v>20</v>
      </c>
      <c r="Q676" s="6">
        <f>C676+2</f>
        <v>41037</v>
      </c>
    </row>
    <row r="677" spans="1:17" ht="15.75" x14ac:dyDescent="0.3">
      <c r="A677" s="1">
        <v>3115</v>
      </c>
      <c r="B677" s="2">
        <v>22373</v>
      </c>
      <c r="C677" s="3">
        <f>DATE(2012,12,31)-278</f>
        <v>40996</v>
      </c>
      <c r="D677" s="1" t="s">
        <v>17</v>
      </c>
      <c r="E677" s="2">
        <v>26</v>
      </c>
      <c r="F677" s="2">
        <v>233.03</v>
      </c>
      <c r="G677" s="2">
        <v>0.05</v>
      </c>
      <c r="H677" s="2">
        <v>0.38</v>
      </c>
      <c r="I677" s="4">
        <v>-86.34</v>
      </c>
      <c r="J677" s="5">
        <v>8.74</v>
      </c>
      <c r="K677" s="5">
        <v>8.2899999999999991</v>
      </c>
      <c r="L677" s="1" t="s">
        <v>9</v>
      </c>
      <c r="M677" s="1" t="s">
        <v>38</v>
      </c>
      <c r="N677" s="1" t="s">
        <v>2</v>
      </c>
      <c r="O677" s="1" t="s">
        <v>6</v>
      </c>
      <c r="P677" s="1" t="s">
        <v>7</v>
      </c>
      <c r="Q677" s="6">
        <f>C677+1</f>
        <v>40997</v>
      </c>
    </row>
    <row r="678" spans="1:17" ht="15.75" x14ac:dyDescent="0.3">
      <c r="A678" s="1">
        <v>3125</v>
      </c>
      <c r="B678" s="2">
        <v>22434</v>
      </c>
      <c r="C678" s="3">
        <f>DATE(2012,12,31)-124</f>
        <v>41150</v>
      </c>
      <c r="D678" s="1" t="s">
        <v>0</v>
      </c>
      <c r="E678" s="2">
        <v>3</v>
      </c>
      <c r="F678" s="2">
        <v>18.7</v>
      </c>
      <c r="G678" s="2">
        <v>0.1</v>
      </c>
      <c r="H678" s="2">
        <v>0.36</v>
      </c>
      <c r="I678" s="4">
        <v>-14.685499999999999</v>
      </c>
      <c r="J678" s="5">
        <v>4.54</v>
      </c>
      <c r="K678" s="5">
        <v>5.83</v>
      </c>
      <c r="L678" s="1" t="s">
        <v>5</v>
      </c>
      <c r="M678" s="1" t="s">
        <v>38</v>
      </c>
      <c r="N678" s="1" t="s">
        <v>21</v>
      </c>
      <c r="O678" s="1" t="s">
        <v>6</v>
      </c>
      <c r="P678" s="1" t="s">
        <v>7</v>
      </c>
      <c r="Q678" s="6">
        <f>C678+2</f>
        <v>41152</v>
      </c>
    </row>
    <row r="679" spans="1:17" ht="15.75" x14ac:dyDescent="0.3">
      <c r="A679" s="1">
        <v>3126</v>
      </c>
      <c r="B679" s="2">
        <v>22434</v>
      </c>
      <c r="C679" s="3">
        <f>DATE(2012,12,31)-124</f>
        <v>41150</v>
      </c>
      <c r="D679" s="1" t="s">
        <v>0</v>
      </c>
      <c r="E679" s="2">
        <v>39</v>
      </c>
      <c r="F679" s="2">
        <v>140.74</v>
      </c>
      <c r="G679" s="2">
        <v>0.01</v>
      </c>
      <c r="H679" s="2">
        <v>0.56000000000000005</v>
      </c>
      <c r="I679" s="4">
        <v>-92.29</v>
      </c>
      <c r="J679" s="5">
        <v>3.28</v>
      </c>
      <c r="K679" s="5">
        <v>3.97</v>
      </c>
      <c r="L679" s="1" t="s">
        <v>5</v>
      </c>
      <c r="M679" s="1" t="s">
        <v>38</v>
      </c>
      <c r="N679" s="1" t="s">
        <v>21</v>
      </c>
      <c r="O679" s="1" t="s">
        <v>6</v>
      </c>
      <c r="P679" s="1" t="s">
        <v>14</v>
      </c>
      <c r="Q679" s="6">
        <f>C679+2</f>
        <v>41152</v>
      </c>
    </row>
    <row r="680" spans="1:17" ht="15.75" x14ac:dyDescent="0.3">
      <c r="A680" s="1">
        <v>3179</v>
      </c>
      <c r="B680" s="2">
        <v>22849</v>
      </c>
      <c r="C680" s="3">
        <f>DATE(2012,12,31)-686</f>
        <v>40588</v>
      </c>
      <c r="D680" s="1" t="s">
        <v>8</v>
      </c>
      <c r="E680" s="2">
        <v>27</v>
      </c>
      <c r="F680" s="2">
        <v>304.98</v>
      </c>
      <c r="G680" s="2">
        <v>0.08</v>
      </c>
      <c r="H680" s="2">
        <v>0.4</v>
      </c>
      <c r="I680" s="4">
        <v>2.7284999999999999</v>
      </c>
      <c r="J680" s="5">
        <v>11.7</v>
      </c>
      <c r="K680" s="5">
        <v>5.63</v>
      </c>
      <c r="L680" s="1" t="s">
        <v>5</v>
      </c>
      <c r="M680" s="1" t="s">
        <v>38</v>
      </c>
      <c r="N680" s="1" t="s">
        <v>2</v>
      </c>
      <c r="O680" s="1" t="s">
        <v>6</v>
      </c>
      <c r="P680" s="1" t="s">
        <v>7</v>
      </c>
      <c r="Q680" s="6">
        <f>C680+1</f>
        <v>40589</v>
      </c>
    </row>
    <row r="681" spans="1:17" ht="15.75" x14ac:dyDescent="0.3">
      <c r="A681" s="1">
        <v>3180</v>
      </c>
      <c r="B681" s="2">
        <v>22849</v>
      </c>
      <c r="C681" s="3">
        <f>DATE(2012,12,31)-686</f>
        <v>40588</v>
      </c>
      <c r="D681" s="1" t="s">
        <v>8</v>
      </c>
      <c r="E681" s="2">
        <v>34</v>
      </c>
      <c r="F681" s="2">
        <v>104.24</v>
      </c>
      <c r="G681" s="2">
        <v>0</v>
      </c>
      <c r="H681" s="2">
        <v>0.45</v>
      </c>
      <c r="I681" s="4">
        <v>10.59</v>
      </c>
      <c r="J681" s="5">
        <v>2.78</v>
      </c>
      <c r="K681" s="5">
        <v>1.34</v>
      </c>
      <c r="L681" s="1" t="s">
        <v>9</v>
      </c>
      <c r="M681" s="1" t="s">
        <v>38</v>
      </c>
      <c r="N681" s="1" t="s">
        <v>2</v>
      </c>
      <c r="O681" s="1" t="s">
        <v>6</v>
      </c>
      <c r="P681" s="1" t="s">
        <v>14</v>
      </c>
      <c r="Q681" s="6">
        <f>C681+2</f>
        <v>40590</v>
      </c>
    </row>
    <row r="682" spans="1:17" ht="15.75" x14ac:dyDescent="0.3">
      <c r="A682" s="1">
        <v>3181</v>
      </c>
      <c r="B682" s="2">
        <v>22849</v>
      </c>
      <c r="C682" s="3">
        <f>DATE(2012,12,31)-686</f>
        <v>40588</v>
      </c>
      <c r="D682" s="1" t="s">
        <v>8</v>
      </c>
      <c r="E682" s="2">
        <v>27</v>
      </c>
      <c r="F682" s="2">
        <v>198.13</v>
      </c>
      <c r="G682" s="2">
        <v>0.01</v>
      </c>
      <c r="H682" s="2">
        <v>0.83</v>
      </c>
      <c r="I682" s="4">
        <v>-219.92</v>
      </c>
      <c r="J682" s="5">
        <v>6.98</v>
      </c>
      <c r="K682" s="5">
        <v>9.69</v>
      </c>
      <c r="L682" s="1" t="s">
        <v>5</v>
      </c>
      <c r="M682" s="1" t="s">
        <v>38</v>
      </c>
      <c r="N682" s="1" t="s">
        <v>2</v>
      </c>
      <c r="O682" s="1" t="s">
        <v>6</v>
      </c>
      <c r="P682" s="1" t="s">
        <v>7</v>
      </c>
      <c r="Q682" s="6">
        <f>C682+2</f>
        <v>40590</v>
      </c>
    </row>
    <row r="683" spans="1:17" ht="15.75" x14ac:dyDescent="0.3">
      <c r="A683" s="1">
        <v>3182</v>
      </c>
      <c r="B683" s="2">
        <v>22849</v>
      </c>
      <c r="C683" s="3">
        <f>DATE(2012,12,31)-686</f>
        <v>40588</v>
      </c>
      <c r="D683" s="1" t="s">
        <v>8</v>
      </c>
      <c r="E683" s="2">
        <v>25</v>
      </c>
      <c r="F683" s="2">
        <v>4366.348</v>
      </c>
      <c r="G683" s="2">
        <v>0.05</v>
      </c>
      <c r="H683" s="2">
        <v>0.57999999999999996</v>
      </c>
      <c r="I683" s="4">
        <v>940.57199999999989</v>
      </c>
      <c r="J683" s="5">
        <v>205.99</v>
      </c>
      <c r="K683" s="5">
        <v>3</v>
      </c>
      <c r="L683" s="1" t="s">
        <v>5</v>
      </c>
      <c r="M683" s="1" t="s">
        <v>38</v>
      </c>
      <c r="N683" s="1" t="s">
        <v>2</v>
      </c>
      <c r="O683" s="1" t="s">
        <v>11</v>
      </c>
      <c r="P683" s="1" t="s">
        <v>7</v>
      </c>
      <c r="Q683" s="6">
        <f>C683+2</f>
        <v>40590</v>
      </c>
    </row>
    <row r="684" spans="1:17" ht="15.75" x14ac:dyDescent="0.3">
      <c r="A684" s="1">
        <v>3188</v>
      </c>
      <c r="B684" s="2">
        <v>22881</v>
      </c>
      <c r="C684" s="3">
        <f>DATE(2012,12,31)-1000</f>
        <v>40274</v>
      </c>
      <c r="D684" s="1" t="s">
        <v>12</v>
      </c>
      <c r="E684" s="2">
        <v>33</v>
      </c>
      <c r="F684" s="2">
        <v>476.06</v>
      </c>
      <c r="G684" s="2">
        <v>0.04</v>
      </c>
      <c r="H684" s="2">
        <v>0.56000000000000005</v>
      </c>
      <c r="I684" s="4">
        <v>-120.48</v>
      </c>
      <c r="J684" s="5">
        <v>14.03</v>
      </c>
      <c r="K684" s="5">
        <v>9.3699999999999992</v>
      </c>
      <c r="L684" s="1" t="s">
        <v>5</v>
      </c>
      <c r="M684" s="1" t="s">
        <v>38</v>
      </c>
      <c r="N684" s="1" t="s">
        <v>2</v>
      </c>
      <c r="O684" s="1" t="s">
        <v>6</v>
      </c>
      <c r="P684" s="1" t="s">
        <v>7</v>
      </c>
      <c r="Q684" s="6">
        <f>C684+1</f>
        <v>40275</v>
      </c>
    </row>
    <row r="685" spans="1:17" ht="15.75" x14ac:dyDescent="0.3">
      <c r="A685" s="1">
        <v>3201</v>
      </c>
      <c r="B685" s="2">
        <v>22950</v>
      </c>
      <c r="C685" s="3">
        <f>DATE(2012,12,31)-376</f>
        <v>40898</v>
      </c>
      <c r="D685" s="1" t="s">
        <v>16</v>
      </c>
      <c r="E685" s="2">
        <v>29</v>
      </c>
      <c r="F685" s="2">
        <v>1756.11</v>
      </c>
      <c r="G685" s="2">
        <v>0.1</v>
      </c>
      <c r="H685" s="2">
        <v>0.8</v>
      </c>
      <c r="I685" s="4">
        <v>-888.07</v>
      </c>
      <c r="J685" s="5">
        <v>64.650000000000006</v>
      </c>
      <c r="K685" s="5">
        <v>35</v>
      </c>
      <c r="L685" s="1" t="s">
        <v>5</v>
      </c>
      <c r="M685" s="1" t="s">
        <v>38</v>
      </c>
      <c r="N685" s="1" t="s">
        <v>2</v>
      </c>
      <c r="O685" s="1" t="s">
        <v>6</v>
      </c>
      <c r="P685" s="1" t="s">
        <v>10</v>
      </c>
      <c r="Q685" s="6">
        <f>C685+7</f>
        <v>40905</v>
      </c>
    </row>
    <row r="686" spans="1:17" ht="15.75" x14ac:dyDescent="0.3">
      <c r="A686" s="1">
        <v>3206</v>
      </c>
      <c r="B686" s="2">
        <v>23008</v>
      </c>
      <c r="C686" s="3">
        <f>DATE(2012,12,31)-1179</f>
        <v>40095</v>
      </c>
      <c r="D686" s="1" t="s">
        <v>0</v>
      </c>
      <c r="E686" s="2">
        <v>10</v>
      </c>
      <c r="F686" s="2">
        <v>1136.47</v>
      </c>
      <c r="G686" s="2">
        <v>0.1</v>
      </c>
      <c r="H686" s="2">
        <v>0.35</v>
      </c>
      <c r="I686" s="4">
        <v>323.32299999999998</v>
      </c>
      <c r="J686" s="5">
        <v>120.98</v>
      </c>
      <c r="K686" s="5">
        <v>9.07</v>
      </c>
      <c r="L686" s="1" t="s">
        <v>9</v>
      </c>
      <c r="M686" s="1" t="s">
        <v>38</v>
      </c>
      <c r="N686" s="1" t="s">
        <v>21</v>
      </c>
      <c r="O686" s="1" t="s">
        <v>6</v>
      </c>
      <c r="P686" s="1" t="s">
        <v>7</v>
      </c>
      <c r="Q686" s="6">
        <f>C686+2</f>
        <v>40097</v>
      </c>
    </row>
    <row r="687" spans="1:17" ht="15.75" x14ac:dyDescent="0.3">
      <c r="A687" s="1">
        <v>3207</v>
      </c>
      <c r="B687" s="2">
        <v>23008</v>
      </c>
      <c r="C687" s="3">
        <f>DATE(2012,12,31)-1179</f>
        <v>40095</v>
      </c>
      <c r="D687" s="1" t="s">
        <v>0</v>
      </c>
      <c r="E687" s="2">
        <v>2</v>
      </c>
      <c r="F687" s="2">
        <v>325.81</v>
      </c>
      <c r="G687" s="2">
        <v>0.02</v>
      </c>
      <c r="H687" s="2">
        <v>0.74</v>
      </c>
      <c r="I687" s="4">
        <v>-522.78</v>
      </c>
      <c r="J687" s="5">
        <v>152.47999999999999</v>
      </c>
      <c r="K687" s="5">
        <v>6.5</v>
      </c>
      <c r="L687" s="1" t="s">
        <v>9</v>
      </c>
      <c r="M687" s="1" t="s">
        <v>38</v>
      </c>
      <c r="N687" s="1" t="s">
        <v>21</v>
      </c>
      <c r="O687" s="1" t="s">
        <v>11</v>
      </c>
      <c r="P687" s="1" t="s">
        <v>7</v>
      </c>
      <c r="Q687" s="6">
        <f>C687+2</f>
        <v>40097</v>
      </c>
    </row>
    <row r="688" spans="1:17" ht="15.75" x14ac:dyDescent="0.3">
      <c r="A688" s="1">
        <v>3233</v>
      </c>
      <c r="B688" s="2">
        <v>23202</v>
      </c>
      <c r="C688" s="3">
        <f>DATE(2012,12,31)-520</f>
        <v>40754</v>
      </c>
      <c r="D688" s="1" t="s">
        <v>17</v>
      </c>
      <c r="E688" s="2">
        <v>39</v>
      </c>
      <c r="F688" s="2">
        <v>307.42</v>
      </c>
      <c r="G688" s="2">
        <v>0.05</v>
      </c>
      <c r="H688" s="2">
        <v>0.38</v>
      </c>
      <c r="I688" s="4">
        <v>104.09</v>
      </c>
      <c r="J688" s="5">
        <v>8.17</v>
      </c>
      <c r="K688" s="5">
        <v>1.69</v>
      </c>
      <c r="L688" s="1" t="s">
        <v>5</v>
      </c>
      <c r="M688" s="1" t="s">
        <v>38</v>
      </c>
      <c r="N688" s="1" t="s">
        <v>13</v>
      </c>
      <c r="O688" s="1" t="s">
        <v>6</v>
      </c>
      <c r="P688" s="1" t="s">
        <v>14</v>
      </c>
      <c r="Q688" s="6">
        <f>C688+2</f>
        <v>40756</v>
      </c>
    </row>
    <row r="689" spans="1:17" ht="15.75" x14ac:dyDescent="0.3">
      <c r="A689" s="1">
        <v>3234</v>
      </c>
      <c r="B689" s="2">
        <v>23202</v>
      </c>
      <c r="C689" s="3">
        <f>DATE(2012,12,31)-520</f>
        <v>40754</v>
      </c>
      <c r="D689" s="1" t="s">
        <v>17</v>
      </c>
      <c r="E689" s="2">
        <v>48</v>
      </c>
      <c r="F689" s="2">
        <v>608.29</v>
      </c>
      <c r="G689" s="2">
        <v>0.02</v>
      </c>
      <c r="H689" s="2">
        <v>0.6</v>
      </c>
      <c r="I689" s="4">
        <v>-39.270000000000003</v>
      </c>
      <c r="J689" s="5">
        <v>11.97</v>
      </c>
      <c r="K689" s="5">
        <v>5.81</v>
      </c>
      <c r="L689" s="1" t="s">
        <v>5</v>
      </c>
      <c r="M689" s="1" t="s">
        <v>38</v>
      </c>
      <c r="N689" s="1" t="s">
        <v>13</v>
      </c>
      <c r="O689" s="1" t="s">
        <v>6</v>
      </c>
      <c r="P689" s="1" t="s">
        <v>20</v>
      </c>
      <c r="Q689" s="6">
        <f>C689+2</f>
        <v>40756</v>
      </c>
    </row>
    <row r="690" spans="1:17" ht="15.75" x14ac:dyDescent="0.3">
      <c r="A690" s="1">
        <v>3276</v>
      </c>
      <c r="B690" s="2">
        <v>23426</v>
      </c>
      <c r="C690" s="3">
        <f>DATE(2012,12,31)-684</f>
        <v>40590</v>
      </c>
      <c r="D690" s="1" t="s">
        <v>0</v>
      </c>
      <c r="E690" s="2">
        <v>45</v>
      </c>
      <c r="F690" s="2">
        <v>1009.8</v>
      </c>
      <c r="G690" s="2">
        <v>7.0000000000000007E-2</v>
      </c>
      <c r="H690" s="2">
        <v>0.46</v>
      </c>
      <c r="I690" s="4">
        <v>352.64</v>
      </c>
      <c r="J690" s="5">
        <v>22.98</v>
      </c>
      <c r="K690" s="5">
        <v>1.99</v>
      </c>
      <c r="L690" s="1" t="s">
        <v>5</v>
      </c>
      <c r="M690" s="1" t="s">
        <v>38</v>
      </c>
      <c r="N690" s="1" t="s">
        <v>21</v>
      </c>
      <c r="O690" s="1" t="s">
        <v>11</v>
      </c>
      <c r="P690" s="1" t="s">
        <v>20</v>
      </c>
      <c r="Q690" s="6">
        <f>C690+2</f>
        <v>40592</v>
      </c>
    </row>
    <row r="691" spans="1:17" ht="15.75" x14ac:dyDescent="0.3">
      <c r="A691" s="1">
        <v>3277</v>
      </c>
      <c r="B691" s="2">
        <v>23426</v>
      </c>
      <c r="C691" s="3">
        <f>DATE(2012,12,31)-684</f>
        <v>40590</v>
      </c>
      <c r="D691" s="1" t="s">
        <v>0</v>
      </c>
      <c r="E691" s="2">
        <v>12</v>
      </c>
      <c r="F691" s="2">
        <v>29.71</v>
      </c>
      <c r="G691" s="2">
        <v>0.09</v>
      </c>
      <c r="H691" s="2">
        <v>0.82</v>
      </c>
      <c r="I691" s="4">
        <v>-23.17</v>
      </c>
      <c r="J691" s="5">
        <v>2.52</v>
      </c>
      <c r="K691" s="5">
        <v>1.92</v>
      </c>
      <c r="L691" s="1" t="s">
        <v>5</v>
      </c>
      <c r="M691" s="1" t="s">
        <v>38</v>
      </c>
      <c r="N691" s="1" t="s">
        <v>21</v>
      </c>
      <c r="O691" s="1" t="s">
        <v>6</v>
      </c>
      <c r="P691" s="1" t="s">
        <v>14</v>
      </c>
      <c r="Q691" s="6">
        <f>C691+1</f>
        <v>40591</v>
      </c>
    </row>
    <row r="692" spans="1:17" ht="15.75" x14ac:dyDescent="0.3">
      <c r="A692" s="1">
        <v>3311</v>
      </c>
      <c r="B692" s="2">
        <v>23649</v>
      </c>
      <c r="C692" s="3">
        <f>DATE(2012,12,31)-117</f>
        <v>41157</v>
      </c>
      <c r="D692" s="1" t="s">
        <v>8</v>
      </c>
      <c r="E692" s="2">
        <v>30</v>
      </c>
      <c r="F692" s="2">
        <v>4587.9260000000004</v>
      </c>
      <c r="G692" s="2">
        <v>0.1</v>
      </c>
      <c r="H692" s="2">
        <v>0.6</v>
      </c>
      <c r="I692" s="4">
        <v>687.41099999999994</v>
      </c>
      <c r="J692" s="5">
        <v>195.99</v>
      </c>
      <c r="K692" s="5">
        <v>4.2</v>
      </c>
      <c r="L692" s="1" t="s">
        <v>5</v>
      </c>
      <c r="M692" s="1" t="s">
        <v>38</v>
      </c>
      <c r="N692" s="1" t="s">
        <v>2</v>
      </c>
      <c r="O692" s="1" t="s">
        <v>11</v>
      </c>
      <c r="P692" s="1" t="s">
        <v>7</v>
      </c>
      <c r="Q692" s="6">
        <f>C692+3</f>
        <v>41160</v>
      </c>
    </row>
    <row r="693" spans="1:17" ht="15.75" x14ac:dyDescent="0.3">
      <c r="A693" s="1">
        <v>3312</v>
      </c>
      <c r="B693" s="2">
        <v>23649</v>
      </c>
      <c r="C693" s="3">
        <f>DATE(2012,12,31)-117</f>
        <v>41157</v>
      </c>
      <c r="D693" s="1" t="s">
        <v>8</v>
      </c>
      <c r="E693" s="2">
        <v>42</v>
      </c>
      <c r="F693" s="2">
        <v>4541.924</v>
      </c>
      <c r="G693" s="2">
        <v>0.01</v>
      </c>
      <c r="H693" s="2">
        <v>0.56999999999999995</v>
      </c>
      <c r="I693" s="4">
        <v>1222.1370000000002</v>
      </c>
      <c r="J693" s="5">
        <v>125.99</v>
      </c>
      <c r="K693" s="5">
        <v>8.08</v>
      </c>
      <c r="L693" s="1" t="s">
        <v>5</v>
      </c>
      <c r="M693" s="1" t="s">
        <v>38</v>
      </c>
      <c r="N693" s="1" t="s">
        <v>2</v>
      </c>
      <c r="O693" s="1" t="s">
        <v>11</v>
      </c>
      <c r="P693" s="1" t="s">
        <v>7</v>
      </c>
      <c r="Q693" s="6">
        <f>C693+1</f>
        <v>41158</v>
      </c>
    </row>
    <row r="694" spans="1:17" ht="15.75" x14ac:dyDescent="0.3">
      <c r="A694" s="1">
        <v>3322</v>
      </c>
      <c r="B694" s="2">
        <v>23748</v>
      </c>
      <c r="C694" s="3">
        <f>DATE(2012,12,31)-143</f>
        <v>41131</v>
      </c>
      <c r="D694" s="1" t="s">
        <v>17</v>
      </c>
      <c r="E694" s="2">
        <v>26</v>
      </c>
      <c r="F694" s="2">
        <v>6163.52</v>
      </c>
      <c r="G694" s="2">
        <v>0.02</v>
      </c>
      <c r="H694" s="2">
        <v>0.72</v>
      </c>
      <c r="I694" s="4">
        <v>755.95</v>
      </c>
      <c r="J694" s="5">
        <v>225.02</v>
      </c>
      <c r="K694" s="5">
        <v>28.66</v>
      </c>
      <c r="L694" s="1" t="s">
        <v>1</v>
      </c>
      <c r="M694" s="1" t="s">
        <v>38</v>
      </c>
      <c r="N694" s="1" t="s">
        <v>13</v>
      </c>
      <c r="O694" s="1" t="s">
        <v>6</v>
      </c>
      <c r="P694" s="1" t="s">
        <v>4</v>
      </c>
      <c r="Q694" s="6">
        <f>C694+2</f>
        <v>41133</v>
      </c>
    </row>
    <row r="695" spans="1:17" ht="15.75" x14ac:dyDescent="0.3">
      <c r="A695" s="1">
        <v>3337</v>
      </c>
      <c r="B695" s="2">
        <v>23847</v>
      </c>
      <c r="C695" s="3">
        <f>DATE(2012,12,31)-52</f>
        <v>41222</v>
      </c>
      <c r="D695" s="1" t="s">
        <v>8</v>
      </c>
      <c r="E695" s="2">
        <v>7</v>
      </c>
      <c r="F695" s="2">
        <v>1278.6464999999998</v>
      </c>
      <c r="G695" s="2">
        <v>0.01</v>
      </c>
      <c r="H695" s="2">
        <v>0.59</v>
      </c>
      <c r="I695" s="4">
        <v>-396.16500000000002</v>
      </c>
      <c r="J695" s="5">
        <v>200.99</v>
      </c>
      <c r="K695" s="5">
        <v>4.2</v>
      </c>
      <c r="L695" s="1" t="s">
        <v>5</v>
      </c>
      <c r="M695" s="1" t="s">
        <v>38</v>
      </c>
      <c r="N695" s="1" t="s">
        <v>15</v>
      </c>
      <c r="O695" s="1" t="s">
        <v>11</v>
      </c>
      <c r="P695" s="1" t="s">
        <v>7</v>
      </c>
      <c r="Q695" s="6">
        <f>C695+2</f>
        <v>41224</v>
      </c>
    </row>
    <row r="696" spans="1:17" ht="15.75" x14ac:dyDescent="0.3">
      <c r="A696" s="1">
        <v>3350</v>
      </c>
      <c r="B696" s="2">
        <v>23971</v>
      </c>
      <c r="C696" s="3">
        <f>DATE(2012,12,31)-1136</f>
        <v>40138</v>
      </c>
      <c r="D696" s="1" t="s">
        <v>0</v>
      </c>
      <c r="E696" s="2">
        <v>5</v>
      </c>
      <c r="F696" s="2">
        <v>66.63</v>
      </c>
      <c r="G696" s="2">
        <v>0</v>
      </c>
      <c r="H696" s="2">
        <v>0.57999999999999996</v>
      </c>
      <c r="I696" s="4">
        <v>-16.920000000000002</v>
      </c>
      <c r="J696" s="5">
        <v>11.97</v>
      </c>
      <c r="K696" s="5">
        <v>4.9800000000000004</v>
      </c>
      <c r="L696" s="1" t="s">
        <v>5</v>
      </c>
      <c r="M696" s="1" t="s">
        <v>38</v>
      </c>
      <c r="N696" s="1" t="s">
        <v>15</v>
      </c>
      <c r="O696" s="1" t="s">
        <v>6</v>
      </c>
      <c r="P696" s="1" t="s">
        <v>7</v>
      </c>
      <c r="Q696" s="6">
        <f>C696+3</f>
        <v>40141</v>
      </c>
    </row>
    <row r="697" spans="1:17" ht="15.75" x14ac:dyDescent="0.3">
      <c r="A697" s="1">
        <v>3388</v>
      </c>
      <c r="B697" s="2">
        <v>24135</v>
      </c>
      <c r="C697" s="3">
        <f>DATE(2012,12,31)-1074</f>
        <v>40200</v>
      </c>
      <c r="D697" s="1" t="s">
        <v>16</v>
      </c>
      <c r="E697" s="2">
        <v>12</v>
      </c>
      <c r="F697" s="2">
        <v>345.19</v>
      </c>
      <c r="G697" s="2">
        <v>0.1</v>
      </c>
      <c r="H697" s="2">
        <v>0.37</v>
      </c>
      <c r="I697" s="4">
        <v>111.58799999999999</v>
      </c>
      <c r="J697" s="5">
        <v>30.44</v>
      </c>
      <c r="K697" s="5">
        <v>1.49</v>
      </c>
      <c r="L697" s="1" t="s">
        <v>5</v>
      </c>
      <c r="M697" s="1" t="s">
        <v>38</v>
      </c>
      <c r="N697" s="1" t="s">
        <v>21</v>
      </c>
      <c r="O697" s="1" t="s">
        <v>6</v>
      </c>
      <c r="P697" s="1" t="s">
        <v>7</v>
      </c>
      <c r="Q697" s="6">
        <f>C697+2</f>
        <v>40202</v>
      </c>
    </row>
    <row r="698" spans="1:17" ht="15.75" x14ac:dyDescent="0.3">
      <c r="A698" s="1">
        <v>3395</v>
      </c>
      <c r="B698" s="2">
        <v>24196</v>
      </c>
      <c r="C698" s="3">
        <f>DATE(2012,12,31)-885</f>
        <v>40389</v>
      </c>
      <c r="D698" s="1" t="s">
        <v>17</v>
      </c>
      <c r="E698" s="2">
        <v>2</v>
      </c>
      <c r="F698" s="2">
        <v>13.44</v>
      </c>
      <c r="G698" s="2">
        <v>0.08</v>
      </c>
      <c r="H698" s="2">
        <v>0.4</v>
      </c>
      <c r="I698" s="4">
        <v>-8.8800000000000008</v>
      </c>
      <c r="J698" s="5">
        <v>4.28</v>
      </c>
      <c r="K698" s="5">
        <v>5.17</v>
      </c>
      <c r="L698" s="1" t="s">
        <v>5</v>
      </c>
      <c r="M698" s="1" t="s">
        <v>38</v>
      </c>
      <c r="N698" s="1" t="s">
        <v>15</v>
      </c>
      <c r="O698" s="1" t="s">
        <v>6</v>
      </c>
      <c r="P698" s="1" t="s">
        <v>7</v>
      </c>
      <c r="Q698" s="6">
        <f>C698+1</f>
        <v>40390</v>
      </c>
    </row>
    <row r="699" spans="1:17" ht="15.75" x14ac:dyDescent="0.3">
      <c r="A699" s="1">
        <v>3396</v>
      </c>
      <c r="B699" s="2">
        <v>24196</v>
      </c>
      <c r="C699" s="3">
        <f>DATE(2012,12,31)-885</f>
        <v>40389</v>
      </c>
      <c r="D699" s="1" t="s">
        <v>17</v>
      </c>
      <c r="E699" s="2">
        <v>24</v>
      </c>
      <c r="F699" s="2">
        <v>1049.49</v>
      </c>
      <c r="G699" s="2">
        <v>0.05</v>
      </c>
      <c r="H699" s="2">
        <v>0.55000000000000004</v>
      </c>
      <c r="I699" s="4">
        <v>-5.41</v>
      </c>
      <c r="J699" s="5">
        <v>43.57</v>
      </c>
      <c r="K699" s="5">
        <v>16.36</v>
      </c>
      <c r="L699" s="1" t="s">
        <v>5</v>
      </c>
      <c r="M699" s="1" t="s">
        <v>38</v>
      </c>
      <c r="N699" s="1" t="s">
        <v>15</v>
      </c>
      <c r="O699" s="1" t="s">
        <v>6</v>
      </c>
      <c r="P699" s="1" t="s">
        <v>7</v>
      </c>
      <c r="Q699" s="6">
        <f>C699+2</f>
        <v>40391</v>
      </c>
    </row>
    <row r="700" spans="1:17" ht="15.75" x14ac:dyDescent="0.3">
      <c r="A700" s="1">
        <v>3397</v>
      </c>
      <c r="B700" s="2">
        <v>24197</v>
      </c>
      <c r="C700" s="3">
        <f>DATE(2012,12,31)-1062</f>
        <v>40212</v>
      </c>
      <c r="D700" s="1" t="s">
        <v>16</v>
      </c>
      <c r="E700" s="2">
        <v>41</v>
      </c>
      <c r="F700" s="2">
        <v>2354.4</v>
      </c>
      <c r="G700" s="2">
        <v>0</v>
      </c>
      <c r="H700" s="2">
        <v>0.68</v>
      </c>
      <c r="I700" s="4">
        <v>246.54</v>
      </c>
      <c r="J700" s="5">
        <v>55.94</v>
      </c>
      <c r="K700" s="5">
        <v>6.55</v>
      </c>
      <c r="L700" s="1" t="s">
        <v>9</v>
      </c>
      <c r="M700" s="1" t="s">
        <v>38</v>
      </c>
      <c r="N700" s="1" t="s">
        <v>13</v>
      </c>
      <c r="O700" s="1" t="s">
        <v>11</v>
      </c>
      <c r="P700" s="1" t="s">
        <v>7</v>
      </c>
      <c r="Q700" s="6">
        <f>C700+7</f>
        <v>40219</v>
      </c>
    </row>
    <row r="701" spans="1:17" ht="15.75" x14ac:dyDescent="0.3">
      <c r="A701" s="1">
        <v>3398</v>
      </c>
      <c r="B701" s="2">
        <v>24197</v>
      </c>
      <c r="C701" s="3">
        <f>DATE(2012,12,31)-1062</f>
        <v>40212</v>
      </c>
      <c r="D701" s="1" t="s">
        <v>16</v>
      </c>
      <c r="E701" s="2">
        <v>2</v>
      </c>
      <c r="F701" s="2">
        <v>35.640499999999996</v>
      </c>
      <c r="G701" s="2">
        <v>0.05</v>
      </c>
      <c r="H701" s="2">
        <v>0.83</v>
      </c>
      <c r="I701" s="4">
        <v>-110.396</v>
      </c>
      <c r="J701" s="5">
        <v>20.99</v>
      </c>
      <c r="K701" s="5">
        <v>1.25</v>
      </c>
      <c r="L701" s="1" t="s">
        <v>5</v>
      </c>
      <c r="M701" s="1" t="s">
        <v>38</v>
      </c>
      <c r="N701" s="1" t="s">
        <v>13</v>
      </c>
      <c r="O701" s="1" t="s">
        <v>11</v>
      </c>
      <c r="P701" s="1" t="s">
        <v>20</v>
      </c>
      <c r="Q701" s="6">
        <f>C701+7</f>
        <v>40219</v>
      </c>
    </row>
    <row r="702" spans="1:17" ht="15.75" x14ac:dyDescent="0.3">
      <c r="A702" s="1">
        <v>3435</v>
      </c>
      <c r="B702" s="2">
        <v>24519</v>
      </c>
      <c r="C702" s="3">
        <f>DATE(2012,12,31)-569</f>
        <v>40705</v>
      </c>
      <c r="D702" s="1" t="s">
        <v>0</v>
      </c>
      <c r="E702" s="2">
        <v>22</v>
      </c>
      <c r="F702" s="2">
        <v>127.56</v>
      </c>
      <c r="G702" s="2">
        <v>0.03</v>
      </c>
      <c r="H702" s="2">
        <v>0.39</v>
      </c>
      <c r="I702" s="4">
        <v>-60.72</v>
      </c>
      <c r="J702" s="5">
        <v>5.34</v>
      </c>
      <c r="K702" s="5">
        <v>5.63</v>
      </c>
      <c r="L702" s="1" t="s">
        <v>5</v>
      </c>
      <c r="M702" s="1" t="s">
        <v>38</v>
      </c>
      <c r="N702" s="1" t="s">
        <v>21</v>
      </c>
      <c r="O702" s="1" t="s">
        <v>6</v>
      </c>
      <c r="P702" s="1" t="s">
        <v>7</v>
      </c>
      <c r="Q702" s="6">
        <f>C702+1</f>
        <v>40706</v>
      </c>
    </row>
    <row r="703" spans="1:17" ht="15.75" x14ac:dyDescent="0.3">
      <c r="A703" s="1">
        <v>3439</v>
      </c>
      <c r="B703" s="2">
        <v>24546</v>
      </c>
      <c r="C703" s="3">
        <f>DATE(2012,12,31)-280</f>
        <v>40994</v>
      </c>
      <c r="D703" s="1" t="s">
        <v>0</v>
      </c>
      <c r="E703" s="2">
        <v>7</v>
      </c>
      <c r="F703" s="2">
        <v>81.58</v>
      </c>
      <c r="G703" s="2">
        <v>0.04</v>
      </c>
      <c r="H703" s="2">
        <v>0.56999999999999995</v>
      </c>
      <c r="I703" s="4">
        <v>-7.78</v>
      </c>
      <c r="J703" s="5">
        <v>10.98</v>
      </c>
      <c r="K703" s="5">
        <v>3.37</v>
      </c>
      <c r="L703" s="1" t="s">
        <v>5</v>
      </c>
      <c r="M703" s="1" t="s">
        <v>38</v>
      </c>
      <c r="N703" s="1" t="s">
        <v>15</v>
      </c>
      <c r="O703" s="1" t="s">
        <v>6</v>
      </c>
      <c r="P703" s="1" t="s">
        <v>20</v>
      </c>
      <c r="Q703" s="6">
        <f>C703+1</f>
        <v>40995</v>
      </c>
    </row>
    <row r="704" spans="1:17" ht="15.75" x14ac:dyDescent="0.3">
      <c r="A704" s="1">
        <v>3444</v>
      </c>
      <c r="B704" s="2">
        <v>24579</v>
      </c>
      <c r="C704" s="3">
        <f>DATE(2012,12,31)-43</f>
        <v>41231</v>
      </c>
      <c r="D704" s="1" t="s">
        <v>17</v>
      </c>
      <c r="E704" s="2">
        <v>45</v>
      </c>
      <c r="F704" s="2">
        <v>13921.6</v>
      </c>
      <c r="G704" s="2">
        <v>0.02</v>
      </c>
      <c r="H704" s="2">
        <v>0.52</v>
      </c>
      <c r="I704" s="4">
        <v>5183.04</v>
      </c>
      <c r="J704" s="5">
        <v>300.64999999999998</v>
      </c>
      <c r="K704" s="5">
        <v>24.49</v>
      </c>
      <c r="L704" s="1" t="s">
        <v>5</v>
      </c>
      <c r="M704" s="1" t="s">
        <v>38</v>
      </c>
      <c r="N704" s="1" t="s">
        <v>13</v>
      </c>
      <c r="O704" s="1" t="s">
        <v>6</v>
      </c>
      <c r="P704" s="1" t="s">
        <v>10</v>
      </c>
      <c r="Q704" s="6">
        <f>C704+1</f>
        <v>41232</v>
      </c>
    </row>
    <row r="705" spans="1:17" ht="15.75" x14ac:dyDescent="0.3">
      <c r="A705" s="1">
        <v>3445</v>
      </c>
      <c r="B705" s="2">
        <v>24579</v>
      </c>
      <c r="C705" s="3">
        <f>DATE(2012,12,31)-43</f>
        <v>41231</v>
      </c>
      <c r="D705" s="1" t="s">
        <v>17</v>
      </c>
      <c r="E705" s="2">
        <v>40</v>
      </c>
      <c r="F705" s="2">
        <v>467.5</v>
      </c>
      <c r="G705" s="2">
        <v>0.08</v>
      </c>
      <c r="H705" s="2">
        <v>0.57999999999999996</v>
      </c>
      <c r="I705" s="4">
        <v>-33.340000000000003</v>
      </c>
      <c r="J705" s="5">
        <v>11.97</v>
      </c>
      <c r="K705" s="5">
        <v>4.9800000000000004</v>
      </c>
      <c r="L705" s="1" t="s">
        <v>5</v>
      </c>
      <c r="M705" s="1" t="s">
        <v>38</v>
      </c>
      <c r="N705" s="1" t="s">
        <v>13</v>
      </c>
      <c r="O705" s="1" t="s">
        <v>6</v>
      </c>
      <c r="P705" s="1" t="s">
        <v>7</v>
      </c>
      <c r="Q705" s="6">
        <f>C705+2</f>
        <v>41233</v>
      </c>
    </row>
    <row r="706" spans="1:17" ht="15.75" x14ac:dyDescent="0.3">
      <c r="A706" s="1">
        <v>3448</v>
      </c>
      <c r="B706" s="2">
        <v>24581</v>
      </c>
      <c r="C706" s="3">
        <f>DATE(2012,12,31)-997</f>
        <v>40277</v>
      </c>
      <c r="D706" s="1" t="s">
        <v>17</v>
      </c>
      <c r="E706" s="2">
        <v>8</v>
      </c>
      <c r="F706" s="2">
        <v>38.56</v>
      </c>
      <c r="G706" s="2">
        <v>0.03</v>
      </c>
      <c r="H706" s="2">
        <v>0.35</v>
      </c>
      <c r="I706" s="4">
        <v>4.08</v>
      </c>
      <c r="J706" s="5">
        <v>4.55</v>
      </c>
      <c r="K706" s="5">
        <v>1.49</v>
      </c>
      <c r="L706" s="1" t="s">
        <v>5</v>
      </c>
      <c r="M706" s="1" t="s">
        <v>38</v>
      </c>
      <c r="N706" s="1" t="s">
        <v>21</v>
      </c>
      <c r="O706" s="1" t="s">
        <v>6</v>
      </c>
      <c r="P706" s="1" t="s">
        <v>7</v>
      </c>
      <c r="Q706" s="6">
        <f>C706+1</f>
        <v>40278</v>
      </c>
    </row>
    <row r="707" spans="1:17" ht="15.75" x14ac:dyDescent="0.3">
      <c r="A707" s="1">
        <v>3473</v>
      </c>
      <c r="B707" s="2">
        <v>24710</v>
      </c>
      <c r="C707" s="3">
        <f>DATE(2012,12,31)-823</f>
        <v>40451</v>
      </c>
      <c r="D707" s="1" t="s">
        <v>16</v>
      </c>
      <c r="E707" s="2">
        <v>3</v>
      </c>
      <c r="F707" s="2">
        <v>22.06</v>
      </c>
      <c r="G707" s="2">
        <v>0.05</v>
      </c>
      <c r="H707" s="2">
        <v>0.36</v>
      </c>
      <c r="I707" s="4">
        <v>-15.6</v>
      </c>
      <c r="J707" s="5">
        <v>4.9800000000000004</v>
      </c>
      <c r="K707" s="5">
        <v>7.44</v>
      </c>
      <c r="L707" s="1" t="s">
        <v>5</v>
      </c>
      <c r="M707" s="1" t="s">
        <v>38</v>
      </c>
      <c r="N707" s="1" t="s">
        <v>21</v>
      </c>
      <c r="O707" s="1" t="s">
        <v>6</v>
      </c>
      <c r="P707" s="1" t="s">
        <v>7</v>
      </c>
      <c r="Q707" s="6">
        <f>C707+4</f>
        <v>40455</v>
      </c>
    </row>
    <row r="708" spans="1:17" ht="15.75" x14ac:dyDescent="0.3">
      <c r="A708" s="1">
        <v>3500</v>
      </c>
      <c r="B708" s="2">
        <v>24960</v>
      </c>
      <c r="C708" s="3">
        <f>DATE(2012,12,31)-704</f>
        <v>40570</v>
      </c>
      <c r="D708" s="1" t="s">
        <v>17</v>
      </c>
      <c r="E708" s="2">
        <v>48</v>
      </c>
      <c r="F708" s="2">
        <v>1760.35</v>
      </c>
      <c r="G708" s="2">
        <v>0.01</v>
      </c>
      <c r="H708" s="2">
        <v>0.76</v>
      </c>
      <c r="I708" s="4">
        <v>-17.079999999999998</v>
      </c>
      <c r="J708" s="5">
        <v>34.979999999999997</v>
      </c>
      <c r="K708" s="5">
        <v>7.53</v>
      </c>
      <c r="L708" s="1" t="s">
        <v>9</v>
      </c>
      <c r="M708" s="1" t="s">
        <v>38</v>
      </c>
      <c r="N708" s="1" t="s">
        <v>13</v>
      </c>
      <c r="O708" s="1" t="s">
        <v>11</v>
      </c>
      <c r="P708" s="1" t="s">
        <v>7</v>
      </c>
      <c r="Q708" s="6">
        <f>C708+1</f>
        <v>40571</v>
      </c>
    </row>
    <row r="709" spans="1:17" ht="15.75" x14ac:dyDescent="0.3">
      <c r="A709" s="1">
        <v>3501</v>
      </c>
      <c r="B709" s="2">
        <v>24960</v>
      </c>
      <c r="C709" s="3">
        <f>DATE(2012,12,31)-704</f>
        <v>40570</v>
      </c>
      <c r="D709" s="1" t="s">
        <v>17</v>
      </c>
      <c r="E709" s="2">
        <v>37</v>
      </c>
      <c r="F709" s="2">
        <v>1436.94</v>
      </c>
      <c r="G709" s="2">
        <v>0</v>
      </c>
      <c r="H709" s="2">
        <v>0.38</v>
      </c>
      <c r="I709" s="4">
        <v>639.66</v>
      </c>
      <c r="J709" s="5">
        <v>37.94</v>
      </c>
      <c r="K709" s="5">
        <v>5.08</v>
      </c>
      <c r="L709" s="1" t="s">
        <v>5</v>
      </c>
      <c r="M709" s="1" t="s">
        <v>38</v>
      </c>
      <c r="N709" s="1" t="s">
        <v>13</v>
      </c>
      <c r="O709" s="1" t="s">
        <v>6</v>
      </c>
      <c r="P709" s="1" t="s">
        <v>14</v>
      </c>
      <c r="Q709" s="6">
        <f>C709+1</f>
        <v>40571</v>
      </c>
    </row>
    <row r="710" spans="1:17" ht="15.75" x14ac:dyDescent="0.3">
      <c r="A710" s="1">
        <v>3502</v>
      </c>
      <c r="B710" s="2">
        <v>24960</v>
      </c>
      <c r="C710" s="3">
        <f>DATE(2012,12,31)-704</f>
        <v>40570</v>
      </c>
      <c r="D710" s="1" t="s">
        <v>17</v>
      </c>
      <c r="E710" s="2">
        <v>18</v>
      </c>
      <c r="F710" s="2">
        <v>125.8</v>
      </c>
      <c r="G710" s="2">
        <v>0.03</v>
      </c>
      <c r="H710" s="2">
        <v>0.37</v>
      </c>
      <c r="I710" s="4">
        <v>-35.979999999999997</v>
      </c>
      <c r="J710" s="5">
        <v>6.48</v>
      </c>
      <c r="K710" s="5">
        <v>5.87</v>
      </c>
      <c r="L710" s="1" t="s">
        <v>5</v>
      </c>
      <c r="M710" s="1" t="s">
        <v>38</v>
      </c>
      <c r="N710" s="1" t="s">
        <v>13</v>
      </c>
      <c r="O710" s="1" t="s">
        <v>6</v>
      </c>
      <c r="P710" s="1" t="s">
        <v>7</v>
      </c>
      <c r="Q710" s="6">
        <f>C710+2</f>
        <v>40572</v>
      </c>
    </row>
    <row r="711" spans="1:17" ht="15.75" x14ac:dyDescent="0.3">
      <c r="A711" s="1">
        <v>3503</v>
      </c>
      <c r="B711" s="2">
        <v>24960</v>
      </c>
      <c r="C711" s="3">
        <f>DATE(2012,12,31)-704</f>
        <v>40570</v>
      </c>
      <c r="D711" s="1" t="s">
        <v>17</v>
      </c>
      <c r="E711" s="2">
        <v>35</v>
      </c>
      <c r="F711" s="2">
        <v>5797.68</v>
      </c>
      <c r="G711" s="2">
        <v>0.04</v>
      </c>
      <c r="H711" s="2">
        <v>0.59</v>
      </c>
      <c r="I711" s="4">
        <v>1366.569</v>
      </c>
      <c r="J711" s="5">
        <v>200.99</v>
      </c>
      <c r="K711" s="5">
        <v>4.2</v>
      </c>
      <c r="L711" s="1" t="s">
        <v>5</v>
      </c>
      <c r="M711" s="1" t="s">
        <v>38</v>
      </c>
      <c r="N711" s="1" t="s">
        <v>13</v>
      </c>
      <c r="O711" s="1" t="s">
        <v>11</v>
      </c>
      <c r="P711" s="1" t="s">
        <v>7</v>
      </c>
      <c r="Q711" s="6">
        <f>C711+1</f>
        <v>40571</v>
      </c>
    </row>
    <row r="712" spans="1:17" ht="15.75" x14ac:dyDescent="0.3">
      <c r="A712" s="1">
        <v>3519</v>
      </c>
      <c r="B712" s="2">
        <v>25061</v>
      </c>
      <c r="C712" s="3">
        <f>DATE(2012,12,31)-379</f>
        <v>40895</v>
      </c>
      <c r="D712" s="1" t="s">
        <v>12</v>
      </c>
      <c r="E712" s="2">
        <v>20</v>
      </c>
      <c r="F712" s="2">
        <v>941.13</v>
      </c>
      <c r="G712" s="2">
        <v>0.1</v>
      </c>
      <c r="H712" s="2">
        <v>0.37</v>
      </c>
      <c r="I712" s="4">
        <v>344.95</v>
      </c>
      <c r="J712" s="5">
        <v>48.04</v>
      </c>
      <c r="K712" s="5">
        <v>7.23</v>
      </c>
      <c r="L712" s="1" t="s">
        <v>5</v>
      </c>
      <c r="M712" s="1" t="s">
        <v>38</v>
      </c>
      <c r="N712" s="1" t="s">
        <v>15</v>
      </c>
      <c r="O712" s="1" t="s">
        <v>6</v>
      </c>
      <c r="P712" s="1" t="s">
        <v>7</v>
      </c>
      <c r="Q712" s="6">
        <f>C712+2</f>
        <v>40897</v>
      </c>
    </row>
    <row r="713" spans="1:17" ht="15.75" x14ac:dyDescent="0.3">
      <c r="A713" s="1">
        <v>3527</v>
      </c>
      <c r="B713" s="2">
        <v>25095</v>
      </c>
      <c r="C713" s="3">
        <f>DATE(2012,12,31)-706</f>
        <v>40568</v>
      </c>
      <c r="D713" s="1" t="s">
        <v>16</v>
      </c>
      <c r="E713" s="2">
        <v>18</v>
      </c>
      <c r="F713" s="2">
        <v>693.06</v>
      </c>
      <c r="G713" s="2">
        <v>0.06</v>
      </c>
      <c r="H713" s="2">
        <v>0.4</v>
      </c>
      <c r="I713" s="4">
        <v>148.30000000000001</v>
      </c>
      <c r="J713" s="5">
        <v>39.979999999999997</v>
      </c>
      <c r="K713" s="5">
        <v>9.83</v>
      </c>
      <c r="L713" s="1" t="s">
        <v>5</v>
      </c>
      <c r="M713" s="1" t="s">
        <v>38</v>
      </c>
      <c r="N713" s="1" t="s">
        <v>21</v>
      </c>
      <c r="O713" s="1" t="s">
        <v>6</v>
      </c>
      <c r="P713" s="1" t="s">
        <v>7</v>
      </c>
      <c r="Q713" s="6">
        <f>C713+5</f>
        <v>40573</v>
      </c>
    </row>
    <row r="714" spans="1:17" ht="15.75" x14ac:dyDescent="0.3">
      <c r="A714" s="1">
        <v>3528</v>
      </c>
      <c r="B714" s="2">
        <v>25095</v>
      </c>
      <c r="C714" s="3">
        <f>DATE(2012,12,31)-706</f>
        <v>40568</v>
      </c>
      <c r="D714" s="1" t="s">
        <v>16</v>
      </c>
      <c r="E714" s="2">
        <v>41</v>
      </c>
      <c r="F714" s="2">
        <v>4475.03</v>
      </c>
      <c r="G714" s="2">
        <v>0.08</v>
      </c>
      <c r="H714" s="2">
        <v>0.4</v>
      </c>
      <c r="I714" s="4">
        <v>-167.83169999999998</v>
      </c>
      <c r="J714" s="5">
        <v>115.99</v>
      </c>
      <c r="K714" s="5">
        <v>56.14</v>
      </c>
      <c r="L714" s="1" t="s">
        <v>1</v>
      </c>
      <c r="M714" s="1" t="s">
        <v>38</v>
      </c>
      <c r="N714" s="1" t="s">
        <v>21</v>
      </c>
      <c r="O714" s="1" t="s">
        <v>11</v>
      </c>
      <c r="P714" s="1" t="s">
        <v>4</v>
      </c>
      <c r="Q714" s="6">
        <f>C714+0</f>
        <v>40568</v>
      </c>
    </row>
    <row r="715" spans="1:17" ht="15.75" x14ac:dyDescent="0.3">
      <c r="A715" s="1">
        <v>3544</v>
      </c>
      <c r="B715" s="2">
        <v>25254</v>
      </c>
      <c r="C715" s="3">
        <f>DATE(2012,12,31)-836</f>
        <v>40438</v>
      </c>
      <c r="D715" s="1" t="s">
        <v>0</v>
      </c>
      <c r="E715" s="2">
        <v>35</v>
      </c>
      <c r="F715" s="2">
        <v>299.68</v>
      </c>
      <c r="G715" s="2">
        <v>0.06</v>
      </c>
      <c r="H715" s="2">
        <v>0.36</v>
      </c>
      <c r="I715" s="4">
        <v>-29.359500000000001</v>
      </c>
      <c r="J715" s="5">
        <v>8.85</v>
      </c>
      <c r="K715" s="5">
        <v>5.6</v>
      </c>
      <c r="L715" s="1" t="s">
        <v>5</v>
      </c>
      <c r="M715" s="1" t="s">
        <v>38</v>
      </c>
      <c r="N715" s="1" t="s">
        <v>13</v>
      </c>
      <c r="O715" s="1" t="s">
        <v>6</v>
      </c>
      <c r="P715" s="1" t="s">
        <v>7</v>
      </c>
      <c r="Q715" s="6">
        <f>C715+2</f>
        <v>40440</v>
      </c>
    </row>
    <row r="716" spans="1:17" ht="15.75" x14ac:dyDescent="0.3">
      <c r="A716" s="1">
        <v>3583</v>
      </c>
      <c r="B716" s="2">
        <v>25542</v>
      </c>
      <c r="C716" s="3">
        <f>DATE(2012,12,31)-1</f>
        <v>41273</v>
      </c>
      <c r="D716" s="1" t="s">
        <v>16</v>
      </c>
      <c r="E716" s="2">
        <v>37</v>
      </c>
      <c r="F716" s="2">
        <v>257.45999999999998</v>
      </c>
      <c r="G716" s="2">
        <v>0.09</v>
      </c>
      <c r="H716" s="2">
        <v>0.39</v>
      </c>
      <c r="I716" s="4">
        <v>-18.66</v>
      </c>
      <c r="J716" s="5">
        <v>7.28</v>
      </c>
      <c r="K716" s="5">
        <v>4.2300000000000004</v>
      </c>
      <c r="L716" s="1" t="s">
        <v>9</v>
      </c>
      <c r="M716" s="1" t="s">
        <v>38</v>
      </c>
      <c r="N716" s="1" t="s">
        <v>15</v>
      </c>
      <c r="O716" s="1" t="s">
        <v>6</v>
      </c>
      <c r="P716" s="1" t="s">
        <v>14</v>
      </c>
      <c r="Q716" s="6">
        <f>C716+0</f>
        <v>41273</v>
      </c>
    </row>
    <row r="717" spans="1:17" ht="15.75" x14ac:dyDescent="0.3">
      <c r="A717" s="1">
        <v>3584</v>
      </c>
      <c r="B717" s="2">
        <v>25569</v>
      </c>
      <c r="C717" s="3">
        <f>DATE(2012,12,31)-175</f>
        <v>41099</v>
      </c>
      <c r="D717" s="1" t="s">
        <v>17</v>
      </c>
      <c r="E717" s="2">
        <v>27</v>
      </c>
      <c r="F717" s="2">
        <v>311.20999999999998</v>
      </c>
      <c r="G717" s="2">
        <v>0.09</v>
      </c>
      <c r="H717" s="2">
        <v>0.38</v>
      </c>
      <c r="I717" s="4">
        <v>-14.03</v>
      </c>
      <c r="J717" s="5">
        <v>12.28</v>
      </c>
      <c r="K717" s="5">
        <v>6.47</v>
      </c>
      <c r="L717" s="1" t="s">
        <v>5</v>
      </c>
      <c r="M717" s="1" t="s">
        <v>38</v>
      </c>
      <c r="N717" s="1" t="s">
        <v>13</v>
      </c>
      <c r="O717" s="1" t="s">
        <v>6</v>
      </c>
      <c r="P717" s="1" t="s">
        <v>7</v>
      </c>
      <c r="Q717" s="6">
        <f>C717+2</f>
        <v>41101</v>
      </c>
    </row>
    <row r="718" spans="1:17" ht="15.75" x14ac:dyDescent="0.3">
      <c r="A718" s="1">
        <v>3624</v>
      </c>
      <c r="B718" s="2">
        <v>25863</v>
      </c>
      <c r="C718" s="3">
        <f>DATE(2012,12,31)-619</f>
        <v>40655</v>
      </c>
      <c r="D718" s="1" t="s">
        <v>8</v>
      </c>
      <c r="E718" s="2">
        <v>18</v>
      </c>
      <c r="F718" s="2">
        <v>340.68849999999998</v>
      </c>
      <c r="G718" s="2">
        <v>0</v>
      </c>
      <c r="H718" s="2">
        <v>0.57999999999999996</v>
      </c>
      <c r="I718" s="4">
        <v>-10.846</v>
      </c>
      <c r="J718" s="5">
        <v>20.99</v>
      </c>
      <c r="K718" s="5">
        <v>4.8099999999999996</v>
      </c>
      <c r="L718" s="1" t="s">
        <v>9</v>
      </c>
      <c r="M718" s="1" t="s">
        <v>38</v>
      </c>
      <c r="N718" s="1" t="s">
        <v>2</v>
      </c>
      <c r="O718" s="1" t="s">
        <v>11</v>
      </c>
      <c r="P718" s="1" t="s">
        <v>18</v>
      </c>
      <c r="Q718" s="6">
        <f>C718+2</f>
        <v>40657</v>
      </c>
    </row>
    <row r="719" spans="1:17" ht="15.75" x14ac:dyDescent="0.3">
      <c r="A719" s="1">
        <v>3626</v>
      </c>
      <c r="B719" s="2">
        <v>25895</v>
      </c>
      <c r="C719" s="3">
        <f>DATE(2012,12,31)-258</f>
        <v>41016</v>
      </c>
      <c r="D719" s="1" t="s">
        <v>12</v>
      </c>
      <c r="E719" s="2">
        <v>37</v>
      </c>
      <c r="F719" s="2">
        <v>709.91</v>
      </c>
      <c r="G719" s="2">
        <v>0.09</v>
      </c>
      <c r="H719" s="2">
        <v>0.39</v>
      </c>
      <c r="I719" s="4">
        <v>-93.425999999999988</v>
      </c>
      <c r="J719" s="5">
        <v>19.350000000000001</v>
      </c>
      <c r="K719" s="5">
        <v>12.79</v>
      </c>
      <c r="L719" s="1" t="s">
        <v>5</v>
      </c>
      <c r="M719" s="1" t="s">
        <v>38</v>
      </c>
      <c r="N719" s="1" t="s">
        <v>2</v>
      </c>
      <c r="O719" s="1" t="s">
        <v>6</v>
      </c>
      <c r="P719" s="1" t="s">
        <v>7</v>
      </c>
      <c r="Q719" s="6">
        <f>C719+3</f>
        <v>41019</v>
      </c>
    </row>
    <row r="720" spans="1:17" ht="15.75" x14ac:dyDescent="0.3">
      <c r="A720" s="1">
        <v>3642</v>
      </c>
      <c r="B720" s="2">
        <v>26050</v>
      </c>
      <c r="C720" s="3">
        <f>DATE(2012,12,31)-564</f>
        <v>40710</v>
      </c>
      <c r="D720" s="1" t="s">
        <v>17</v>
      </c>
      <c r="E720" s="2">
        <v>44</v>
      </c>
      <c r="F720" s="2">
        <v>365.24</v>
      </c>
      <c r="G720" s="2">
        <v>0.09</v>
      </c>
      <c r="H720" s="2">
        <v>0.38</v>
      </c>
      <c r="I720" s="4">
        <v>-163.13</v>
      </c>
      <c r="J720" s="5">
        <v>8.74</v>
      </c>
      <c r="K720" s="5">
        <v>8.2899999999999991</v>
      </c>
      <c r="L720" s="1" t="s">
        <v>5</v>
      </c>
      <c r="M720" s="1" t="s">
        <v>38</v>
      </c>
      <c r="N720" s="1" t="s">
        <v>15</v>
      </c>
      <c r="O720" s="1" t="s">
        <v>6</v>
      </c>
      <c r="P720" s="1" t="s">
        <v>7</v>
      </c>
      <c r="Q720" s="6">
        <f>C720+1</f>
        <v>40711</v>
      </c>
    </row>
    <row r="721" spans="1:17" ht="15.75" x14ac:dyDescent="0.3">
      <c r="A721" s="1">
        <v>3651</v>
      </c>
      <c r="B721" s="2">
        <v>26145</v>
      </c>
      <c r="C721" s="3">
        <f>DATE(2012,12,31)-546</f>
        <v>40728</v>
      </c>
      <c r="D721" s="1" t="s">
        <v>16</v>
      </c>
      <c r="E721" s="2">
        <v>18</v>
      </c>
      <c r="F721" s="2">
        <v>99.36</v>
      </c>
      <c r="G721" s="2">
        <v>0</v>
      </c>
      <c r="H721" s="2">
        <v>0.36</v>
      </c>
      <c r="I721" s="4">
        <v>-51.198</v>
      </c>
      <c r="J721" s="5">
        <v>4.91</v>
      </c>
      <c r="K721" s="5">
        <v>5.68</v>
      </c>
      <c r="L721" s="1" t="s">
        <v>5</v>
      </c>
      <c r="M721" s="1" t="s">
        <v>38</v>
      </c>
      <c r="N721" s="1" t="s">
        <v>2</v>
      </c>
      <c r="O721" s="1" t="s">
        <v>6</v>
      </c>
      <c r="P721" s="1" t="s">
        <v>7</v>
      </c>
      <c r="Q721" s="6">
        <f>C721+4</f>
        <v>40732</v>
      </c>
    </row>
    <row r="722" spans="1:17" ht="15.75" x14ac:dyDescent="0.3">
      <c r="A722" s="1">
        <v>3652</v>
      </c>
      <c r="B722" s="2">
        <v>26145</v>
      </c>
      <c r="C722" s="3">
        <f>DATE(2012,12,31)-546</f>
        <v>40728</v>
      </c>
      <c r="D722" s="1" t="s">
        <v>16</v>
      </c>
      <c r="E722" s="2">
        <v>49</v>
      </c>
      <c r="F722" s="2">
        <v>510.15</v>
      </c>
      <c r="G722" s="2">
        <v>0.04</v>
      </c>
      <c r="H722" s="2">
        <v>0.56999999999999995</v>
      </c>
      <c r="I722" s="4">
        <v>-362.11</v>
      </c>
      <c r="J722" s="5">
        <v>9.98</v>
      </c>
      <c r="K722" s="5">
        <v>12.52</v>
      </c>
      <c r="L722" s="1" t="s">
        <v>5</v>
      </c>
      <c r="M722" s="1" t="s">
        <v>38</v>
      </c>
      <c r="N722" s="1" t="s">
        <v>2</v>
      </c>
      <c r="O722" s="1" t="s">
        <v>3</v>
      </c>
      <c r="P722" s="1" t="s">
        <v>7</v>
      </c>
      <c r="Q722" s="6">
        <f>C722+0</f>
        <v>40728</v>
      </c>
    </row>
    <row r="723" spans="1:17" ht="15.75" x14ac:dyDescent="0.3">
      <c r="A723" s="1">
        <v>3653</v>
      </c>
      <c r="B723" s="2">
        <v>26145</v>
      </c>
      <c r="C723" s="3">
        <f>DATE(2012,12,31)-546</f>
        <v>40728</v>
      </c>
      <c r="D723" s="1" t="s">
        <v>16</v>
      </c>
      <c r="E723" s="2">
        <v>27</v>
      </c>
      <c r="F723" s="2">
        <v>735.09</v>
      </c>
      <c r="G723" s="2">
        <v>0.1</v>
      </c>
      <c r="H723" s="2">
        <v>0.54</v>
      </c>
      <c r="I723" s="4">
        <v>153.5</v>
      </c>
      <c r="J723" s="5">
        <v>29.34</v>
      </c>
      <c r="K723" s="5">
        <v>7.87</v>
      </c>
      <c r="L723" s="1" t="s">
        <v>5</v>
      </c>
      <c r="M723" s="1" t="s">
        <v>38</v>
      </c>
      <c r="N723" s="1" t="s">
        <v>2</v>
      </c>
      <c r="O723" s="1" t="s">
        <v>3</v>
      </c>
      <c r="P723" s="1" t="s">
        <v>7</v>
      </c>
      <c r="Q723" s="6">
        <f>C723+2</f>
        <v>40730</v>
      </c>
    </row>
    <row r="724" spans="1:17" ht="15.75" x14ac:dyDescent="0.3">
      <c r="A724" s="1">
        <v>3671</v>
      </c>
      <c r="B724" s="2">
        <v>26279</v>
      </c>
      <c r="C724" s="3">
        <f>DATE(2012,12,31)-1250</f>
        <v>40024</v>
      </c>
      <c r="D724" s="1" t="s">
        <v>8</v>
      </c>
      <c r="E724" s="2">
        <v>7</v>
      </c>
      <c r="F724" s="2">
        <v>211.74350000000001</v>
      </c>
      <c r="G724" s="2">
        <v>0.04</v>
      </c>
      <c r="H724" s="2">
        <v>0.36</v>
      </c>
      <c r="I724" s="4">
        <v>-33.308</v>
      </c>
      <c r="J724" s="5">
        <v>35.99</v>
      </c>
      <c r="K724" s="5">
        <v>1.25</v>
      </c>
      <c r="L724" s="1" t="s">
        <v>5</v>
      </c>
      <c r="M724" s="1" t="s">
        <v>38</v>
      </c>
      <c r="N724" s="1" t="s">
        <v>15</v>
      </c>
      <c r="O724" s="1" t="s">
        <v>11</v>
      </c>
      <c r="P724" s="1" t="s">
        <v>20</v>
      </c>
      <c r="Q724" s="6">
        <f>C724+2</f>
        <v>40026</v>
      </c>
    </row>
    <row r="725" spans="1:17" ht="15.75" x14ac:dyDescent="0.3">
      <c r="A725" s="1">
        <v>3694</v>
      </c>
      <c r="B725" s="2">
        <v>26406</v>
      </c>
      <c r="C725" s="3">
        <f>DATE(2012,12,31)-629</f>
        <v>40645</v>
      </c>
      <c r="D725" s="1" t="s">
        <v>8</v>
      </c>
      <c r="E725" s="2">
        <v>40</v>
      </c>
      <c r="F725" s="2">
        <v>167.46</v>
      </c>
      <c r="G725" s="2">
        <v>0.09</v>
      </c>
      <c r="H725" s="2">
        <v>0.35</v>
      </c>
      <c r="I725" s="4">
        <v>-134.297</v>
      </c>
      <c r="J725" s="5">
        <v>4.24</v>
      </c>
      <c r="K725" s="5">
        <v>5.41</v>
      </c>
      <c r="L725" s="1" t="s">
        <v>5</v>
      </c>
      <c r="M725" s="1" t="s">
        <v>38</v>
      </c>
      <c r="N725" s="1" t="s">
        <v>15</v>
      </c>
      <c r="O725" s="1" t="s">
        <v>6</v>
      </c>
      <c r="P725" s="1" t="s">
        <v>7</v>
      </c>
      <c r="Q725" s="6">
        <f>C725+3</f>
        <v>40648</v>
      </c>
    </row>
    <row r="726" spans="1:17" ht="15.75" x14ac:dyDescent="0.3">
      <c r="A726" s="1">
        <v>3717</v>
      </c>
      <c r="B726" s="2">
        <v>26535</v>
      </c>
      <c r="C726" s="3">
        <f>DATE(2012,12,31)-286</f>
        <v>40988</v>
      </c>
      <c r="D726" s="1" t="s">
        <v>8</v>
      </c>
      <c r="E726" s="2">
        <v>33</v>
      </c>
      <c r="F726" s="2">
        <v>141.69999999999999</v>
      </c>
      <c r="G726" s="2">
        <v>0.02</v>
      </c>
      <c r="H726" s="2">
        <v>0.38</v>
      </c>
      <c r="I726" s="4">
        <v>-103.21250000000001</v>
      </c>
      <c r="J726" s="5">
        <v>3.98</v>
      </c>
      <c r="K726" s="5">
        <v>5.26</v>
      </c>
      <c r="L726" s="1" t="s">
        <v>5</v>
      </c>
      <c r="M726" s="1" t="s">
        <v>38</v>
      </c>
      <c r="N726" s="1" t="s">
        <v>2</v>
      </c>
      <c r="O726" s="1" t="s">
        <v>6</v>
      </c>
      <c r="P726" s="1" t="s">
        <v>7</v>
      </c>
      <c r="Q726" s="6">
        <f>C726+2</f>
        <v>40990</v>
      </c>
    </row>
    <row r="727" spans="1:17" ht="15.75" x14ac:dyDescent="0.3">
      <c r="A727" s="1">
        <v>3731</v>
      </c>
      <c r="B727" s="2">
        <v>26661</v>
      </c>
      <c r="C727" s="3">
        <f>DATE(2012,12,31)-12</f>
        <v>41262</v>
      </c>
      <c r="D727" s="1" t="s">
        <v>12</v>
      </c>
      <c r="E727" s="2">
        <v>31</v>
      </c>
      <c r="F727" s="2">
        <v>1772.2244999999998</v>
      </c>
      <c r="G727" s="2">
        <v>0.02</v>
      </c>
      <c r="H727" s="2">
        <v>0.56999999999999995</v>
      </c>
      <c r="I727" s="4">
        <v>390.86099999999999</v>
      </c>
      <c r="J727" s="5">
        <v>65.989999999999995</v>
      </c>
      <c r="K727" s="5">
        <v>4.99</v>
      </c>
      <c r="L727" s="1" t="s">
        <v>5</v>
      </c>
      <c r="M727" s="1" t="s">
        <v>38</v>
      </c>
      <c r="N727" s="1" t="s">
        <v>2</v>
      </c>
      <c r="O727" s="1" t="s">
        <v>11</v>
      </c>
      <c r="P727" s="1" t="s">
        <v>7</v>
      </c>
      <c r="Q727" s="6">
        <f>C727+1</f>
        <v>41263</v>
      </c>
    </row>
    <row r="728" spans="1:17" ht="15.75" x14ac:dyDescent="0.3">
      <c r="A728" s="1">
        <v>3761</v>
      </c>
      <c r="B728" s="2">
        <v>26855</v>
      </c>
      <c r="C728" s="3">
        <f>DATE(2012,12,31)-1387</f>
        <v>39887</v>
      </c>
      <c r="D728" s="1" t="s">
        <v>17</v>
      </c>
      <c r="E728" s="2">
        <v>13</v>
      </c>
      <c r="F728" s="2">
        <v>396.04</v>
      </c>
      <c r="G728" s="2">
        <v>0.08</v>
      </c>
      <c r="H728" s="2">
        <v>0.44</v>
      </c>
      <c r="I728" s="4">
        <v>230.02</v>
      </c>
      <c r="J728" s="5">
        <v>30.93</v>
      </c>
      <c r="K728" s="5">
        <v>3.92</v>
      </c>
      <c r="L728" s="1" t="s">
        <v>5</v>
      </c>
      <c r="M728" s="1" t="s">
        <v>38</v>
      </c>
      <c r="N728" s="1" t="s">
        <v>13</v>
      </c>
      <c r="O728" s="1" t="s">
        <v>3</v>
      </c>
      <c r="P728" s="1" t="s">
        <v>20</v>
      </c>
      <c r="Q728" s="6">
        <f>C728+1</f>
        <v>39888</v>
      </c>
    </row>
    <row r="729" spans="1:17" ht="15.75" x14ac:dyDescent="0.3">
      <c r="A729" s="1">
        <v>3794</v>
      </c>
      <c r="B729" s="2">
        <v>27047</v>
      </c>
      <c r="C729" s="3">
        <f>DATE(2012,12,31)-770</f>
        <v>40504</v>
      </c>
      <c r="D729" s="1" t="s">
        <v>17</v>
      </c>
      <c r="E729" s="2">
        <v>25</v>
      </c>
      <c r="F729" s="2">
        <v>14240.76</v>
      </c>
      <c r="G729" s="2">
        <v>0.06</v>
      </c>
      <c r="H729" s="2">
        <v>0.5</v>
      </c>
      <c r="I729" s="4">
        <v>3128.69</v>
      </c>
      <c r="J729" s="5">
        <v>599.99</v>
      </c>
      <c r="K729" s="5">
        <v>24.49</v>
      </c>
      <c r="L729" s="1" t="s">
        <v>5</v>
      </c>
      <c r="M729" s="1" t="s">
        <v>38</v>
      </c>
      <c r="N729" s="1" t="s">
        <v>21</v>
      </c>
      <c r="O729" s="1" t="s">
        <v>11</v>
      </c>
      <c r="P729" s="1" t="s">
        <v>10</v>
      </c>
      <c r="Q729" s="6">
        <f>C729+1</f>
        <v>40505</v>
      </c>
    </row>
    <row r="730" spans="1:17" ht="15.75" x14ac:dyDescent="0.3">
      <c r="A730" s="1">
        <v>3795</v>
      </c>
      <c r="B730" s="2">
        <v>27047</v>
      </c>
      <c r="C730" s="3">
        <f>DATE(2012,12,31)-770</f>
        <v>40504</v>
      </c>
      <c r="D730" s="1" t="s">
        <v>17</v>
      </c>
      <c r="E730" s="2">
        <v>38</v>
      </c>
      <c r="F730" s="2">
        <v>167.41</v>
      </c>
      <c r="G730" s="2">
        <v>0.05</v>
      </c>
      <c r="H730" s="2">
        <v>0.4</v>
      </c>
      <c r="I730" s="4">
        <v>-161.57</v>
      </c>
      <c r="J730" s="5">
        <v>4.28</v>
      </c>
      <c r="K730" s="5">
        <v>6.72</v>
      </c>
      <c r="L730" s="1" t="s">
        <v>5</v>
      </c>
      <c r="M730" s="1" t="s">
        <v>38</v>
      </c>
      <c r="N730" s="1" t="s">
        <v>21</v>
      </c>
      <c r="O730" s="1" t="s">
        <v>6</v>
      </c>
      <c r="P730" s="1" t="s">
        <v>7</v>
      </c>
      <c r="Q730" s="6">
        <f>C730+1</f>
        <v>40505</v>
      </c>
    </row>
    <row r="731" spans="1:17" ht="15.75" x14ac:dyDescent="0.3">
      <c r="A731" s="1">
        <v>3796</v>
      </c>
      <c r="B731" s="2">
        <v>27077</v>
      </c>
      <c r="C731" s="3">
        <f>DATE(2012,12,31)-1022</f>
        <v>40252</v>
      </c>
      <c r="D731" s="1" t="s">
        <v>0</v>
      </c>
      <c r="E731" s="2">
        <v>11</v>
      </c>
      <c r="F731" s="2">
        <v>1612.93</v>
      </c>
      <c r="G731" s="2">
        <v>0</v>
      </c>
      <c r="H731" s="2">
        <v>0.37</v>
      </c>
      <c r="I731" s="4">
        <v>321.25</v>
      </c>
      <c r="J731" s="5">
        <v>140.99</v>
      </c>
      <c r="K731" s="5">
        <v>13.99</v>
      </c>
      <c r="L731" s="1" t="s">
        <v>5</v>
      </c>
      <c r="M731" s="1" t="s">
        <v>38</v>
      </c>
      <c r="N731" s="1" t="s">
        <v>13</v>
      </c>
      <c r="O731" s="1" t="s">
        <v>11</v>
      </c>
      <c r="P731" s="1" t="s">
        <v>18</v>
      </c>
      <c r="Q731" s="6">
        <f>C731+2</f>
        <v>40254</v>
      </c>
    </row>
    <row r="732" spans="1:17" ht="15.75" x14ac:dyDescent="0.3">
      <c r="A732" s="1">
        <v>3820</v>
      </c>
      <c r="B732" s="2">
        <v>27236</v>
      </c>
      <c r="C732" s="3">
        <f>DATE(2012,12,31)-1035</f>
        <v>40239</v>
      </c>
      <c r="D732" s="1" t="s">
        <v>17</v>
      </c>
      <c r="E732" s="2">
        <v>20</v>
      </c>
      <c r="F732" s="2">
        <v>393.31</v>
      </c>
      <c r="G732" s="2">
        <v>0.04</v>
      </c>
      <c r="H732" s="2">
        <v>0.38</v>
      </c>
      <c r="I732" s="4">
        <v>84.3</v>
      </c>
      <c r="J732" s="5">
        <v>19.98</v>
      </c>
      <c r="K732" s="5">
        <v>5.86</v>
      </c>
      <c r="L732" s="1" t="s">
        <v>5</v>
      </c>
      <c r="M732" s="1" t="s">
        <v>38</v>
      </c>
      <c r="N732" s="1" t="s">
        <v>13</v>
      </c>
      <c r="O732" s="1" t="s">
        <v>6</v>
      </c>
      <c r="P732" s="1" t="s">
        <v>7</v>
      </c>
      <c r="Q732" s="6">
        <f>C732+1</f>
        <v>40240</v>
      </c>
    </row>
    <row r="733" spans="1:17" ht="15.75" x14ac:dyDescent="0.3">
      <c r="A733" s="1">
        <v>3867</v>
      </c>
      <c r="B733" s="2">
        <v>27589</v>
      </c>
      <c r="C733" s="3">
        <f>DATE(2012,12,31)-473</f>
        <v>40801</v>
      </c>
      <c r="D733" s="1" t="s">
        <v>12</v>
      </c>
      <c r="E733" s="2">
        <v>20</v>
      </c>
      <c r="F733" s="2">
        <v>845.7</v>
      </c>
      <c r="G733" s="2">
        <v>0.02</v>
      </c>
      <c r="H733" s="2">
        <v>0.54</v>
      </c>
      <c r="I733" s="4">
        <v>221.6</v>
      </c>
      <c r="J733" s="5">
        <v>39.479999999999997</v>
      </c>
      <c r="K733" s="5">
        <v>1.99</v>
      </c>
      <c r="L733" s="1" t="s">
        <v>9</v>
      </c>
      <c r="M733" s="1" t="s">
        <v>38</v>
      </c>
      <c r="N733" s="1" t="s">
        <v>2</v>
      </c>
      <c r="O733" s="1" t="s">
        <v>11</v>
      </c>
      <c r="P733" s="1" t="s">
        <v>20</v>
      </c>
      <c r="Q733" s="6">
        <f>C733+2</f>
        <v>40803</v>
      </c>
    </row>
    <row r="734" spans="1:17" ht="15.75" x14ac:dyDescent="0.3">
      <c r="A734" s="1">
        <v>3868</v>
      </c>
      <c r="B734" s="2">
        <v>27589</v>
      </c>
      <c r="C734" s="3">
        <f>DATE(2012,12,31)-473</f>
        <v>40801</v>
      </c>
      <c r="D734" s="1" t="s">
        <v>12</v>
      </c>
      <c r="E734" s="2">
        <v>25</v>
      </c>
      <c r="F734" s="2">
        <v>467</v>
      </c>
      <c r="G734" s="2">
        <v>0.04</v>
      </c>
      <c r="H734" s="2">
        <v>0.47</v>
      </c>
      <c r="I734" s="4">
        <v>69.97</v>
      </c>
      <c r="J734" s="5">
        <v>17.670000000000002</v>
      </c>
      <c r="K734" s="5">
        <v>8.99</v>
      </c>
      <c r="L734" s="1" t="s">
        <v>5</v>
      </c>
      <c r="M734" s="1" t="s">
        <v>38</v>
      </c>
      <c r="N734" s="1" t="s">
        <v>2</v>
      </c>
      <c r="O734" s="1" t="s">
        <v>3</v>
      </c>
      <c r="P734" s="1" t="s">
        <v>20</v>
      </c>
      <c r="Q734" s="6">
        <f>C734+1</f>
        <v>40802</v>
      </c>
    </row>
    <row r="735" spans="1:17" ht="15.75" x14ac:dyDescent="0.3">
      <c r="A735" s="1">
        <v>3869</v>
      </c>
      <c r="B735" s="2">
        <v>27589</v>
      </c>
      <c r="C735" s="3">
        <f>DATE(2012,12,31)-473</f>
        <v>40801</v>
      </c>
      <c r="D735" s="1" t="s">
        <v>12</v>
      </c>
      <c r="E735" s="2">
        <v>36</v>
      </c>
      <c r="F735" s="2">
        <v>64.430000000000007</v>
      </c>
      <c r="G735" s="2">
        <v>7.0000000000000007E-2</v>
      </c>
      <c r="H735" s="2">
        <v>0.66</v>
      </c>
      <c r="I735" s="4">
        <v>-18.640350000000002</v>
      </c>
      <c r="J735" s="5">
        <v>1.88</v>
      </c>
      <c r="K735" s="5">
        <v>1.49</v>
      </c>
      <c r="L735" s="1" t="s">
        <v>5</v>
      </c>
      <c r="M735" s="1" t="s">
        <v>38</v>
      </c>
      <c r="N735" s="1" t="s">
        <v>2</v>
      </c>
      <c r="O735" s="1" t="s">
        <v>3</v>
      </c>
      <c r="P735" s="1" t="s">
        <v>19</v>
      </c>
      <c r="Q735" s="6">
        <f>C735+1</f>
        <v>40802</v>
      </c>
    </row>
    <row r="736" spans="1:17" ht="15.75" x14ac:dyDescent="0.3">
      <c r="A736" s="1">
        <v>3875</v>
      </c>
      <c r="B736" s="2">
        <v>27681</v>
      </c>
      <c r="C736" s="3">
        <f>DATE(2012,12,31)-768</f>
        <v>40506</v>
      </c>
      <c r="D736" s="1" t="s">
        <v>12</v>
      </c>
      <c r="E736" s="2">
        <v>7</v>
      </c>
      <c r="F736" s="2">
        <v>37.799999999999997</v>
      </c>
      <c r="G736" s="2">
        <v>0.06</v>
      </c>
      <c r="H736" s="2">
        <v>0.38</v>
      </c>
      <c r="I736" s="4">
        <v>-18.309999999999999</v>
      </c>
      <c r="J736" s="5">
        <v>4.9800000000000004</v>
      </c>
      <c r="K736" s="5">
        <v>4.7</v>
      </c>
      <c r="L736" s="1" t="s">
        <v>5</v>
      </c>
      <c r="M736" s="1" t="s">
        <v>38</v>
      </c>
      <c r="N736" s="1" t="s">
        <v>15</v>
      </c>
      <c r="O736" s="1" t="s">
        <v>6</v>
      </c>
      <c r="P736" s="1" t="s">
        <v>7</v>
      </c>
      <c r="Q736" s="6">
        <f>C736+1</f>
        <v>40507</v>
      </c>
    </row>
    <row r="737" spans="1:17" ht="15.75" x14ac:dyDescent="0.3">
      <c r="A737" s="1">
        <v>3876</v>
      </c>
      <c r="B737" s="2">
        <v>27681</v>
      </c>
      <c r="C737" s="3">
        <f>DATE(2012,12,31)-768</f>
        <v>40506</v>
      </c>
      <c r="D737" s="1" t="s">
        <v>12</v>
      </c>
      <c r="E737" s="2">
        <v>30</v>
      </c>
      <c r="F737" s="2">
        <v>183.28</v>
      </c>
      <c r="G737" s="2">
        <v>0.04</v>
      </c>
      <c r="H737" s="2">
        <v>0.56000000000000005</v>
      </c>
      <c r="I737" s="4">
        <v>33.880000000000003</v>
      </c>
      <c r="J737" s="5">
        <v>6.08</v>
      </c>
      <c r="K737" s="5">
        <v>1.17</v>
      </c>
      <c r="L737" s="1" t="s">
        <v>5</v>
      </c>
      <c r="M737" s="1" t="s">
        <v>38</v>
      </c>
      <c r="N737" s="1" t="s">
        <v>15</v>
      </c>
      <c r="O737" s="1" t="s">
        <v>6</v>
      </c>
      <c r="P737" s="1" t="s">
        <v>14</v>
      </c>
      <c r="Q737" s="6">
        <f>C737+2</f>
        <v>40508</v>
      </c>
    </row>
    <row r="738" spans="1:17" ht="15.75" x14ac:dyDescent="0.3">
      <c r="A738" s="1">
        <v>3933</v>
      </c>
      <c r="B738" s="2">
        <v>28033</v>
      </c>
      <c r="C738" s="3">
        <f>DATE(2012,12,31)-839</f>
        <v>40435</v>
      </c>
      <c r="D738" s="1" t="s">
        <v>17</v>
      </c>
      <c r="E738" s="2">
        <v>16</v>
      </c>
      <c r="F738" s="2">
        <v>2826.9</v>
      </c>
      <c r="G738" s="2">
        <v>7.0000000000000007E-2</v>
      </c>
      <c r="H738" s="2">
        <v>0.59</v>
      </c>
      <c r="I738" s="4">
        <v>337.29</v>
      </c>
      <c r="J738" s="5">
        <v>180.98</v>
      </c>
      <c r="K738" s="5">
        <v>26.2</v>
      </c>
      <c r="L738" s="1" t="s">
        <v>1</v>
      </c>
      <c r="M738" s="1" t="s">
        <v>38</v>
      </c>
      <c r="N738" s="1" t="s">
        <v>2</v>
      </c>
      <c r="O738" s="1" t="s">
        <v>3</v>
      </c>
      <c r="P738" s="1" t="s">
        <v>4</v>
      </c>
      <c r="Q738" s="6">
        <f>C738+2</f>
        <v>40437</v>
      </c>
    </row>
    <row r="739" spans="1:17" ht="15.75" x14ac:dyDescent="0.3">
      <c r="A739" s="1">
        <v>3934</v>
      </c>
      <c r="B739" s="2">
        <v>28033</v>
      </c>
      <c r="C739" s="3">
        <f>DATE(2012,12,31)-839</f>
        <v>40435</v>
      </c>
      <c r="D739" s="1" t="s">
        <v>17</v>
      </c>
      <c r="E739" s="2">
        <v>37</v>
      </c>
      <c r="F739" s="2">
        <v>7834.77</v>
      </c>
      <c r="G739" s="2">
        <v>0.04</v>
      </c>
      <c r="H739" s="2">
        <v>0.59</v>
      </c>
      <c r="I739" s="4">
        <v>297.79000000000002</v>
      </c>
      <c r="J739" s="5">
        <v>216.6</v>
      </c>
      <c r="K739" s="5">
        <v>64.2</v>
      </c>
      <c r="L739" s="1" t="s">
        <v>1</v>
      </c>
      <c r="M739" s="1" t="s">
        <v>38</v>
      </c>
      <c r="N739" s="1" t="s">
        <v>2</v>
      </c>
      <c r="O739" s="1" t="s">
        <v>3</v>
      </c>
      <c r="P739" s="1" t="s">
        <v>4</v>
      </c>
      <c r="Q739" s="6">
        <f>C739+2</f>
        <v>40437</v>
      </c>
    </row>
    <row r="740" spans="1:17" ht="15.75" x14ac:dyDescent="0.3">
      <c r="A740" s="1">
        <v>3935</v>
      </c>
      <c r="B740" s="2">
        <v>28033</v>
      </c>
      <c r="C740" s="3">
        <f>DATE(2012,12,31)-839</f>
        <v>40435</v>
      </c>
      <c r="D740" s="1" t="s">
        <v>17</v>
      </c>
      <c r="E740" s="2">
        <v>18</v>
      </c>
      <c r="F740" s="2">
        <v>127.56</v>
      </c>
      <c r="G740" s="2">
        <v>0.01</v>
      </c>
      <c r="H740" s="2">
        <v>0.66</v>
      </c>
      <c r="I740" s="4">
        <v>-57.11</v>
      </c>
      <c r="J740" s="5">
        <v>6.6</v>
      </c>
      <c r="K740" s="5">
        <v>4.07</v>
      </c>
      <c r="L740" s="1" t="s">
        <v>5</v>
      </c>
      <c r="M740" s="1" t="s">
        <v>38</v>
      </c>
      <c r="N740" s="1" t="s">
        <v>2</v>
      </c>
      <c r="O740" s="1" t="s">
        <v>11</v>
      </c>
      <c r="P740" s="1" t="s">
        <v>20</v>
      </c>
      <c r="Q740" s="6">
        <f>C740+3</f>
        <v>40438</v>
      </c>
    </row>
    <row r="741" spans="1:17" ht="15.75" x14ac:dyDescent="0.3">
      <c r="A741" s="1">
        <v>3969</v>
      </c>
      <c r="B741" s="2">
        <v>28324</v>
      </c>
      <c r="C741" s="3">
        <f>DATE(2012,12,31)-512</f>
        <v>40762</v>
      </c>
      <c r="D741" s="1" t="s">
        <v>17</v>
      </c>
      <c r="E741" s="2">
        <v>48</v>
      </c>
      <c r="F741" s="2">
        <v>385.99</v>
      </c>
      <c r="G741" s="2">
        <v>0.09</v>
      </c>
      <c r="H741" s="2">
        <v>0.57999999999999996</v>
      </c>
      <c r="I741" s="4">
        <v>-40.72</v>
      </c>
      <c r="J741" s="5">
        <v>8.67</v>
      </c>
      <c r="K741" s="5">
        <v>3.5</v>
      </c>
      <c r="L741" s="1" t="s">
        <v>5</v>
      </c>
      <c r="M741" s="1" t="s">
        <v>38</v>
      </c>
      <c r="N741" s="1" t="s">
        <v>13</v>
      </c>
      <c r="O741" s="1" t="s">
        <v>6</v>
      </c>
      <c r="P741" s="1" t="s">
        <v>7</v>
      </c>
      <c r="Q741" s="6">
        <f t="shared" ref="Q741:Q746" si="1">C741+2</f>
        <v>40764</v>
      </c>
    </row>
    <row r="742" spans="1:17" ht="15.75" x14ac:dyDescent="0.3">
      <c r="A742" s="1">
        <v>4035</v>
      </c>
      <c r="B742" s="2">
        <v>28805</v>
      </c>
      <c r="C742" s="3">
        <f>DATE(2012,12,31)-639</f>
        <v>40635</v>
      </c>
      <c r="D742" s="1" t="s">
        <v>12</v>
      </c>
      <c r="E742" s="2">
        <v>14</v>
      </c>
      <c r="F742" s="2">
        <v>97.93</v>
      </c>
      <c r="G742" s="2">
        <v>7.0000000000000007E-2</v>
      </c>
      <c r="H742" s="2">
        <v>0.59</v>
      </c>
      <c r="I742" s="4">
        <v>-616.80999999999995</v>
      </c>
      <c r="J742" s="5">
        <v>3.48</v>
      </c>
      <c r="K742" s="5">
        <v>49</v>
      </c>
      <c r="L742" s="1" t="s">
        <v>5</v>
      </c>
      <c r="M742" s="1" t="s">
        <v>38</v>
      </c>
      <c r="N742" s="1" t="s">
        <v>2</v>
      </c>
      <c r="O742" s="1" t="s">
        <v>6</v>
      </c>
      <c r="P742" s="1" t="s">
        <v>10</v>
      </c>
      <c r="Q742" s="6">
        <f t="shared" si="1"/>
        <v>40637</v>
      </c>
    </row>
    <row r="743" spans="1:17" ht="15.75" x14ac:dyDescent="0.3">
      <c r="A743" s="1">
        <v>4036</v>
      </c>
      <c r="B743" s="2">
        <v>28805</v>
      </c>
      <c r="C743" s="3">
        <f>DATE(2012,12,31)-639</f>
        <v>40635</v>
      </c>
      <c r="D743" s="1" t="s">
        <v>12</v>
      </c>
      <c r="E743" s="2">
        <v>4</v>
      </c>
      <c r="F743" s="2">
        <v>25.52</v>
      </c>
      <c r="G743" s="2">
        <v>7.0000000000000007E-2</v>
      </c>
      <c r="H743" s="2">
        <v>0.39</v>
      </c>
      <c r="I743" s="4">
        <v>-1.9895</v>
      </c>
      <c r="J743" s="5">
        <v>5.98</v>
      </c>
      <c r="K743" s="5">
        <v>1.49</v>
      </c>
      <c r="L743" s="1" t="s">
        <v>5</v>
      </c>
      <c r="M743" s="1" t="s">
        <v>38</v>
      </c>
      <c r="N743" s="1" t="s">
        <v>2</v>
      </c>
      <c r="O743" s="1" t="s">
        <v>6</v>
      </c>
      <c r="P743" s="1" t="s">
        <v>7</v>
      </c>
      <c r="Q743" s="6">
        <f t="shared" si="1"/>
        <v>40637</v>
      </c>
    </row>
    <row r="744" spans="1:17" ht="15.75" x14ac:dyDescent="0.3">
      <c r="A744" s="1">
        <v>4037</v>
      </c>
      <c r="B744" s="2">
        <v>28805</v>
      </c>
      <c r="C744" s="3">
        <f>DATE(2012,12,31)-639</f>
        <v>40635</v>
      </c>
      <c r="D744" s="1" t="s">
        <v>12</v>
      </c>
      <c r="E744" s="2">
        <v>46</v>
      </c>
      <c r="F744" s="2">
        <v>487.5</v>
      </c>
      <c r="G744" s="2">
        <v>0.05</v>
      </c>
      <c r="H744" s="2">
        <v>0.59</v>
      </c>
      <c r="I744" s="4">
        <v>-25.88</v>
      </c>
      <c r="J744" s="5">
        <v>10.23</v>
      </c>
      <c r="K744" s="5">
        <v>4.68</v>
      </c>
      <c r="L744" s="1" t="s">
        <v>5</v>
      </c>
      <c r="M744" s="1" t="s">
        <v>38</v>
      </c>
      <c r="N744" s="1" t="s">
        <v>2</v>
      </c>
      <c r="O744" s="1" t="s">
        <v>6</v>
      </c>
      <c r="P744" s="1" t="s">
        <v>20</v>
      </c>
      <c r="Q744" s="6">
        <f t="shared" si="1"/>
        <v>40637</v>
      </c>
    </row>
    <row r="745" spans="1:17" ht="15.75" x14ac:dyDescent="0.3">
      <c r="A745" s="1">
        <v>4052</v>
      </c>
      <c r="B745" s="2">
        <v>28897</v>
      </c>
      <c r="C745" s="3">
        <f>DATE(2012,12,31)-1225</f>
        <v>40049</v>
      </c>
      <c r="D745" s="1" t="s">
        <v>12</v>
      </c>
      <c r="E745" s="2">
        <v>35</v>
      </c>
      <c r="F745" s="2">
        <v>146.15</v>
      </c>
      <c r="G745" s="2">
        <v>0.02</v>
      </c>
      <c r="H745" s="2">
        <v>0.6</v>
      </c>
      <c r="I745" s="4">
        <v>-180.26</v>
      </c>
      <c r="J745" s="5">
        <v>4.0599999999999996</v>
      </c>
      <c r="K745" s="5">
        <v>6.89</v>
      </c>
      <c r="L745" s="1" t="s">
        <v>5</v>
      </c>
      <c r="M745" s="1" t="s">
        <v>38</v>
      </c>
      <c r="N745" s="1" t="s">
        <v>21</v>
      </c>
      <c r="O745" s="1" t="s">
        <v>6</v>
      </c>
      <c r="P745" s="1" t="s">
        <v>7</v>
      </c>
      <c r="Q745" s="6">
        <f t="shared" si="1"/>
        <v>40051</v>
      </c>
    </row>
    <row r="746" spans="1:17" ht="15.75" x14ac:dyDescent="0.3">
      <c r="A746" s="1">
        <v>4053</v>
      </c>
      <c r="B746" s="2">
        <v>28897</v>
      </c>
      <c r="C746" s="3">
        <f>DATE(2012,12,31)-1225</f>
        <v>40049</v>
      </c>
      <c r="D746" s="1" t="s">
        <v>12</v>
      </c>
      <c r="E746" s="2">
        <v>14</v>
      </c>
      <c r="F746" s="2">
        <v>877.47</v>
      </c>
      <c r="G746" s="2">
        <v>7.0000000000000007E-2</v>
      </c>
      <c r="H746" s="2">
        <v>0.38</v>
      </c>
      <c r="I746" s="4">
        <v>151.24</v>
      </c>
      <c r="J746" s="5">
        <v>60.98</v>
      </c>
      <c r="K746" s="5">
        <v>19.989999999999998</v>
      </c>
      <c r="L746" s="1" t="s">
        <v>5</v>
      </c>
      <c r="M746" s="1" t="s">
        <v>38</v>
      </c>
      <c r="N746" s="1" t="s">
        <v>21</v>
      </c>
      <c r="O746" s="1" t="s">
        <v>6</v>
      </c>
      <c r="P746" s="1" t="s">
        <v>7</v>
      </c>
      <c r="Q746" s="6">
        <f t="shared" si="1"/>
        <v>40051</v>
      </c>
    </row>
    <row r="747" spans="1:17" ht="15.75" x14ac:dyDescent="0.3">
      <c r="A747" s="1">
        <v>4062</v>
      </c>
      <c r="B747" s="2">
        <v>28932</v>
      </c>
      <c r="C747" s="3">
        <f>DATE(2012,12,31)-894</f>
        <v>40380</v>
      </c>
      <c r="D747" s="1" t="s">
        <v>16</v>
      </c>
      <c r="E747" s="2">
        <v>24</v>
      </c>
      <c r="F747" s="2">
        <v>269.57</v>
      </c>
      <c r="G747" s="2">
        <v>0</v>
      </c>
      <c r="H747" s="2">
        <v>0.51</v>
      </c>
      <c r="I747" s="4">
        <v>33.47</v>
      </c>
      <c r="J747" s="5">
        <v>10.4</v>
      </c>
      <c r="K747" s="5">
        <v>5.4</v>
      </c>
      <c r="L747" s="1" t="s">
        <v>9</v>
      </c>
      <c r="M747" s="1" t="s">
        <v>38</v>
      </c>
      <c r="N747" s="1" t="s">
        <v>21</v>
      </c>
      <c r="O747" s="1" t="s">
        <v>3</v>
      </c>
      <c r="P747" s="1" t="s">
        <v>20</v>
      </c>
      <c r="Q747" s="6">
        <f>C747+0</f>
        <v>40380</v>
      </c>
    </row>
    <row r="748" spans="1:17" ht="15.75" x14ac:dyDescent="0.3">
      <c r="A748" s="1">
        <v>4063</v>
      </c>
      <c r="B748" s="2">
        <v>28932</v>
      </c>
      <c r="C748" s="3">
        <f>DATE(2012,12,31)-894</f>
        <v>40380</v>
      </c>
      <c r="D748" s="1" t="s">
        <v>16</v>
      </c>
      <c r="E748" s="2">
        <v>18</v>
      </c>
      <c r="F748" s="2">
        <v>98.94</v>
      </c>
      <c r="G748" s="2">
        <v>0.1</v>
      </c>
      <c r="H748" s="2">
        <v>0.56000000000000005</v>
      </c>
      <c r="I748" s="4">
        <v>-12.59</v>
      </c>
      <c r="J748" s="5">
        <v>5.85</v>
      </c>
      <c r="K748" s="5">
        <v>2.27</v>
      </c>
      <c r="L748" s="1" t="s">
        <v>5</v>
      </c>
      <c r="M748" s="1" t="s">
        <v>38</v>
      </c>
      <c r="N748" s="1" t="s">
        <v>21</v>
      </c>
      <c r="O748" s="1" t="s">
        <v>6</v>
      </c>
      <c r="P748" s="1" t="s">
        <v>14</v>
      </c>
      <c r="Q748" s="6">
        <f>C748+7</f>
        <v>40387</v>
      </c>
    </row>
    <row r="749" spans="1:17" ht="15.75" x14ac:dyDescent="0.3">
      <c r="A749" s="1">
        <v>4105</v>
      </c>
      <c r="B749" s="2">
        <v>29219</v>
      </c>
      <c r="C749" s="3">
        <f>DATE(2012,12,31)-1361</f>
        <v>39913</v>
      </c>
      <c r="D749" s="1" t="s">
        <v>8</v>
      </c>
      <c r="E749" s="2">
        <v>29</v>
      </c>
      <c r="F749" s="2">
        <v>203.4</v>
      </c>
      <c r="G749" s="2">
        <v>0.04</v>
      </c>
      <c r="H749" s="2">
        <v>0.47</v>
      </c>
      <c r="I749" s="4">
        <v>24.59</v>
      </c>
      <c r="J749" s="5">
        <v>7.08</v>
      </c>
      <c r="K749" s="5">
        <v>2.35</v>
      </c>
      <c r="L749" s="1" t="s">
        <v>5</v>
      </c>
      <c r="M749" s="1" t="s">
        <v>38</v>
      </c>
      <c r="N749" s="1" t="s">
        <v>15</v>
      </c>
      <c r="O749" s="1" t="s">
        <v>6</v>
      </c>
      <c r="P749" s="1" t="s">
        <v>14</v>
      </c>
      <c r="Q749" s="6">
        <f>C749+1</f>
        <v>39914</v>
      </c>
    </row>
    <row r="750" spans="1:17" ht="15.75" x14ac:dyDescent="0.3">
      <c r="A750" s="1">
        <v>4145</v>
      </c>
      <c r="B750" s="2">
        <v>29410</v>
      </c>
      <c r="C750" s="3">
        <f>DATE(2012,12,31)-1201</f>
        <v>40073</v>
      </c>
      <c r="D750" s="1" t="s">
        <v>0</v>
      </c>
      <c r="E750" s="2">
        <v>35</v>
      </c>
      <c r="F750" s="2">
        <v>4186.53</v>
      </c>
      <c r="G750" s="2">
        <v>0.04</v>
      </c>
      <c r="H750" s="2">
        <v>0.36</v>
      </c>
      <c r="I750" s="4">
        <v>1929.58</v>
      </c>
      <c r="J750" s="5">
        <v>120.97</v>
      </c>
      <c r="K750" s="5">
        <v>7.11</v>
      </c>
      <c r="L750" s="1" t="s">
        <v>5</v>
      </c>
      <c r="M750" s="1" t="s">
        <v>38</v>
      </c>
      <c r="N750" s="1" t="s">
        <v>2</v>
      </c>
      <c r="O750" s="1" t="s">
        <v>11</v>
      </c>
      <c r="P750" s="1" t="s">
        <v>18</v>
      </c>
      <c r="Q750" s="6">
        <f>C750+0</f>
        <v>40073</v>
      </c>
    </row>
    <row r="751" spans="1:17" ht="15.75" x14ac:dyDescent="0.3">
      <c r="A751" s="1">
        <v>4146</v>
      </c>
      <c r="B751" s="2">
        <v>29410</v>
      </c>
      <c r="C751" s="3">
        <f>DATE(2012,12,31)-1201</f>
        <v>40073</v>
      </c>
      <c r="D751" s="1" t="s">
        <v>0</v>
      </c>
      <c r="E751" s="2">
        <v>36</v>
      </c>
      <c r="F751" s="2">
        <v>6057.27</v>
      </c>
      <c r="G751" s="2">
        <v>0</v>
      </c>
      <c r="H751" s="2">
        <v>0.6</v>
      </c>
      <c r="I751" s="4">
        <v>1585.5030000000002</v>
      </c>
      <c r="J751" s="5">
        <v>195.99</v>
      </c>
      <c r="K751" s="5">
        <v>4.2</v>
      </c>
      <c r="L751" s="1" t="s">
        <v>5</v>
      </c>
      <c r="M751" s="1" t="s">
        <v>38</v>
      </c>
      <c r="N751" s="1" t="s">
        <v>2</v>
      </c>
      <c r="O751" s="1" t="s">
        <v>11</v>
      </c>
      <c r="P751" s="1" t="s">
        <v>7</v>
      </c>
      <c r="Q751" s="6">
        <f>C751+2</f>
        <v>40075</v>
      </c>
    </row>
    <row r="752" spans="1:17" ht="15.75" x14ac:dyDescent="0.3">
      <c r="A752" s="1">
        <v>4147</v>
      </c>
      <c r="B752" s="2">
        <v>29411</v>
      </c>
      <c r="C752" s="3">
        <f>DATE(2012,12,31)-269</f>
        <v>41005</v>
      </c>
      <c r="D752" s="1" t="s">
        <v>17</v>
      </c>
      <c r="E752" s="2">
        <v>29</v>
      </c>
      <c r="F752" s="2">
        <v>67.87</v>
      </c>
      <c r="G752" s="2">
        <v>7.0000000000000007E-2</v>
      </c>
      <c r="H752" s="2">
        <v>0.55000000000000004</v>
      </c>
      <c r="I752" s="4">
        <v>-112.54</v>
      </c>
      <c r="J752" s="5">
        <v>2.2200000000000002</v>
      </c>
      <c r="K752" s="5">
        <v>5</v>
      </c>
      <c r="L752" s="1" t="s">
        <v>5</v>
      </c>
      <c r="M752" s="1" t="s">
        <v>38</v>
      </c>
      <c r="N752" s="1" t="s">
        <v>2</v>
      </c>
      <c r="O752" s="1" t="s">
        <v>6</v>
      </c>
      <c r="P752" s="1" t="s">
        <v>7</v>
      </c>
      <c r="Q752" s="6">
        <f>C752+1</f>
        <v>41006</v>
      </c>
    </row>
    <row r="753" spans="1:17" ht="15.75" x14ac:dyDescent="0.3">
      <c r="A753" s="1">
        <v>4148</v>
      </c>
      <c r="B753" s="2">
        <v>29411</v>
      </c>
      <c r="C753" s="3">
        <f>DATE(2012,12,31)-269</f>
        <v>41005</v>
      </c>
      <c r="D753" s="1" t="s">
        <v>17</v>
      </c>
      <c r="E753" s="2">
        <v>33</v>
      </c>
      <c r="F753" s="2">
        <v>542.24</v>
      </c>
      <c r="G753" s="2">
        <v>0.02</v>
      </c>
      <c r="H753" s="2">
        <v>0.38</v>
      </c>
      <c r="I753" s="4">
        <v>268.52999999999997</v>
      </c>
      <c r="J753" s="5">
        <v>15.67</v>
      </c>
      <c r="K753" s="5">
        <v>1.39</v>
      </c>
      <c r="L753" s="1" t="s">
        <v>5</v>
      </c>
      <c r="M753" s="1" t="s">
        <v>38</v>
      </c>
      <c r="N753" s="1" t="s">
        <v>2</v>
      </c>
      <c r="O753" s="1" t="s">
        <v>6</v>
      </c>
      <c r="P753" s="1" t="s">
        <v>7</v>
      </c>
      <c r="Q753" s="6">
        <f>C753+1</f>
        <v>41006</v>
      </c>
    </row>
    <row r="754" spans="1:17" ht="15.75" x14ac:dyDescent="0.3">
      <c r="A754" s="1">
        <v>4149</v>
      </c>
      <c r="B754" s="2">
        <v>29411</v>
      </c>
      <c r="C754" s="3">
        <f>DATE(2012,12,31)-269</f>
        <v>41005</v>
      </c>
      <c r="D754" s="1" t="s">
        <v>17</v>
      </c>
      <c r="E754" s="2">
        <v>38</v>
      </c>
      <c r="F754" s="2">
        <v>15174.95</v>
      </c>
      <c r="G754" s="2">
        <v>0.02</v>
      </c>
      <c r="H754" s="2">
        <v>0.36</v>
      </c>
      <c r="I754" s="4">
        <v>7251.92</v>
      </c>
      <c r="J754" s="5">
        <v>400.97</v>
      </c>
      <c r="K754" s="5">
        <v>48.26</v>
      </c>
      <c r="L754" s="1" t="s">
        <v>1</v>
      </c>
      <c r="M754" s="1" t="s">
        <v>38</v>
      </c>
      <c r="N754" s="1" t="s">
        <v>2</v>
      </c>
      <c r="O754" s="1" t="s">
        <v>11</v>
      </c>
      <c r="P754" s="1" t="s">
        <v>19</v>
      </c>
      <c r="Q754" s="6">
        <f>C754+0</f>
        <v>41005</v>
      </c>
    </row>
    <row r="755" spans="1:17" ht="15.75" x14ac:dyDescent="0.3">
      <c r="A755" s="1">
        <v>4150</v>
      </c>
      <c r="B755" s="2">
        <v>29411</v>
      </c>
      <c r="C755" s="3">
        <f>DATE(2012,12,31)-269</f>
        <v>41005</v>
      </c>
      <c r="D755" s="1" t="s">
        <v>17</v>
      </c>
      <c r="E755" s="2">
        <v>45</v>
      </c>
      <c r="F755" s="2">
        <v>1084.1199999999999</v>
      </c>
      <c r="G755" s="2">
        <v>0.04</v>
      </c>
      <c r="H755" s="2">
        <v>0.38</v>
      </c>
      <c r="I755" s="4">
        <v>294.43</v>
      </c>
      <c r="J755" s="5">
        <v>23.99</v>
      </c>
      <c r="K755" s="5">
        <v>6.3</v>
      </c>
      <c r="L755" s="1" t="s">
        <v>5</v>
      </c>
      <c r="M755" s="1" t="s">
        <v>38</v>
      </c>
      <c r="N755" s="1" t="s">
        <v>2</v>
      </c>
      <c r="O755" s="1" t="s">
        <v>11</v>
      </c>
      <c r="P755" s="1" t="s">
        <v>18</v>
      </c>
      <c r="Q755" s="6">
        <f>C755+0</f>
        <v>41005</v>
      </c>
    </row>
    <row r="756" spans="1:17" ht="15.75" x14ac:dyDescent="0.3">
      <c r="A756" s="1">
        <v>4154</v>
      </c>
      <c r="B756" s="2">
        <v>29475</v>
      </c>
      <c r="C756" s="3">
        <f>DATE(2012,12,31)-1043</f>
        <v>40231</v>
      </c>
      <c r="D756" s="1" t="s">
        <v>17</v>
      </c>
      <c r="E756" s="2">
        <v>49</v>
      </c>
      <c r="F756" s="2">
        <v>235.12</v>
      </c>
      <c r="G756" s="2">
        <v>0.09</v>
      </c>
      <c r="H756" s="2">
        <v>0.52</v>
      </c>
      <c r="I756" s="4">
        <v>-29.62</v>
      </c>
      <c r="J756" s="5">
        <v>4.91</v>
      </c>
      <c r="K756" s="5">
        <v>3.05</v>
      </c>
      <c r="L756" s="1" t="s">
        <v>5</v>
      </c>
      <c r="M756" s="1" t="s">
        <v>38</v>
      </c>
      <c r="N756" s="1" t="s">
        <v>15</v>
      </c>
      <c r="O756" s="1" t="s">
        <v>3</v>
      </c>
      <c r="P756" s="1" t="s">
        <v>20</v>
      </c>
      <c r="Q756" s="6">
        <f>C756+2</f>
        <v>40233</v>
      </c>
    </row>
    <row r="757" spans="1:17" ht="15.75" x14ac:dyDescent="0.3">
      <c r="A757" s="1">
        <v>4155</v>
      </c>
      <c r="B757" s="2">
        <v>29475</v>
      </c>
      <c r="C757" s="3">
        <f>DATE(2012,12,31)-1043</f>
        <v>40231</v>
      </c>
      <c r="D757" s="1" t="s">
        <v>17</v>
      </c>
      <c r="E757" s="2">
        <v>2</v>
      </c>
      <c r="F757" s="2">
        <v>1814.82</v>
      </c>
      <c r="G757" s="2">
        <v>0</v>
      </c>
      <c r="H757" s="2">
        <v>0.62</v>
      </c>
      <c r="I757" s="4">
        <v>-1128.6600000000001</v>
      </c>
      <c r="J757" s="5">
        <v>880.98</v>
      </c>
      <c r="K757" s="5">
        <v>44.55</v>
      </c>
      <c r="L757" s="1" t="s">
        <v>1</v>
      </c>
      <c r="M757" s="1" t="s">
        <v>38</v>
      </c>
      <c r="N757" s="1" t="s">
        <v>15</v>
      </c>
      <c r="O757" s="1" t="s">
        <v>3</v>
      </c>
      <c r="P757" s="1" t="s">
        <v>19</v>
      </c>
      <c r="Q757" s="6">
        <f>C757+3</f>
        <v>40234</v>
      </c>
    </row>
    <row r="758" spans="1:17" ht="15.75" x14ac:dyDescent="0.3">
      <c r="A758" s="1">
        <v>4168</v>
      </c>
      <c r="B758" s="2">
        <v>29537</v>
      </c>
      <c r="C758" s="3">
        <f>DATE(2012,12,31)-103</f>
        <v>41171</v>
      </c>
      <c r="D758" s="1" t="s">
        <v>16</v>
      </c>
      <c r="E758" s="2">
        <v>30</v>
      </c>
      <c r="F758" s="2">
        <v>318.56</v>
      </c>
      <c r="G758" s="2">
        <v>0.08</v>
      </c>
      <c r="H758" s="2">
        <v>0.59</v>
      </c>
      <c r="I758" s="4">
        <v>-30.97</v>
      </c>
      <c r="J758" s="5">
        <v>10.89</v>
      </c>
      <c r="K758" s="5">
        <v>4.5</v>
      </c>
      <c r="L758" s="1" t="s">
        <v>9</v>
      </c>
      <c r="M758" s="1" t="s">
        <v>38</v>
      </c>
      <c r="N758" s="1" t="s">
        <v>15</v>
      </c>
      <c r="O758" s="1" t="s">
        <v>6</v>
      </c>
      <c r="P758" s="1" t="s">
        <v>7</v>
      </c>
      <c r="Q758" s="6">
        <f>C758+9</f>
        <v>41180</v>
      </c>
    </row>
    <row r="759" spans="1:17" ht="15.75" x14ac:dyDescent="0.3">
      <c r="A759" s="1">
        <v>4181</v>
      </c>
      <c r="B759" s="2">
        <v>29671</v>
      </c>
      <c r="C759" s="3">
        <f>DATE(2012,12,31)-1015</f>
        <v>40259</v>
      </c>
      <c r="D759" s="1" t="s">
        <v>0</v>
      </c>
      <c r="E759" s="2">
        <v>43</v>
      </c>
      <c r="F759" s="2">
        <v>1511.7</v>
      </c>
      <c r="G759" s="2">
        <v>0.02</v>
      </c>
      <c r="H759" s="2">
        <v>0.59</v>
      </c>
      <c r="I759" s="4">
        <v>221.63</v>
      </c>
      <c r="J759" s="5">
        <v>34.99</v>
      </c>
      <c r="K759" s="5">
        <v>7.73</v>
      </c>
      <c r="L759" s="1" t="s">
        <v>5</v>
      </c>
      <c r="M759" s="1" t="s">
        <v>38</v>
      </c>
      <c r="N759" s="1" t="s">
        <v>21</v>
      </c>
      <c r="O759" s="1" t="s">
        <v>6</v>
      </c>
      <c r="P759" s="1" t="s">
        <v>7</v>
      </c>
      <c r="Q759" s="6">
        <f>C759+1</f>
        <v>40260</v>
      </c>
    </row>
    <row r="760" spans="1:17" ht="15.75" x14ac:dyDescent="0.3">
      <c r="A760" s="1">
        <v>4208</v>
      </c>
      <c r="B760" s="2">
        <v>29895</v>
      </c>
      <c r="C760" s="3">
        <f>DATE(2012,12,31)-803</f>
        <v>40471</v>
      </c>
      <c r="D760" s="1" t="s">
        <v>12</v>
      </c>
      <c r="E760" s="2">
        <v>43</v>
      </c>
      <c r="F760" s="2">
        <v>7286.65</v>
      </c>
      <c r="G760" s="2">
        <v>0.03</v>
      </c>
      <c r="H760" s="2">
        <v>0.72</v>
      </c>
      <c r="I760" s="4">
        <v>474.89</v>
      </c>
      <c r="J760" s="5">
        <v>160.97999999999999</v>
      </c>
      <c r="K760" s="5">
        <v>35.020000000000003</v>
      </c>
      <c r="L760" s="1" t="s">
        <v>1</v>
      </c>
      <c r="M760" s="1" t="s">
        <v>38</v>
      </c>
      <c r="N760" s="1" t="s">
        <v>15</v>
      </c>
      <c r="O760" s="1" t="s">
        <v>3</v>
      </c>
      <c r="P760" s="1" t="s">
        <v>19</v>
      </c>
      <c r="Q760" s="6">
        <f>C760+1</f>
        <v>40472</v>
      </c>
    </row>
    <row r="761" spans="1:17" ht="15.75" x14ac:dyDescent="0.3">
      <c r="A761" s="1">
        <v>4256</v>
      </c>
      <c r="B761" s="2">
        <v>30308</v>
      </c>
      <c r="C761" s="3">
        <f>DATE(2012,12,31)-1016</f>
        <v>40258</v>
      </c>
      <c r="D761" s="1" t="s">
        <v>12</v>
      </c>
      <c r="E761" s="2">
        <v>15</v>
      </c>
      <c r="F761" s="2">
        <v>30.38</v>
      </c>
      <c r="G761" s="2">
        <v>0.08</v>
      </c>
      <c r="H761" s="2">
        <v>0.37</v>
      </c>
      <c r="I761" s="4">
        <v>-59.179000000000002</v>
      </c>
      <c r="J761" s="5">
        <v>1.8</v>
      </c>
      <c r="K761" s="5">
        <v>4.79</v>
      </c>
      <c r="L761" s="1" t="s">
        <v>5</v>
      </c>
      <c r="M761" s="1" t="s">
        <v>38</v>
      </c>
      <c r="N761" s="1" t="s">
        <v>2</v>
      </c>
      <c r="O761" s="1" t="s">
        <v>6</v>
      </c>
      <c r="P761" s="1" t="s">
        <v>7</v>
      </c>
      <c r="Q761" s="6">
        <f>C761+1</f>
        <v>40259</v>
      </c>
    </row>
    <row r="762" spans="1:17" ht="15.75" x14ac:dyDescent="0.3">
      <c r="A762" s="1">
        <v>4277</v>
      </c>
      <c r="B762" s="2">
        <v>30436</v>
      </c>
      <c r="C762" s="3">
        <f>DATE(2012,12,31)-177</f>
        <v>41097</v>
      </c>
      <c r="D762" s="1" t="s">
        <v>16</v>
      </c>
      <c r="E762" s="2">
        <v>30</v>
      </c>
      <c r="F762" s="2">
        <v>121.19</v>
      </c>
      <c r="G762" s="2">
        <v>0.09</v>
      </c>
      <c r="H762" s="2">
        <v>0.37</v>
      </c>
      <c r="I762" s="4">
        <v>-152.1335</v>
      </c>
      <c r="J762" s="5">
        <v>3.89</v>
      </c>
      <c r="K762" s="5">
        <v>7.01</v>
      </c>
      <c r="L762" s="1" t="s">
        <v>9</v>
      </c>
      <c r="M762" s="1" t="s">
        <v>38</v>
      </c>
      <c r="N762" s="1" t="s">
        <v>2</v>
      </c>
      <c r="O762" s="1" t="s">
        <v>6</v>
      </c>
      <c r="P762" s="1" t="s">
        <v>7</v>
      </c>
      <c r="Q762" s="6">
        <f>C762+5</f>
        <v>41102</v>
      </c>
    </row>
    <row r="763" spans="1:17" ht="15.75" x14ac:dyDescent="0.3">
      <c r="A763" s="1">
        <v>4326</v>
      </c>
      <c r="B763" s="2">
        <v>30820</v>
      </c>
      <c r="C763" s="3">
        <f>DATE(2012,12,31)-632</f>
        <v>40642</v>
      </c>
      <c r="D763" s="1" t="s">
        <v>0</v>
      </c>
      <c r="E763" s="2">
        <v>21</v>
      </c>
      <c r="F763" s="2">
        <v>48.01</v>
      </c>
      <c r="G763" s="2">
        <v>0.1</v>
      </c>
      <c r="H763" s="2">
        <v>0.57999999999999996</v>
      </c>
      <c r="I763" s="4">
        <v>-6.85</v>
      </c>
      <c r="J763" s="5">
        <v>2.21</v>
      </c>
      <c r="K763" s="5">
        <v>1.1200000000000001</v>
      </c>
      <c r="L763" s="1" t="s">
        <v>9</v>
      </c>
      <c r="M763" s="1" t="s">
        <v>38</v>
      </c>
      <c r="N763" s="1" t="s">
        <v>13</v>
      </c>
      <c r="O763" s="1" t="s">
        <v>6</v>
      </c>
      <c r="P763" s="1" t="s">
        <v>14</v>
      </c>
      <c r="Q763" s="6">
        <f>C763+1</f>
        <v>40643</v>
      </c>
    </row>
    <row r="764" spans="1:17" ht="15.75" x14ac:dyDescent="0.3">
      <c r="A764" s="1">
        <v>4357</v>
      </c>
      <c r="B764" s="2">
        <v>31046</v>
      </c>
      <c r="C764" s="3">
        <f>DATE(2012,12,31)-693</f>
        <v>40581</v>
      </c>
      <c r="D764" s="1" t="s">
        <v>0</v>
      </c>
      <c r="E764" s="2">
        <v>42</v>
      </c>
      <c r="F764" s="2">
        <v>3900.5309999999995</v>
      </c>
      <c r="G764" s="2">
        <v>0.08</v>
      </c>
      <c r="H764" s="2">
        <v>0.56999999999999995</v>
      </c>
      <c r="I764" s="4">
        <v>1144.6289999999999</v>
      </c>
      <c r="J764" s="5">
        <v>110.99</v>
      </c>
      <c r="K764" s="5">
        <v>2.5</v>
      </c>
      <c r="L764" s="1" t="s">
        <v>5</v>
      </c>
      <c r="M764" s="1" t="s">
        <v>38</v>
      </c>
      <c r="N764" s="1" t="s">
        <v>2</v>
      </c>
      <c r="O764" s="1" t="s">
        <v>11</v>
      </c>
      <c r="P764" s="1" t="s">
        <v>7</v>
      </c>
      <c r="Q764" s="6">
        <f>C764+1</f>
        <v>40582</v>
      </c>
    </row>
    <row r="765" spans="1:17" ht="15.75" x14ac:dyDescent="0.3">
      <c r="A765" s="1">
        <v>4358</v>
      </c>
      <c r="B765" s="2">
        <v>31046</v>
      </c>
      <c r="C765" s="3">
        <f>DATE(2012,12,31)-693</f>
        <v>40581</v>
      </c>
      <c r="D765" s="1" t="s">
        <v>0</v>
      </c>
      <c r="E765" s="2">
        <v>35</v>
      </c>
      <c r="F765" s="2">
        <v>248.42</v>
      </c>
      <c r="G765" s="2">
        <v>0.02</v>
      </c>
      <c r="H765" s="2">
        <v>0.57999999999999996</v>
      </c>
      <c r="I765" s="4">
        <v>-58.81</v>
      </c>
      <c r="J765" s="5">
        <v>6.84</v>
      </c>
      <c r="K765" s="5">
        <v>4.42</v>
      </c>
      <c r="L765" s="1" t="s">
        <v>5</v>
      </c>
      <c r="M765" s="1" t="s">
        <v>38</v>
      </c>
      <c r="N765" s="1" t="s">
        <v>2</v>
      </c>
      <c r="O765" s="1" t="s">
        <v>6</v>
      </c>
      <c r="P765" s="1" t="s">
        <v>20</v>
      </c>
      <c r="Q765" s="6">
        <f>C765+3</f>
        <v>40584</v>
      </c>
    </row>
    <row r="766" spans="1:17" ht="15.75" x14ac:dyDescent="0.3">
      <c r="A766" s="1">
        <v>4396</v>
      </c>
      <c r="B766" s="2">
        <v>31301</v>
      </c>
      <c r="C766" s="3">
        <f>DATE(2012,12,31)-805</f>
        <v>40469</v>
      </c>
      <c r="D766" s="1" t="s">
        <v>16</v>
      </c>
      <c r="E766" s="2">
        <v>31</v>
      </c>
      <c r="F766" s="2">
        <v>109.78</v>
      </c>
      <c r="G766" s="2">
        <v>0.06</v>
      </c>
      <c r="H766" s="2">
        <v>0.37</v>
      </c>
      <c r="I766" s="4">
        <v>43.77</v>
      </c>
      <c r="J766" s="5">
        <v>3.75</v>
      </c>
      <c r="K766" s="5">
        <v>0.5</v>
      </c>
      <c r="L766" s="1" t="s">
        <v>5</v>
      </c>
      <c r="M766" s="1" t="s">
        <v>38</v>
      </c>
      <c r="N766" s="1" t="s">
        <v>21</v>
      </c>
      <c r="O766" s="1" t="s">
        <v>6</v>
      </c>
      <c r="P766" s="1" t="s">
        <v>7</v>
      </c>
      <c r="Q766" s="6">
        <f>C766+2</f>
        <v>40471</v>
      </c>
    </row>
    <row r="767" spans="1:17" ht="15.75" x14ac:dyDescent="0.3">
      <c r="A767" s="1">
        <v>4415</v>
      </c>
      <c r="B767" s="2">
        <v>31495</v>
      </c>
      <c r="C767" s="3">
        <f>DATE(2012,12,31)-880</f>
        <v>40394</v>
      </c>
      <c r="D767" s="1" t="s">
        <v>16</v>
      </c>
      <c r="E767" s="2">
        <v>20</v>
      </c>
      <c r="F767" s="2">
        <v>191.43</v>
      </c>
      <c r="G767" s="2">
        <v>0.06</v>
      </c>
      <c r="H767" s="2">
        <v>0.39</v>
      </c>
      <c r="I767" s="4">
        <v>39.499499999999998</v>
      </c>
      <c r="J767" s="5">
        <v>8.69</v>
      </c>
      <c r="K767" s="5">
        <v>2.99</v>
      </c>
      <c r="L767" s="1" t="s">
        <v>9</v>
      </c>
      <c r="M767" s="1" t="s">
        <v>38</v>
      </c>
      <c r="N767" s="1" t="s">
        <v>21</v>
      </c>
      <c r="O767" s="1" t="s">
        <v>6</v>
      </c>
      <c r="P767" s="1" t="s">
        <v>7</v>
      </c>
      <c r="Q767" s="6">
        <f>C767+4</f>
        <v>40398</v>
      </c>
    </row>
    <row r="768" spans="1:17" ht="15.75" x14ac:dyDescent="0.3">
      <c r="A768" s="1">
        <v>4416</v>
      </c>
      <c r="B768" s="2">
        <v>31495</v>
      </c>
      <c r="C768" s="3">
        <f>DATE(2012,12,31)-880</f>
        <v>40394</v>
      </c>
      <c r="D768" s="1" t="s">
        <v>16</v>
      </c>
      <c r="E768" s="2">
        <v>34</v>
      </c>
      <c r="F768" s="2">
        <v>1234.8499999999999</v>
      </c>
      <c r="G768" s="2">
        <v>0.03</v>
      </c>
      <c r="H768" s="2">
        <v>0.56999999999999995</v>
      </c>
      <c r="I768" s="4">
        <v>212.2</v>
      </c>
      <c r="J768" s="5">
        <v>34.76</v>
      </c>
      <c r="K768" s="5">
        <v>8.2200000000000006</v>
      </c>
      <c r="L768" s="1" t="s">
        <v>5</v>
      </c>
      <c r="M768" s="1" t="s">
        <v>38</v>
      </c>
      <c r="N768" s="1" t="s">
        <v>21</v>
      </c>
      <c r="O768" s="1" t="s">
        <v>6</v>
      </c>
      <c r="P768" s="1" t="s">
        <v>7</v>
      </c>
      <c r="Q768" s="6">
        <f>C768+7</f>
        <v>40401</v>
      </c>
    </row>
    <row r="769" spans="1:17" ht="15.75" x14ac:dyDescent="0.3">
      <c r="A769" s="1">
        <v>4420</v>
      </c>
      <c r="B769" s="2">
        <v>31523</v>
      </c>
      <c r="C769" s="3">
        <f>DATE(2012,12,31)-298</f>
        <v>40976</v>
      </c>
      <c r="D769" s="1" t="s">
        <v>16</v>
      </c>
      <c r="E769" s="2">
        <v>17</v>
      </c>
      <c r="F769" s="2">
        <v>105.85</v>
      </c>
      <c r="G769" s="2">
        <v>0.1</v>
      </c>
      <c r="H769" s="2">
        <v>0.71</v>
      </c>
      <c r="I769" s="4">
        <v>-44.86</v>
      </c>
      <c r="J769" s="5">
        <v>6.48</v>
      </c>
      <c r="K769" s="5">
        <v>2.74</v>
      </c>
      <c r="L769" s="1" t="s">
        <v>5</v>
      </c>
      <c r="M769" s="1" t="s">
        <v>38</v>
      </c>
      <c r="N769" s="1" t="s">
        <v>15</v>
      </c>
      <c r="O769" s="1" t="s">
        <v>11</v>
      </c>
      <c r="P769" s="1" t="s">
        <v>20</v>
      </c>
      <c r="Q769" s="6">
        <f>C769+2</f>
        <v>40978</v>
      </c>
    </row>
    <row r="770" spans="1:17" ht="15.75" x14ac:dyDescent="0.3">
      <c r="A770" s="1">
        <v>4421</v>
      </c>
      <c r="B770" s="2">
        <v>31523</v>
      </c>
      <c r="C770" s="3">
        <f>DATE(2012,12,31)-298</f>
        <v>40976</v>
      </c>
      <c r="D770" s="1" t="s">
        <v>16</v>
      </c>
      <c r="E770" s="2">
        <v>19</v>
      </c>
      <c r="F770" s="2">
        <v>179.33</v>
      </c>
      <c r="G770" s="2">
        <v>0</v>
      </c>
      <c r="H770" s="2">
        <v>0.38</v>
      </c>
      <c r="I770" s="4">
        <v>-58.76</v>
      </c>
      <c r="J770" s="5">
        <v>8.74</v>
      </c>
      <c r="K770" s="5">
        <v>8.2899999999999991</v>
      </c>
      <c r="L770" s="1" t="s">
        <v>5</v>
      </c>
      <c r="M770" s="1" t="s">
        <v>38</v>
      </c>
      <c r="N770" s="1" t="s">
        <v>15</v>
      </c>
      <c r="O770" s="1" t="s">
        <v>6</v>
      </c>
      <c r="P770" s="1" t="s">
        <v>7</v>
      </c>
      <c r="Q770" s="6">
        <f>C770+5</f>
        <v>40981</v>
      </c>
    </row>
    <row r="771" spans="1:17" ht="15.75" x14ac:dyDescent="0.3">
      <c r="A771" s="1">
        <v>4423</v>
      </c>
      <c r="B771" s="2">
        <v>31552</v>
      </c>
      <c r="C771" s="3">
        <f>DATE(2012,12,31)-50</f>
        <v>41224</v>
      </c>
      <c r="D771" s="1" t="s">
        <v>17</v>
      </c>
      <c r="E771" s="2">
        <v>17</v>
      </c>
      <c r="F771" s="2">
        <v>378.08</v>
      </c>
      <c r="G771" s="2">
        <v>0</v>
      </c>
      <c r="H771" s="2">
        <v>0.43</v>
      </c>
      <c r="I771" s="4">
        <v>70.48</v>
      </c>
      <c r="J771" s="5">
        <v>22.24</v>
      </c>
      <c r="K771" s="5">
        <v>1.99</v>
      </c>
      <c r="L771" s="1" t="s">
        <v>5</v>
      </c>
      <c r="M771" s="1" t="s">
        <v>38</v>
      </c>
      <c r="N771" s="1" t="s">
        <v>2</v>
      </c>
      <c r="O771" s="1" t="s">
        <v>11</v>
      </c>
      <c r="P771" s="1" t="s">
        <v>20</v>
      </c>
      <c r="Q771" s="6">
        <f>C771+3</f>
        <v>41227</v>
      </c>
    </row>
    <row r="772" spans="1:17" ht="15.75" x14ac:dyDescent="0.3">
      <c r="A772" s="1">
        <v>4424</v>
      </c>
      <c r="B772" s="2">
        <v>31552</v>
      </c>
      <c r="C772" s="3">
        <f>DATE(2012,12,31)-50</f>
        <v>41224</v>
      </c>
      <c r="D772" s="1" t="s">
        <v>17</v>
      </c>
      <c r="E772" s="2">
        <v>24</v>
      </c>
      <c r="F772" s="2">
        <v>731.71</v>
      </c>
      <c r="G772" s="2">
        <v>0</v>
      </c>
      <c r="H772" s="2">
        <v>0.5</v>
      </c>
      <c r="I772" s="4">
        <v>175.82</v>
      </c>
      <c r="J772" s="5">
        <v>29.89</v>
      </c>
      <c r="K772" s="5">
        <v>1.99</v>
      </c>
      <c r="L772" s="1" t="s">
        <v>5</v>
      </c>
      <c r="M772" s="1" t="s">
        <v>38</v>
      </c>
      <c r="N772" s="1" t="s">
        <v>2</v>
      </c>
      <c r="O772" s="1" t="s">
        <v>11</v>
      </c>
      <c r="P772" s="1" t="s">
        <v>20</v>
      </c>
      <c r="Q772" s="6">
        <f>C772+1</f>
        <v>41225</v>
      </c>
    </row>
    <row r="773" spans="1:17" ht="15.75" x14ac:dyDescent="0.3">
      <c r="A773" s="1">
        <v>4480</v>
      </c>
      <c r="B773" s="2">
        <v>31877</v>
      </c>
      <c r="C773" s="3">
        <f>DATE(2012,12,31)-1281</f>
        <v>39993</v>
      </c>
      <c r="D773" s="1" t="s">
        <v>12</v>
      </c>
      <c r="E773" s="2">
        <v>34</v>
      </c>
      <c r="F773" s="2">
        <v>285.06</v>
      </c>
      <c r="G773" s="2">
        <v>0.08</v>
      </c>
      <c r="H773" s="2">
        <v>0.59</v>
      </c>
      <c r="I773" s="4">
        <v>-211.54</v>
      </c>
      <c r="J773" s="5">
        <v>8.3699999999999992</v>
      </c>
      <c r="K773" s="5">
        <v>10.16</v>
      </c>
      <c r="L773" s="1" t="s">
        <v>5</v>
      </c>
      <c r="M773" s="1" t="s">
        <v>38</v>
      </c>
      <c r="N773" s="1" t="s">
        <v>21</v>
      </c>
      <c r="O773" s="1" t="s">
        <v>3</v>
      </c>
      <c r="P773" s="1" t="s">
        <v>10</v>
      </c>
      <c r="Q773" s="6">
        <f>C773+0</f>
        <v>39993</v>
      </c>
    </row>
    <row r="774" spans="1:17" ht="15.75" x14ac:dyDescent="0.3">
      <c r="A774" s="1">
        <v>4501</v>
      </c>
      <c r="B774" s="2">
        <v>32037</v>
      </c>
      <c r="C774" s="3">
        <f>DATE(2012,12,31)-1414</f>
        <v>39860</v>
      </c>
      <c r="D774" s="1" t="s">
        <v>16</v>
      </c>
      <c r="E774" s="2">
        <v>37</v>
      </c>
      <c r="F774" s="2">
        <v>311.66000000000003</v>
      </c>
      <c r="G774" s="2">
        <v>0.04</v>
      </c>
      <c r="H774" s="2">
        <v>0.38</v>
      </c>
      <c r="I774" s="4">
        <v>-63.813500000000005</v>
      </c>
      <c r="J774" s="5">
        <v>8.6</v>
      </c>
      <c r="K774" s="5">
        <v>6.19</v>
      </c>
      <c r="L774" s="1" t="s">
        <v>5</v>
      </c>
      <c r="M774" s="1" t="s">
        <v>38</v>
      </c>
      <c r="N774" s="1" t="s">
        <v>15</v>
      </c>
      <c r="O774" s="1" t="s">
        <v>6</v>
      </c>
      <c r="P774" s="1" t="s">
        <v>7</v>
      </c>
      <c r="Q774" s="6">
        <f>C774+7</f>
        <v>39867</v>
      </c>
    </row>
    <row r="775" spans="1:17" ht="15.75" x14ac:dyDescent="0.3">
      <c r="A775" s="1">
        <v>4502</v>
      </c>
      <c r="B775" s="2">
        <v>32037</v>
      </c>
      <c r="C775" s="3">
        <f>DATE(2012,12,31)-1414</f>
        <v>39860</v>
      </c>
      <c r="D775" s="1" t="s">
        <v>16</v>
      </c>
      <c r="E775" s="2">
        <v>15</v>
      </c>
      <c r="F775" s="2">
        <v>9862.51</v>
      </c>
      <c r="G775" s="2">
        <v>7.0000000000000007E-2</v>
      </c>
      <c r="H775" s="2">
        <v>0.54</v>
      </c>
      <c r="I775" s="4">
        <v>325.29000000000002</v>
      </c>
      <c r="J775" s="5">
        <v>699.99</v>
      </c>
      <c r="K775" s="5">
        <v>24.49</v>
      </c>
      <c r="L775" s="1" t="s">
        <v>5</v>
      </c>
      <c r="M775" s="1" t="s">
        <v>38</v>
      </c>
      <c r="N775" s="1" t="s">
        <v>15</v>
      </c>
      <c r="O775" s="1" t="s">
        <v>11</v>
      </c>
      <c r="P775" s="1" t="s">
        <v>10</v>
      </c>
      <c r="Q775" s="6">
        <f>C775+4</f>
        <v>39864</v>
      </c>
    </row>
    <row r="776" spans="1:17" ht="15.75" x14ac:dyDescent="0.3">
      <c r="A776" s="1">
        <v>4515</v>
      </c>
      <c r="B776" s="2">
        <v>32131</v>
      </c>
      <c r="C776" s="3">
        <f>DATE(2012,12,31)-735</f>
        <v>40539</v>
      </c>
      <c r="D776" s="1" t="s">
        <v>0</v>
      </c>
      <c r="E776" s="2">
        <v>34</v>
      </c>
      <c r="F776" s="2">
        <v>126.62</v>
      </c>
      <c r="G776" s="2">
        <v>0.03</v>
      </c>
      <c r="H776" s="2">
        <v>0.39</v>
      </c>
      <c r="I776" s="4">
        <v>44.8</v>
      </c>
      <c r="J776" s="5">
        <v>3.78</v>
      </c>
      <c r="K776" s="5">
        <v>0.71</v>
      </c>
      <c r="L776" s="1" t="s">
        <v>5</v>
      </c>
      <c r="M776" s="1" t="s">
        <v>38</v>
      </c>
      <c r="N776" s="1" t="s">
        <v>13</v>
      </c>
      <c r="O776" s="1" t="s">
        <v>6</v>
      </c>
      <c r="P776" s="1" t="s">
        <v>14</v>
      </c>
      <c r="Q776" s="6">
        <f>C776+2</f>
        <v>40541</v>
      </c>
    </row>
    <row r="777" spans="1:17" ht="15.75" x14ac:dyDescent="0.3">
      <c r="A777" s="1">
        <v>4516</v>
      </c>
      <c r="B777" s="2">
        <v>32135</v>
      </c>
      <c r="C777" s="3">
        <f>DATE(2012,12,31)-767</f>
        <v>40507</v>
      </c>
      <c r="D777" s="1" t="s">
        <v>17</v>
      </c>
      <c r="E777" s="2">
        <v>37</v>
      </c>
      <c r="F777" s="2">
        <v>1575.14</v>
      </c>
      <c r="G777" s="2">
        <v>0</v>
      </c>
      <c r="H777" s="2">
        <v>0.67</v>
      </c>
      <c r="I777" s="4">
        <v>160.68</v>
      </c>
      <c r="J777" s="5">
        <v>39.979999999999997</v>
      </c>
      <c r="K777" s="5">
        <v>7.12</v>
      </c>
      <c r="L777" s="1" t="s">
        <v>5</v>
      </c>
      <c r="M777" s="1" t="s">
        <v>38</v>
      </c>
      <c r="N777" s="1" t="s">
        <v>15</v>
      </c>
      <c r="O777" s="1" t="s">
        <v>11</v>
      </c>
      <c r="P777" s="1" t="s">
        <v>7</v>
      </c>
      <c r="Q777" s="6">
        <f>C777+2</f>
        <v>40509</v>
      </c>
    </row>
    <row r="778" spans="1:17" ht="15.75" x14ac:dyDescent="0.3">
      <c r="A778" s="1">
        <v>4517</v>
      </c>
      <c r="B778" s="2">
        <v>32135</v>
      </c>
      <c r="C778" s="3">
        <f>DATE(2012,12,31)-767</f>
        <v>40507</v>
      </c>
      <c r="D778" s="1" t="s">
        <v>17</v>
      </c>
      <c r="E778" s="2">
        <v>16</v>
      </c>
      <c r="F778" s="2">
        <v>187.78</v>
      </c>
      <c r="G778" s="2">
        <v>0.08</v>
      </c>
      <c r="H778" s="2">
        <v>0.36</v>
      </c>
      <c r="I778" s="4">
        <v>-21.819599999999998</v>
      </c>
      <c r="J778" s="5">
        <v>11.99</v>
      </c>
      <c r="K778" s="5">
        <v>5.99</v>
      </c>
      <c r="L778" s="1" t="s">
        <v>5</v>
      </c>
      <c r="M778" s="1" t="s">
        <v>38</v>
      </c>
      <c r="N778" s="1" t="s">
        <v>15</v>
      </c>
      <c r="O778" s="1" t="s">
        <v>11</v>
      </c>
      <c r="P778" s="1" t="s">
        <v>18</v>
      </c>
      <c r="Q778" s="6">
        <f>C778+2</f>
        <v>40509</v>
      </c>
    </row>
    <row r="779" spans="1:17" ht="15.75" x14ac:dyDescent="0.3">
      <c r="A779" s="1">
        <v>4526</v>
      </c>
      <c r="B779" s="2">
        <v>32195</v>
      </c>
      <c r="C779" s="3">
        <f>DATE(2012,12,31)-1132</f>
        <v>40142</v>
      </c>
      <c r="D779" s="1" t="s">
        <v>12</v>
      </c>
      <c r="E779" s="2">
        <v>7</v>
      </c>
      <c r="F779" s="2">
        <v>86.29</v>
      </c>
      <c r="G779" s="2">
        <v>0.05</v>
      </c>
      <c r="H779" s="2">
        <v>0.35</v>
      </c>
      <c r="I779" s="4">
        <v>-14.03</v>
      </c>
      <c r="J779" s="5">
        <v>11.58</v>
      </c>
      <c r="K779" s="5">
        <v>6.97</v>
      </c>
      <c r="L779" s="1" t="s">
        <v>5</v>
      </c>
      <c r="M779" s="1" t="s">
        <v>38</v>
      </c>
      <c r="N779" s="1" t="s">
        <v>15</v>
      </c>
      <c r="O779" s="1" t="s">
        <v>6</v>
      </c>
      <c r="P779" s="1" t="s">
        <v>7</v>
      </c>
      <c r="Q779" s="6">
        <f>C779+3</f>
        <v>40145</v>
      </c>
    </row>
    <row r="780" spans="1:17" ht="15.75" x14ac:dyDescent="0.3">
      <c r="A780" s="1">
        <v>4534</v>
      </c>
      <c r="B780" s="2">
        <v>32230</v>
      </c>
      <c r="C780" s="3">
        <f>DATE(2012,12,31)-134</f>
        <v>41140</v>
      </c>
      <c r="D780" s="1" t="s">
        <v>17</v>
      </c>
      <c r="E780" s="2">
        <v>46</v>
      </c>
      <c r="F780" s="2">
        <v>1753.75</v>
      </c>
      <c r="G780" s="2">
        <v>7.0000000000000007E-2</v>
      </c>
      <c r="H780" s="2">
        <v>0.65</v>
      </c>
      <c r="I780" s="4">
        <v>215.11</v>
      </c>
      <c r="J780" s="5">
        <v>39.979999999999997</v>
      </c>
      <c r="K780" s="5">
        <v>9.1999999999999993</v>
      </c>
      <c r="L780" s="1" t="s">
        <v>5</v>
      </c>
      <c r="M780" s="1" t="s">
        <v>38</v>
      </c>
      <c r="N780" s="1" t="s">
        <v>21</v>
      </c>
      <c r="O780" s="1" t="s">
        <v>3</v>
      </c>
      <c r="P780" s="1" t="s">
        <v>14</v>
      </c>
      <c r="Q780" s="6">
        <f>C780+1</f>
        <v>41141</v>
      </c>
    </row>
    <row r="781" spans="1:17" ht="15.75" x14ac:dyDescent="0.3">
      <c r="A781" s="1">
        <v>4562</v>
      </c>
      <c r="B781" s="2">
        <v>32451</v>
      </c>
      <c r="C781" s="3">
        <f>DATE(2012,12,31)-1378</f>
        <v>39896</v>
      </c>
      <c r="D781" s="1" t="s">
        <v>8</v>
      </c>
      <c r="E781" s="2">
        <v>42</v>
      </c>
      <c r="F781" s="2">
        <v>580.55999999999995</v>
      </c>
      <c r="G781" s="2">
        <v>0.1</v>
      </c>
      <c r="H781" s="2">
        <v>0.39</v>
      </c>
      <c r="I781" s="4">
        <v>163.6335</v>
      </c>
      <c r="J781" s="5">
        <v>14.28</v>
      </c>
      <c r="K781" s="5">
        <v>2.99</v>
      </c>
      <c r="L781" s="1" t="s">
        <v>5</v>
      </c>
      <c r="M781" s="1" t="s">
        <v>38</v>
      </c>
      <c r="N781" s="1" t="s">
        <v>15</v>
      </c>
      <c r="O781" s="1" t="s">
        <v>6</v>
      </c>
      <c r="P781" s="1" t="s">
        <v>7</v>
      </c>
      <c r="Q781" s="6">
        <f>C781+1</f>
        <v>39897</v>
      </c>
    </row>
    <row r="782" spans="1:17" ht="15.75" x14ac:dyDescent="0.3">
      <c r="A782" s="1">
        <v>4590</v>
      </c>
      <c r="B782" s="2">
        <v>32642</v>
      </c>
      <c r="C782" s="3">
        <f>DATE(2012,12,31)-277</f>
        <v>40997</v>
      </c>
      <c r="D782" s="1" t="s">
        <v>12</v>
      </c>
      <c r="E782" s="2">
        <v>50</v>
      </c>
      <c r="F782" s="2">
        <v>1507.16</v>
      </c>
      <c r="G782" s="2">
        <v>0.02</v>
      </c>
      <c r="H782" s="2">
        <v>0.4</v>
      </c>
      <c r="I782" s="4">
        <v>724.14</v>
      </c>
      <c r="J782" s="5">
        <v>28.48</v>
      </c>
      <c r="K782" s="5">
        <v>1.99</v>
      </c>
      <c r="L782" s="1" t="s">
        <v>5</v>
      </c>
      <c r="M782" s="1" t="s">
        <v>38</v>
      </c>
      <c r="N782" s="1" t="s">
        <v>2</v>
      </c>
      <c r="O782" s="1" t="s">
        <v>11</v>
      </c>
      <c r="P782" s="1" t="s">
        <v>20</v>
      </c>
      <c r="Q782" s="6">
        <f>C782+2</f>
        <v>40999</v>
      </c>
    </row>
    <row r="783" spans="1:17" ht="15.75" x14ac:dyDescent="0.3">
      <c r="A783" s="1">
        <v>4603</v>
      </c>
      <c r="B783" s="2">
        <v>32803</v>
      </c>
      <c r="C783" s="3">
        <f>DATE(2012,12,31)-381</f>
        <v>40893</v>
      </c>
      <c r="D783" s="1" t="s">
        <v>12</v>
      </c>
      <c r="E783" s="2">
        <v>49</v>
      </c>
      <c r="F783" s="2">
        <v>371.95</v>
      </c>
      <c r="G783" s="2">
        <v>0.08</v>
      </c>
      <c r="H783" s="2">
        <v>0.35</v>
      </c>
      <c r="I783" s="4">
        <v>-10.327</v>
      </c>
      <c r="J783" s="5">
        <v>7.84</v>
      </c>
      <c r="K783" s="5">
        <v>4.71</v>
      </c>
      <c r="L783" s="1" t="s">
        <v>9</v>
      </c>
      <c r="M783" s="1" t="s">
        <v>38</v>
      </c>
      <c r="N783" s="1" t="s">
        <v>2</v>
      </c>
      <c r="O783" s="1" t="s">
        <v>6</v>
      </c>
      <c r="P783" s="1" t="s">
        <v>7</v>
      </c>
      <c r="Q783" s="6">
        <f>C783+1</f>
        <v>40894</v>
      </c>
    </row>
    <row r="784" spans="1:17" ht="15.75" x14ac:dyDescent="0.3">
      <c r="A784" s="1">
        <v>4604</v>
      </c>
      <c r="B784" s="2">
        <v>32803</v>
      </c>
      <c r="C784" s="3">
        <f>DATE(2012,12,31)-381</f>
        <v>40893</v>
      </c>
      <c r="D784" s="1" t="s">
        <v>12</v>
      </c>
      <c r="E784" s="2">
        <v>22</v>
      </c>
      <c r="F784" s="2">
        <v>96.07</v>
      </c>
      <c r="G784" s="2">
        <v>0.06</v>
      </c>
      <c r="H784" s="2">
        <v>0.37</v>
      </c>
      <c r="I784" s="4">
        <v>-4.3600000000000003</v>
      </c>
      <c r="J784" s="5">
        <v>4.4800000000000004</v>
      </c>
      <c r="K784" s="5">
        <v>2.5</v>
      </c>
      <c r="L784" s="1" t="s">
        <v>5</v>
      </c>
      <c r="M784" s="1" t="s">
        <v>38</v>
      </c>
      <c r="N784" s="1" t="s">
        <v>2</v>
      </c>
      <c r="O784" s="1" t="s">
        <v>6</v>
      </c>
      <c r="P784" s="1" t="s">
        <v>7</v>
      </c>
      <c r="Q784" s="6">
        <f>C784+2</f>
        <v>40895</v>
      </c>
    </row>
    <row r="785" spans="1:17" ht="15.75" x14ac:dyDescent="0.3">
      <c r="A785" s="1">
        <v>4610</v>
      </c>
      <c r="B785" s="2">
        <v>32834</v>
      </c>
      <c r="C785" s="3">
        <f>DATE(2012,12,31)-857</f>
        <v>40417</v>
      </c>
      <c r="D785" s="1" t="s">
        <v>0</v>
      </c>
      <c r="E785" s="2">
        <v>39</v>
      </c>
      <c r="F785" s="2">
        <v>3460.5625</v>
      </c>
      <c r="G785" s="2">
        <v>0.1</v>
      </c>
      <c r="H785" s="2">
        <v>0.57999999999999996</v>
      </c>
      <c r="I785" s="4">
        <v>573.05700000000002</v>
      </c>
      <c r="J785" s="5">
        <v>115.99</v>
      </c>
      <c r="K785" s="5">
        <v>5.92</v>
      </c>
      <c r="L785" s="1" t="s">
        <v>5</v>
      </c>
      <c r="M785" s="1" t="s">
        <v>38</v>
      </c>
      <c r="N785" s="1" t="s">
        <v>15</v>
      </c>
      <c r="O785" s="1" t="s">
        <v>11</v>
      </c>
      <c r="P785" s="1" t="s">
        <v>7</v>
      </c>
      <c r="Q785" s="6">
        <f>C785+1</f>
        <v>40418</v>
      </c>
    </row>
    <row r="786" spans="1:17" ht="15.75" x14ac:dyDescent="0.3">
      <c r="A786" s="1">
        <v>4666</v>
      </c>
      <c r="B786" s="2">
        <v>33219</v>
      </c>
      <c r="C786" s="3">
        <f>DATE(2012,12,31)-387</f>
        <v>40887</v>
      </c>
      <c r="D786" s="1" t="s">
        <v>17</v>
      </c>
      <c r="E786" s="2">
        <v>32</v>
      </c>
      <c r="F786" s="2">
        <v>7341.96</v>
      </c>
      <c r="G786" s="2">
        <v>0</v>
      </c>
      <c r="H786" s="2">
        <v>0.59</v>
      </c>
      <c r="I786" s="4">
        <v>764.95</v>
      </c>
      <c r="J786" s="5">
        <v>216.6</v>
      </c>
      <c r="K786" s="5">
        <v>64.2</v>
      </c>
      <c r="L786" s="1" t="s">
        <v>1</v>
      </c>
      <c r="M786" s="1" t="s">
        <v>38</v>
      </c>
      <c r="N786" s="1" t="s">
        <v>21</v>
      </c>
      <c r="O786" s="1" t="s">
        <v>3</v>
      </c>
      <c r="P786" s="1" t="s">
        <v>4</v>
      </c>
      <c r="Q786" s="6">
        <f>C786+1</f>
        <v>40888</v>
      </c>
    </row>
    <row r="787" spans="1:17" ht="15.75" x14ac:dyDescent="0.3">
      <c r="A787" s="1">
        <v>4697</v>
      </c>
      <c r="B787" s="2">
        <v>33477</v>
      </c>
      <c r="C787" s="3">
        <f>DATE(2012,12,31)-73</f>
        <v>41201</v>
      </c>
      <c r="D787" s="1" t="s">
        <v>17</v>
      </c>
      <c r="E787" s="2">
        <v>28</v>
      </c>
      <c r="F787" s="2">
        <v>269.27999999999997</v>
      </c>
      <c r="G787" s="2">
        <v>0.08</v>
      </c>
      <c r="H787" s="2">
        <v>0.37</v>
      </c>
      <c r="I787" s="4">
        <v>113.63</v>
      </c>
      <c r="J787" s="5">
        <v>10.35</v>
      </c>
      <c r="K787" s="5">
        <v>0.99</v>
      </c>
      <c r="L787" s="1" t="s">
        <v>5</v>
      </c>
      <c r="M787" s="1" t="s">
        <v>38</v>
      </c>
      <c r="N787" s="1" t="s">
        <v>13</v>
      </c>
      <c r="O787" s="1" t="s">
        <v>6</v>
      </c>
      <c r="P787" s="1" t="s">
        <v>7</v>
      </c>
      <c r="Q787" s="6">
        <f>C787+2</f>
        <v>41203</v>
      </c>
    </row>
    <row r="788" spans="1:17" ht="15.75" x14ac:dyDescent="0.3">
      <c r="A788" s="1">
        <v>4793</v>
      </c>
      <c r="B788" s="2">
        <v>34082</v>
      </c>
      <c r="C788" s="3">
        <f>DATE(2012,12,31)-430</f>
        <v>40844</v>
      </c>
      <c r="D788" s="1" t="s">
        <v>8</v>
      </c>
      <c r="E788" s="2">
        <v>19</v>
      </c>
      <c r="F788" s="2">
        <v>2536.1799999999998</v>
      </c>
      <c r="G788" s="2">
        <v>0.1</v>
      </c>
      <c r="H788" s="2">
        <v>0.56000000000000005</v>
      </c>
      <c r="I788" s="4">
        <v>350.62</v>
      </c>
      <c r="J788" s="5">
        <v>142.86000000000001</v>
      </c>
      <c r="K788" s="5">
        <v>19.989999999999998</v>
      </c>
      <c r="L788" s="1" t="s">
        <v>5</v>
      </c>
      <c r="M788" s="1" t="s">
        <v>38</v>
      </c>
      <c r="N788" s="1" t="s">
        <v>2</v>
      </c>
      <c r="O788" s="1" t="s">
        <v>6</v>
      </c>
      <c r="P788" s="1" t="s">
        <v>7</v>
      </c>
      <c r="Q788" s="6">
        <f>C788+1</f>
        <v>40845</v>
      </c>
    </row>
    <row r="789" spans="1:17" ht="15.75" x14ac:dyDescent="0.3">
      <c r="A789" s="1">
        <v>4794</v>
      </c>
      <c r="B789" s="2">
        <v>34082</v>
      </c>
      <c r="C789" s="3">
        <f>DATE(2012,12,31)-430</f>
        <v>40844</v>
      </c>
      <c r="D789" s="1" t="s">
        <v>8</v>
      </c>
      <c r="E789" s="2">
        <v>20</v>
      </c>
      <c r="F789" s="2">
        <v>38.56</v>
      </c>
      <c r="G789" s="2">
        <v>7.0000000000000007E-2</v>
      </c>
      <c r="H789" s="2">
        <v>0.37</v>
      </c>
      <c r="I789" s="4">
        <v>-10.246500000000001</v>
      </c>
      <c r="J789" s="5">
        <v>1.88</v>
      </c>
      <c r="K789" s="5">
        <v>1.49</v>
      </c>
      <c r="L789" s="1" t="s">
        <v>5</v>
      </c>
      <c r="M789" s="1" t="s">
        <v>38</v>
      </c>
      <c r="N789" s="1" t="s">
        <v>2</v>
      </c>
      <c r="O789" s="1" t="s">
        <v>6</v>
      </c>
      <c r="P789" s="1" t="s">
        <v>7</v>
      </c>
      <c r="Q789" s="6">
        <f>C789+1</f>
        <v>40845</v>
      </c>
    </row>
    <row r="790" spans="1:17" ht="15.75" x14ac:dyDescent="0.3">
      <c r="A790" s="1">
        <v>4795</v>
      </c>
      <c r="B790" s="2">
        <v>34082</v>
      </c>
      <c r="C790" s="3">
        <f>DATE(2012,12,31)-430</f>
        <v>40844</v>
      </c>
      <c r="D790" s="1" t="s">
        <v>8</v>
      </c>
      <c r="E790" s="2">
        <v>35</v>
      </c>
      <c r="F790" s="2">
        <v>764.32</v>
      </c>
      <c r="G790" s="2">
        <v>0.02</v>
      </c>
      <c r="H790" s="2">
        <v>0.59</v>
      </c>
      <c r="I790" s="4">
        <v>-34.590000000000003</v>
      </c>
      <c r="J790" s="5">
        <v>21.38</v>
      </c>
      <c r="K790" s="5">
        <v>8.99</v>
      </c>
      <c r="L790" s="1" t="s">
        <v>5</v>
      </c>
      <c r="M790" s="1" t="s">
        <v>38</v>
      </c>
      <c r="N790" s="1" t="s">
        <v>2</v>
      </c>
      <c r="O790" s="1" t="s">
        <v>6</v>
      </c>
      <c r="P790" s="1" t="s">
        <v>20</v>
      </c>
      <c r="Q790" s="6">
        <f>C790+2</f>
        <v>40846</v>
      </c>
    </row>
    <row r="791" spans="1:17" ht="15.75" x14ac:dyDescent="0.3">
      <c r="A791" s="1">
        <v>4811</v>
      </c>
      <c r="B791" s="2">
        <v>34211</v>
      </c>
      <c r="C791" s="3">
        <f>DATE(2012,12,31)-322</f>
        <v>40952</v>
      </c>
      <c r="D791" s="1" t="s">
        <v>8</v>
      </c>
      <c r="E791" s="2">
        <v>15</v>
      </c>
      <c r="F791" s="2">
        <v>136.49</v>
      </c>
      <c r="G791" s="2">
        <v>0.1</v>
      </c>
      <c r="H791" s="2">
        <v>0.43</v>
      </c>
      <c r="I791" s="4">
        <v>36.229999999999997</v>
      </c>
      <c r="J791" s="5">
        <v>9.93</v>
      </c>
      <c r="K791" s="5">
        <v>1.0900000000000001</v>
      </c>
      <c r="L791" s="1" t="s">
        <v>5</v>
      </c>
      <c r="M791" s="1" t="s">
        <v>38</v>
      </c>
      <c r="N791" s="1" t="s">
        <v>13</v>
      </c>
      <c r="O791" s="1" t="s">
        <v>6</v>
      </c>
      <c r="P791" s="1" t="s">
        <v>14</v>
      </c>
      <c r="Q791" s="6">
        <f>C791+3</f>
        <v>40955</v>
      </c>
    </row>
    <row r="792" spans="1:17" ht="15.75" x14ac:dyDescent="0.3">
      <c r="A792" s="1">
        <v>4817</v>
      </c>
      <c r="B792" s="2">
        <v>34244</v>
      </c>
      <c r="C792" s="3">
        <f>DATE(2012,12,31)-824</f>
        <v>40450</v>
      </c>
      <c r="D792" s="1" t="s">
        <v>16</v>
      </c>
      <c r="E792" s="2">
        <v>25</v>
      </c>
      <c r="F792" s="2">
        <v>205.3</v>
      </c>
      <c r="G792" s="2">
        <v>0</v>
      </c>
      <c r="H792" s="2">
        <v>0.69</v>
      </c>
      <c r="I792" s="4">
        <v>-89.56</v>
      </c>
      <c r="J792" s="5">
        <v>7.37</v>
      </c>
      <c r="K792" s="5">
        <v>5.53</v>
      </c>
      <c r="L792" s="1" t="s">
        <v>9</v>
      </c>
      <c r="M792" s="1" t="s">
        <v>38</v>
      </c>
      <c r="N792" s="1" t="s">
        <v>21</v>
      </c>
      <c r="O792" s="1" t="s">
        <v>11</v>
      </c>
      <c r="P792" s="1" t="s">
        <v>20</v>
      </c>
      <c r="Q792" s="6">
        <f>C792+9</f>
        <v>40459</v>
      </c>
    </row>
    <row r="793" spans="1:17" ht="15.75" x14ac:dyDescent="0.3">
      <c r="A793" s="1">
        <v>4818</v>
      </c>
      <c r="B793" s="2">
        <v>34244</v>
      </c>
      <c r="C793" s="3">
        <f>DATE(2012,12,31)-824</f>
        <v>40450</v>
      </c>
      <c r="D793" s="1" t="s">
        <v>16</v>
      </c>
      <c r="E793" s="2">
        <v>4</v>
      </c>
      <c r="F793" s="2">
        <v>125.7</v>
      </c>
      <c r="G793" s="2">
        <v>0.04</v>
      </c>
      <c r="H793" s="2">
        <v>0.42</v>
      </c>
      <c r="I793" s="4">
        <v>-62.77</v>
      </c>
      <c r="J793" s="5">
        <v>31.78</v>
      </c>
      <c r="K793" s="5">
        <v>1.99</v>
      </c>
      <c r="L793" s="1" t="s">
        <v>5</v>
      </c>
      <c r="M793" s="1" t="s">
        <v>38</v>
      </c>
      <c r="N793" s="1" t="s">
        <v>21</v>
      </c>
      <c r="O793" s="1" t="s">
        <v>11</v>
      </c>
      <c r="P793" s="1" t="s">
        <v>20</v>
      </c>
      <c r="Q793" s="6">
        <f>C793+2</f>
        <v>40452</v>
      </c>
    </row>
    <row r="794" spans="1:17" ht="15.75" x14ac:dyDescent="0.3">
      <c r="A794" s="1">
        <v>4867</v>
      </c>
      <c r="B794" s="2">
        <v>34658</v>
      </c>
      <c r="C794" s="3">
        <f>DATE(2012,12,31)-774</f>
        <v>40500</v>
      </c>
      <c r="D794" s="1" t="s">
        <v>12</v>
      </c>
      <c r="E794" s="2">
        <v>33</v>
      </c>
      <c r="F794" s="2">
        <v>2701.69</v>
      </c>
      <c r="G794" s="2">
        <v>0.05</v>
      </c>
      <c r="H794" s="2">
        <v>0.6</v>
      </c>
      <c r="I794" s="4">
        <v>-926.33</v>
      </c>
      <c r="J794" s="5">
        <v>81.94</v>
      </c>
      <c r="K794" s="5">
        <v>55.81</v>
      </c>
      <c r="L794" s="1" t="s">
        <v>1</v>
      </c>
      <c r="M794" s="1" t="s">
        <v>38</v>
      </c>
      <c r="N794" s="1" t="s">
        <v>13</v>
      </c>
      <c r="O794" s="1" t="s">
        <v>3</v>
      </c>
      <c r="P794" s="1" t="s">
        <v>19</v>
      </c>
      <c r="Q794" s="6">
        <f>C794+0</f>
        <v>40500</v>
      </c>
    </row>
    <row r="795" spans="1:17" ht="15.75" x14ac:dyDescent="0.3">
      <c r="A795" s="1">
        <v>4890</v>
      </c>
      <c r="B795" s="2">
        <v>34788</v>
      </c>
      <c r="C795" s="3">
        <f>DATE(2012,12,31)-1148</f>
        <v>40126</v>
      </c>
      <c r="D795" s="1" t="s">
        <v>17</v>
      </c>
      <c r="E795" s="2">
        <v>4</v>
      </c>
      <c r="F795" s="2">
        <v>30.47</v>
      </c>
      <c r="G795" s="2">
        <v>0.02</v>
      </c>
      <c r="H795" s="2">
        <v>0.36</v>
      </c>
      <c r="I795" s="4">
        <v>-10.7</v>
      </c>
      <c r="J795" s="5">
        <v>5.98</v>
      </c>
      <c r="K795" s="5">
        <v>5.15</v>
      </c>
      <c r="L795" s="1" t="s">
        <v>5</v>
      </c>
      <c r="M795" s="1" t="s">
        <v>38</v>
      </c>
      <c r="N795" s="1" t="s">
        <v>2</v>
      </c>
      <c r="O795" s="1" t="s">
        <v>6</v>
      </c>
      <c r="P795" s="1" t="s">
        <v>7</v>
      </c>
      <c r="Q795" s="6">
        <f>C795+2</f>
        <v>40128</v>
      </c>
    </row>
    <row r="796" spans="1:17" ht="15.75" x14ac:dyDescent="0.3">
      <c r="A796" s="1">
        <v>4907</v>
      </c>
      <c r="B796" s="2">
        <v>34918</v>
      </c>
      <c r="C796" s="3">
        <f>DATE(2012,12,31)-1165</f>
        <v>40109</v>
      </c>
      <c r="D796" s="1" t="s">
        <v>12</v>
      </c>
      <c r="E796" s="2">
        <v>12</v>
      </c>
      <c r="F796" s="2">
        <v>2230.9699999999998</v>
      </c>
      <c r="G796" s="2">
        <v>0.06</v>
      </c>
      <c r="H796" s="2">
        <v>0.59</v>
      </c>
      <c r="I796" s="4">
        <v>273.27</v>
      </c>
      <c r="J796" s="5">
        <v>180.98</v>
      </c>
      <c r="K796" s="5">
        <v>26.2</v>
      </c>
      <c r="L796" s="1" t="s">
        <v>1</v>
      </c>
      <c r="M796" s="1" t="s">
        <v>38</v>
      </c>
      <c r="N796" s="1" t="s">
        <v>2</v>
      </c>
      <c r="O796" s="1" t="s">
        <v>3</v>
      </c>
      <c r="P796" s="1" t="s">
        <v>4</v>
      </c>
      <c r="Q796" s="6">
        <f>C796+1</f>
        <v>40110</v>
      </c>
    </row>
    <row r="797" spans="1:17" ht="15.75" x14ac:dyDescent="0.3">
      <c r="A797" s="1">
        <v>4908</v>
      </c>
      <c r="B797" s="2">
        <v>34918</v>
      </c>
      <c r="C797" s="3">
        <f>DATE(2012,12,31)-1165</f>
        <v>40109</v>
      </c>
      <c r="D797" s="1" t="s">
        <v>12</v>
      </c>
      <c r="E797" s="2">
        <v>25</v>
      </c>
      <c r="F797" s="2">
        <v>200.77</v>
      </c>
      <c r="G797" s="2">
        <v>0.01</v>
      </c>
      <c r="H797" s="2">
        <v>0.42</v>
      </c>
      <c r="I797" s="4">
        <v>-60.61</v>
      </c>
      <c r="J797" s="5">
        <v>7.28</v>
      </c>
      <c r="K797" s="5">
        <v>7.98</v>
      </c>
      <c r="L797" s="1" t="s">
        <v>5</v>
      </c>
      <c r="M797" s="1" t="s">
        <v>38</v>
      </c>
      <c r="N797" s="1" t="s">
        <v>2</v>
      </c>
      <c r="O797" s="1" t="s">
        <v>3</v>
      </c>
      <c r="P797" s="1" t="s">
        <v>14</v>
      </c>
      <c r="Q797" s="6">
        <f>C797+2</f>
        <v>40111</v>
      </c>
    </row>
    <row r="798" spans="1:17" ht="15.75" x14ac:dyDescent="0.3">
      <c r="A798" s="1">
        <v>4931</v>
      </c>
      <c r="B798" s="2">
        <v>35079</v>
      </c>
      <c r="C798" s="3">
        <f>DATE(2012,12,31)-870</f>
        <v>40404</v>
      </c>
      <c r="D798" s="1" t="s">
        <v>17</v>
      </c>
      <c r="E798" s="2">
        <v>13</v>
      </c>
      <c r="F798" s="2">
        <v>71.569999999999993</v>
      </c>
      <c r="G798" s="2">
        <v>0.02</v>
      </c>
      <c r="H798" s="2">
        <v>0.65</v>
      </c>
      <c r="I798" s="4">
        <v>-30.6935</v>
      </c>
      <c r="J798" s="5">
        <v>4.9800000000000004</v>
      </c>
      <c r="K798" s="5">
        <v>4.95</v>
      </c>
      <c r="L798" s="1" t="s">
        <v>5</v>
      </c>
      <c r="M798" s="1" t="s">
        <v>38</v>
      </c>
      <c r="N798" s="1" t="s">
        <v>21</v>
      </c>
      <c r="O798" s="1" t="s">
        <v>3</v>
      </c>
      <c r="P798" s="1" t="s">
        <v>19</v>
      </c>
      <c r="Q798" s="6">
        <f>C798+2</f>
        <v>40406</v>
      </c>
    </row>
    <row r="799" spans="1:17" ht="15.75" x14ac:dyDescent="0.3">
      <c r="A799" s="1">
        <v>4932</v>
      </c>
      <c r="B799" s="2">
        <v>35079</v>
      </c>
      <c r="C799" s="3">
        <f>DATE(2012,12,31)-870</f>
        <v>40404</v>
      </c>
      <c r="D799" s="1" t="s">
        <v>17</v>
      </c>
      <c r="E799" s="2">
        <v>32</v>
      </c>
      <c r="F799" s="2">
        <v>2062.75</v>
      </c>
      <c r="G799" s="2">
        <v>0.01</v>
      </c>
      <c r="H799" s="2">
        <v>0.63</v>
      </c>
      <c r="I799" s="4">
        <v>559.59</v>
      </c>
      <c r="J799" s="5">
        <v>60.98</v>
      </c>
      <c r="K799" s="5">
        <v>19.989999999999998</v>
      </c>
      <c r="L799" s="1" t="s">
        <v>9</v>
      </c>
      <c r="M799" s="1" t="s">
        <v>38</v>
      </c>
      <c r="N799" s="1" t="s">
        <v>21</v>
      </c>
      <c r="O799" s="1" t="s">
        <v>3</v>
      </c>
      <c r="P799" s="1" t="s">
        <v>10</v>
      </c>
      <c r="Q799" s="6">
        <f>C799+2</f>
        <v>40406</v>
      </c>
    </row>
    <row r="800" spans="1:17" ht="15.75" x14ac:dyDescent="0.3">
      <c r="A800" s="1">
        <v>4935</v>
      </c>
      <c r="B800" s="2">
        <v>35110</v>
      </c>
      <c r="C800" s="3">
        <f>DATE(2012,12,31)-440</f>
        <v>40834</v>
      </c>
      <c r="D800" s="1" t="s">
        <v>17</v>
      </c>
      <c r="E800" s="2">
        <v>14</v>
      </c>
      <c r="F800" s="2">
        <v>12805.25</v>
      </c>
      <c r="G800" s="2">
        <v>0.01</v>
      </c>
      <c r="H800" s="2">
        <v>0.38</v>
      </c>
      <c r="I800" s="4">
        <v>5065.5069999999996</v>
      </c>
      <c r="J800" s="5">
        <v>896.99</v>
      </c>
      <c r="K800" s="5">
        <v>19.989999999999998</v>
      </c>
      <c r="L800" s="1" t="s">
        <v>5</v>
      </c>
      <c r="M800" s="1" t="s">
        <v>38</v>
      </c>
      <c r="N800" s="1" t="s">
        <v>2</v>
      </c>
      <c r="O800" s="1" t="s">
        <v>6</v>
      </c>
      <c r="P800" s="1" t="s">
        <v>7</v>
      </c>
      <c r="Q800" s="6">
        <f>C800+1</f>
        <v>40835</v>
      </c>
    </row>
    <row r="801" spans="1:17" ht="15.75" x14ac:dyDescent="0.3">
      <c r="A801" s="1">
        <v>4936</v>
      </c>
      <c r="B801" s="2">
        <v>35110</v>
      </c>
      <c r="C801" s="3">
        <f>DATE(2012,12,31)-440</f>
        <v>40834</v>
      </c>
      <c r="D801" s="1" t="s">
        <v>17</v>
      </c>
      <c r="E801" s="2">
        <v>49</v>
      </c>
      <c r="F801" s="2">
        <v>1435.32</v>
      </c>
      <c r="G801" s="2">
        <v>0.02</v>
      </c>
      <c r="H801" s="2">
        <v>0.5</v>
      </c>
      <c r="I801" s="4">
        <v>485.95</v>
      </c>
      <c r="J801" s="5">
        <v>29.89</v>
      </c>
      <c r="K801" s="5">
        <v>1.99</v>
      </c>
      <c r="L801" s="1" t="s">
        <v>5</v>
      </c>
      <c r="M801" s="1" t="s">
        <v>38</v>
      </c>
      <c r="N801" s="1" t="s">
        <v>2</v>
      </c>
      <c r="O801" s="1" t="s">
        <v>11</v>
      </c>
      <c r="P801" s="1" t="s">
        <v>20</v>
      </c>
      <c r="Q801" s="6">
        <f>C801+2</f>
        <v>40836</v>
      </c>
    </row>
    <row r="802" spans="1:17" ht="15.75" x14ac:dyDescent="0.3">
      <c r="A802" s="1">
        <v>4992</v>
      </c>
      <c r="B802" s="2">
        <v>35554</v>
      </c>
      <c r="C802" s="3">
        <f>DATE(2012,12,31)-98</f>
        <v>41176</v>
      </c>
      <c r="D802" s="1" t="s">
        <v>8</v>
      </c>
      <c r="E802" s="2">
        <v>34</v>
      </c>
      <c r="F802" s="2">
        <v>4581.54</v>
      </c>
      <c r="G802" s="2">
        <v>0.05</v>
      </c>
      <c r="H802" s="2">
        <v>0.69</v>
      </c>
      <c r="I802" s="4">
        <v>-614.37</v>
      </c>
      <c r="J802" s="5">
        <v>130.97999999999999</v>
      </c>
      <c r="K802" s="5">
        <v>54.74</v>
      </c>
      <c r="L802" s="1" t="s">
        <v>1</v>
      </c>
      <c r="M802" s="1" t="s">
        <v>38</v>
      </c>
      <c r="N802" s="1" t="s">
        <v>21</v>
      </c>
      <c r="O802" s="1" t="s">
        <v>3</v>
      </c>
      <c r="P802" s="1" t="s">
        <v>19</v>
      </c>
      <c r="Q802" s="6">
        <f>C802+2</f>
        <v>41178</v>
      </c>
    </row>
    <row r="803" spans="1:17" ht="15.75" x14ac:dyDescent="0.3">
      <c r="A803" s="1">
        <v>4993</v>
      </c>
      <c r="B803" s="2">
        <v>35555</v>
      </c>
      <c r="C803" s="3">
        <f>DATE(2012,12,31)-668</f>
        <v>40606</v>
      </c>
      <c r="D803" s="1" t="s">
        <v>12</v>
      </c>
      <c r="E803" s="2">
        <v>50</v>
      </c>
      <c r="F803" s="2">
        <v>11266.4</v>
      </c>
      <c r="G803" s="2">
        <v>0.08</v>
      </c>
      <c r="H803" s="2">
        <v>0.55000000000000004</v>
      </c>
      <c r="I803" s="4">
        <v>1902.99</v>
      </c>
      <c r="J803" s="5">
        <v>243.98</v>
      </c>
      <c r="K803" s="5">
        <v>43.32</v>
      </c>
      <c r="L803" s="1" t="s">
        <v>1</v>
      </c>
      <c r="M803" s="1" t="s">
        <v>38</v>
      </c>
      <c r="N803" s="1" t="s">
        <v>2</v>
      </c>
      <c r="O803" s="1" t="s">
        <v>3</v>
      </c>
      <c r="P803" s="1" t="s">
        <v>4</v>
      </c>
      <c r="Q803" s="6">
        <f>C803+1</f>
        <v>40607</v>
      </c>
    </row>
    <row r="804" spans="1:17" ht="15.75" x14ac:dyDescent="0.3">
      <c r="A804" s="1">
        <v>4994</v>
      </c>
      <c r="B804" s="2">
        <v>35555</v>
      </c>
      <c r="C804" s="3">
        <f>DATE(2012,12,31)-668</f>
        <v>40606</v>
      </c>
      <c r="D804" s="1" t="s">
        <v>12</v>
      </c>
      <c r="E804" s="2">
        <v>15</v>
      </c>
      <c r="F804" s="2">
        <v>71.61</v>
      </c>
      <c r="G804" s="2">
        <v>0.1</v>
      </c>
      <c r="H804" s="2">
        <v>0.66</v>
      </c>
      <c r="I804" s="4">
        <v>-70.31</v>
      </c>
      <c r="J804" s="5">
        <v>4.8899999999999997</v>
      </c>
      <c r="K804" s="5">
        <v>4.93</v>
      </c>
      <c r="L804" s="1" t="s">
        <v>5</v>
      </c>
      <c r="M804" s="1" t="s">
        <v>38</v>
      </c>
      <c r="N804" s="1" t="s">
        <v>2</v>
      </c>
      <c r="O804" s="1" t="s">
        <v>11</v>
      </c>
      <c r="P804" s="1" t="s">
        <v>20</v>
      </c>
      <c r="Q804" s="6">
        <f>C804+2</f>
        <v>40608</v>
      </c>
    </row>
    <row r="805" spans="1:17" ht="15.75" x14ac:dyDescent="0.3">
      <c r="A805" s="1">
        <v>4995</v>
      </c>
      <c r="B805" s="2">
        <v>35555</v>
      </c>
      <c r="C805" s="3">
        <f>DATE(2012,12,31)-668</f>
        <v>40606</v>
      </c>
      <c r="D805" s="1" t="s">
        <v>12</v>
      </c>
      <c r="E805" s="2">
        <v>2</v>
      </c>
      <c r="F805" s="2">
        <v>10.43</v>
      </c>
      <c r="G805" s="2">
        <v>7.0000000000000007E-2</v>
      </c>
      <c r="H805" s="2">
        <v>0.36</v>
      </c>
      <c r="I805" s="4">
        <v>-4.72</v>
      </c>
      <c r="J805" s="5">
        <v>4.9800000000000004</v>
      </c>
      <c r="K805" s="5">
        <v>0.8</v>
      </c>
      <c r="L805" s="1" t="s">
        <v>5</v>
      </c>
      <c r="M805" s="1" t="s">
        <v>38</v>
      </c>
      <c r="N805" s="1" t="s">
        <v>2</v>
      </c>
      <c r="O805" s="1" t="s">
        <v>6</v>
      </c>
      <c r="P805" s="1" t="s">
        <v>14</v>
      </c>
      <c r="Q805" s="6">
        <f>C805+0</f>
        <v>40606</v>
      </c>
    </row>
    <row r="806" spans="1:17" ht="15.75" x14ac:dyDescent="0.3">
      <c r="A806" s="1">
        <v>5033</v>
      </c>
      <c r="B806" s="2">
        <v>35877</v>
      </c>
      <c r="C806" s="3">
        <f>DATE(2012,12,31)-951</f>
        <v>40323</v>
      </c>
      <c r="D806" s="1" t="s">
        <v>17</v>
      </c>
      <c r="E806" s="2">
        <v>30</v>
      </c>
      <c r="F806" s="2">
        <v>129.71</v>
      </c>
      <c r="G806" s="2">
        <v>0.08</v>
      </c>
      <c r="H806" s="2">
        <v>0.4</v>
      </c>
      <c r="I806" s="4">
        <v>-100.61</v>
      </c>
      <c r="J806" s="5">
        <v>4.28</v>
      </c>
      <c r="K806" s="5">
        <v>5.68</v>
      </c>
      <c r="L806" s="1" t="s">
        <v>5</v>
      </c>
      <c r="M806" s="1" t="s">
        <v>38</v>
      </c>
      <c r="N806" s="1" t="s">
        <v>2</v>
      </c>
      <c r="O806" s="1" t="s">
        <v>6</v>
      </c>
      <c r="P806" s="1" t="s">
        <v>7</v>
      </c>
      <c r="Q806" s="6">
        <f>C806+3</f>
        <v>40326</v>
      </c>
    </row>
    <row r="807" spans="1:17" ht="15.75" x14ac:dyDescent="0.3">
      <c r="A807" s="1">
        <v>5035</v>
      </c>
      <c r="B807" s="2">
        <v>35878</v>
      </c>
      <c r="C807" s="3">
        <f>DATE(2012,12,31)-871</f>
        <v>40403</v>
      </c>
      <c r="D807" s="1" t="s">
        <v>12</v>
      </c>
      <c r="E807" s="2">
        <v>45</v>
      </c>
      <c r="F807" s="2">
        <v>161.66999999999999</v>
      </c>
      <c r="G807" s="2">
        <v>0.08</v>
      </c>
      <c r="H807" s="2">
        <v>0.39</v>
      </c>
      <c r="I807" s="4">
        <v>-7.71</v>
      </c>
      <c r="J807" s="5">
        <v>3.6</v>
      </c>
      <c r="K807" s="5">
        <v>2.2000000000000002</v>
      </c>
      <c r="L807" s="1" t="s">
        <v>5</v>
      </c>
      <c r="M807" s="1" t="s">
        <v>38</v>
      </c>
      <c r="N807" s="1" t="s">
        <v>2</v>
      </c>
      <c r="O807" s="1" t="s">
        <v>6</v>
      </c>
      <c r="P807" s="1" t="s">
        <v>14</v>
      </c>
      <c r="Q807" s="6">
        <f>C807+2</f>
        <v>40405</v>
      </c>
    </row>
    <row r="808" spans="1:17" ht="15.75" x14ac:dyDescent="0.3">
      <c r="A808" s="1">
        <v>5112</v>
      </c>
      <c r="B808" s="2">
        <v>36448</v>
      </c>
      <c r="C808" s="3">
        <f>DATE(2012,12,31)-843</f>
        <v>40431</v>
      </c>
      <c r="D808" s="1" t="s">
        <v>12</v>
      </c>
      <c r="E808" s="2">
        <v>6</v>
      </c>
      <c r="F808" s="2">
        <v>36.65</v>
      </c>
      <c r="G808" s="2">
        <v>0.03</v>
      </c>
      <c r="H808" s="2">
        <v>0.51</v>
      </c>
      <c r="I808" s="4">
        <v>0.43</v>
      </c>
      <c r="J808" s="5">
        <v>6.08</v>
      </c>
      <c r="K808" s="5">
        <v>0.91</v>
      </c>
      <c r="L808" s="1" t="s">
        <v>5</v>
      </c>
      <c r="M808" s="1" t="s">
        <v>38</v>
      </c>
      <c r="N808" s="1" t="s">
        <v>21</v>
      </c>
      <c r="O808" s="1" t="s">
        <v>6</v>
      </c>
      <c r="P808" s="1" t="s">
        <v>14</v>
      </c>
      <c r="Q808" s="6">
        <f>C808+0</f>
        <v>40431</v>
      </c>
    </row>
    <row r="809" spans="1:17" ht="15.75" x14ac:dyDescent="0.3">
      <c r="A809" s="1">
        <v>5113</v>
      </c>
      <c r="B809" s="2">
        <v>36448</v>
      </c>
      <c r="C809" s="3">
        <f>DATE(2012,12,31)-843</f>
        <v>40431</v>
      </c>
      <c r="D809" s="1" t="s">
        <v>12</v>
      </c>
      <c r="E809" s="2">
        <v>44</v>
      </c>
      <c r="F809" s="2">
        <v>964.09</v>
      </c>
      <c r="G809" s="2">
        <v>0.02</v>
      </c>
      <c r="H809" s="2">
        <v>0.59</v>
      </c>
      <c r="I809" s="4">
        <v>105.37</v>
      </c>
      <c r="J809" s="5">
        <v>22.01</v>
      </c>
      <c r="K809" s="5">
        <v>5.53</v>
      </c>
      <c r="L809" s="1" t="s">
        <v>5</v>
      </c>
      <c r="M809" s="1" t="s">
        <v>38</v>
      </c>
      <c r="N809" s="1" t="s">
        <v>21</v>
      </c>
      <c r="O809" s="1" t="s">
        <v>6</v>
      </c>
      <c r="P809" s="1" t="s">
        <v>20</v>
      </c>
      <c r="Q809" s="6">
        <f>C809+1</f>
        <v>40432</v>
      </c>
    </row>
    <row r="810" spans="1:17" ht="15.75" x14ac:dyDescent="0.3">
      <c r="A810" s="1">
        <v>5117</v>
      </c>
      <c r="B810" s="2">
        <v>36452</v>
      </c>
      <c r="C810" s="3">
        <f>DATE(2012,12,31)-1366</f>
        <v>39908</v>
      </c>
      <c r="D810" s="1" t="s">
        <v>17</v>
      </c>
      <c r="E810" s="2">
        <v>26</v>
      </c>
      <c r="F810" s="2">
        <v>564.98</v>
      </c>
      <c r="G810" s="2">
        <v>0.1</v>
      </c>
      <c r="H810" s="2">
        <v>0.38</v>
      </c>
      <c r="I810" s="4">
        <v>-107.51349999999999</v>
      </c>
      <c r="J810" s="5">
        <v>22.38</v>
      </c>
      <c r="K810" s="5">
        <v>15.1</v>
      </c>
      <c r="L810" s="1" t="s">
        <v>5</v>
      </c>
      <c r="M810" s="1" t="s">
        <v>38</v>
      </c>
      <c r="N810" s="1" t="s">
        <v>15</v>
      </c>
      <c r="O810" s="1" t="s">
        <v>6</v>
      </c>
      <c r="P810" s="1" t="s">
        <v>7</v>
      </c>
      <c r="Q810" s="6">
        <f>C810+1</f>
        <v>39909</v>
      </c>
    </row>
    <row r="811" spans="1:17" ht="15.75" x14ac:dyDescent="0.3">
      <c r="A811" s="1">
        <v>5118</v>
      </c>
      <c r="B811" s="2">
        <v>36452</v>
      </c>
      <c r="C811" s="3">
        <f>DATE(2012,12,31)-1366</f>
        <v>39908</v>
      </c>
      <c r="D811" s="1" t="s">
        <v>17</v>
      </c>
      <c r="E811" s="2">
        <v>18</v>
      </c>
      <c r="F811" s="2">
        <v>129.47999999999999</v>
      </c>
      <c r="G811" s="2">
        <v>0.04</v>
      </c>
      <c r="H811" s="2">
        <v>0.37</v>
      </c>
      <c r="I811" s="4">
        <v>46.01</v>
      </c>
      <c r="J811" s="5">
        <v>6.98</v>
      </c>
      <c r="K811" s="5">
        <v>2.83</v>
      </c>
      <c r="L811" s="1" t="s">
        <v>5</v>
      </c>
      <c r="M811" s="1" t="s">
        <v>38</v>
      </c>
      <c r="N811" s="1" t="s">
        <v>15</v>
      </c>
      <c r="O811" s="1" t="s">
        <v>3</v>
      </c>
      <c r="P811" s="1" t="s">
        <v>20</v>
      </c>
      <c r="Q811" s="6">
        <f>C811+2</f>
        <v>39910</v>
      </c>
    </row>
    <row r="812" spans="1:17" ht="15.75" x14ac:dyDescent="0.3">
      <c r="A812" s="1">
        <v>5125</v>
      </c>
      <c r="B812" s="2">
        <v>36484</v>
      </c>
      <c r="C812" s="3">
        <f>DATE(2012,12,31)-338</f>
        <v>40936</v>
      </c>
      <c r="D812" s="1" t="s">
        <v>0</v>
      </c>
      <c r="E812" s="2">
        <v>41</v>
      </c>
      <c r="F812" s="2">
        <v>2380.5695000000001</v>
      </c>
      <c r="G812" s="2">
        <v>0.01</v>
      </c>
      <c r="H812" s="2">
        <v>0.55000000000000004</v>
      </c>
      <c r="I812" s="4">
        <v>740.47500000000002</v>
      </c>
      <c r="J812" s="5">
        <v>65.989999999999995</v>
      </c>
      <c r="K812" s="5">
        <v>3.9</v>
      </c>
      <c r="L812" s="1" t="s">
        <v>9</v>
      </c>
      <c r="M812" s="1" t="s">
        <v>38</v>
      </c>
      <c r="N812" s="1" t="s">
        <v>2</v>
      </c>
      <c r="O812" s="1" t="s">
        <v>11</v>
      </c>
      <c r="P812" s="1" t="s">
        <v>7</v>
      </c>
      <c r="Q812" s="6">
        <f>C812+1</f>
        <v>40937</v>
      </c>
    </row>
    <row r="813" spans="1:17" ht="15.75" x14ac:dyDescent="0.3">
      <c r="A813" s="1">
        <v>5136</v>
      </c>
      <c r="B813" s="2">
        <v>36643</v>
      </c>
      <c r="C813" s="3">
        <f>DATE(2012,12,31)-1407</f>
        <v>39867</v>
      </c>
      <c r="D813" s="1" t="s">
        <v>0</v>
      </c>
      <c r="E813" s="2">
        <v>17</v>
      </c>
      <c r="F813" s="2">
        <v>240.87</v>
      </c>
      <c r="G813" s="2">
        <v>0.01</v>
      </c>
      <c r="H813" s="2">
        <v>0.43</v>
      </c>
      <c r="I813" s="4">
        <v>-36.770000000000003</v>
      </c>
      <c r="J813" s="5">
        <v>13.79</v>
      </c>
      <c r="K813" s="5">
        <v>8.7799999999999994</v>
      </c>
      <c r="L813" s="1" t="s">
        <v>5</v>
      </c>
      <c r="M813" s="1" t="s">
        <v>38</v>
      </c>
      <c r="N813" s="1" t="s">
        <v>2</v>
      </c>
      <c r="O813" s="1" t="s">
        <v>3</v>
      </c>
      <c r="P813" s="1" t="s">
        <v>7</v>
      </c>
      <c r="Q813" s="6">
        <f>C813+2</f>
        <v>39869</v>
      </c>
    </row>
    <row r="814" spans="1:17" ht="15.75" x14ac:dyDescent="0.3">
      <c r="A814" s="1">
        <v>5137</v>
      </c>
      <c r="B814" s="2">
        <v>36643</v>
      </c>
      <c r="C814" s="3">
        <f>DATE(2012,12,31)-1407</f>
        <v>39867</v>
      </c>
      <c r="D814" s="1" t="s">
        <v>0</v>
      </c>
      <c r="E814" s="2">
        <v>30</v>
      </c>
      <c r="F814" s="2">
        <v>1025.02</v>
      </c>
      <c r="G814" s="2">
        <v>0.04</v>
      </c>
      <c r="H814" s="2">
        <v>0.61</v>
      </c>
      <c r="I814" s="4">
        <v>87.03</v>
      </c>
      <c r="J814" s="5">
        <v>33.29</v>
      </c>
      <c r="K814" s="5">
        <v>8.74</v>
      </c>
      <c r="L814" s="1" t="s">
        <v>5</v>
      </c>
      <c r="M814" s="1" t="s">
        <v>38</v>
      </c>
      <c r="N814" s="1" t="s">
        <v>2</v>
      </c>
      <c r="O814" s="1" t="s">
        <v>6</v>
      </c>
      <c r="P814" s="1" t="s">
        <v>7</v>
      </c>
      <c r="Q814" s="6">
        <f>C814+1</f>
        <v>39868</v>
      </c>
    </row>
    <row r="815" spans="1:17" ht="15.75" x14ac:dyDescent="0.3">
      <c r="A815" s="1">
        <v>5148</v>
      </c>
      <c r="B815" s="2">
        <v>36679</v>
      </c>
      <c r="C815" s="3">
        <f>DATE(2012,12,31)-489</f>
        <v>40785</v>
      </c>
      <c r="D815" s="1" t="s">
        <v>0</v>
      </c>
      <c r="E815" s="2">
        <v>28</v>
      </c>
      <c r="F815" s="2">
        <v>1491.8264999999999</v>
      </c>
      <c r="G815" s="2">
        <v>0.1</v>
      </c>
      <c r="H815" s="2">
        <v>0.56000000000000005</v>
      </c>
      <c r="I815" s="4">
        <v>124.83</v>
      </c>
      <c r="J815" s="5">
        <v>65.989999999999995</v>
      </c>
      <c r="K815" s="5">
        <v>8.99</v>
      </c>
      <c r="L815" s="1" t="s">
        <v>5</v>
      </c>
      <c r="M815" s="1" t="s">
        <v>38</v>
      </c>
      <c r="N815" s="1" t="s">
        <v>2</v>
      </c>
      <c r="O815" s="1" t="s">
        <v>11</v>
      </c>
      <c r="P815" s="1" t="s">
        <v>7</v>
      </c>
      <c r="Q815" s="6">
        <f>C815+3</f>
        <v>40788</v>
      </c>
    </row>
    <row r="816" spans="1:17" ht="15.75" x14ac:dyDescent="0.3">
      <c r="A816" s="1">
        <v>5163</v>
      </c>
      <c r="B816" s="2">
        <v>36741</v>
      </c>
      <c r="C816" s="3">
        <f>DATE(2012,12,31)-743</f>
        <v>40531</v>
      </c>
      <c r="D816" s="1" t="s">
        <v>0</v>
      </c>
      <c r="E816" s="2">
        <v>26</v>
      </c>
      <c r="F816" s="2">
        <v>141.4</v>
      </c>
      <c r="G816" s="2">
        <v>0.08</v>
      </c>
      <c r="H816" s="2">
        <v>0.39</v>
      </c>
      <c r="I816" s="4">
        <v>34.479999999999997</v>
      </c>
      <c r="J816" s="5">
        <v>5.68</v>
      </c>
      <c r="K816" s="5">
        <v>1.46</v>
      </c>
      <c r="L816" s="1" t="s">
        <v>5</v>
      </c>
      <c r="M816" s="1" t="s">
        <v>38</v>
      </c>
      <c r="N816" s="1" t="s">
        <v>15</v>
      </c>
      <c r="O816" s="1" t="s">
        <v>6</v>
      </c>
      <c r="P816" s="1" t="s">
        <v>14</v>
      </c>
      <c r="Q816" s="6">
        <f>C816+3</f>
        <v>40534</v>
      </c>
    </row>
    <row r="817" spans="1:17" ht="15.75" x14ac:dyDescent="0.3">
      <c r="A817" s="1">
        <v>5164</v>
      </c>
      <c r="B817" s="2">
        <v>36741</v>
      </c>
      <c r="C817" s="3">
        <f>DATE(2012,12,31)-743</f>
        <v>40531</v>
      </c>
      <c r="D817" s="1" t="s">
        <v>0</v>
      </c>
      <c r="E817" s="2">
        <v>6</v>
      </c>
      <c r="F817" s="2">
        <v>303.90899999999999</v>
      </c>
      <c r="G817" s="2">
        <v>0.01</v>
      </c>
      <c r="H817" s="2">
        <v>0.83</v>
      </c>
      <c r="I817" s="4">
        <v>-254.364</v>
      </c>
      <c r="J817" s="5">
        <v>55.99</v>
      </c>
      <c r="K817" s="5">
        <v>5</v>
      </c>
      <c r="L817" s="1" t="s">
        <v>5</v>
      </c>
      <c r="M817" s="1" t="s">
        <v>38</v>
      </c>
      <c r="N817" s="1" t="s">
        <v>15</v>
      </c>
      <c r="O817" s="1" t="s">
        <v>11</v>
      </c>
      <c r="P817" s="1" t="s">
        <v>20</v>
      </c>
      <c r="Q817" s="6">
        <f>C817+2</f>
        <v>40533</v>
      </c>
    </row>
    <row r="818" spans="1:17" ht="15.75" x14ac:dyDescent="0.3">
      <c r="A818" s="1">
        <v>5187</v>
      </c>
      <c r="B818" s="2">
        <v>36866</v>
      </c>
      <c r="C818" s="3">
        <f>DATE(2012,12,31)-1013</f>
        <v>40261</v>
      </c>
      <c r="D818" s="1" t="s">
        <v>16</v>
      </c>
      <c r="E818" s="2">
        <v>32</v>
      </c>
      <c r="F818" s="2">
        <v>6245.76</v>
      </c>
      <c r="G818" s="2">
        <v>0.1</v>
      </c>
      <c r="H818" s="2">
        <v>0.6</v>
      </c>
      <c r="I818" s="4">
        <v>1462.42</v>
      </c>
      <c r="J818" s="5">
        <v>210.55</v>
      </c>
      <c r="K818" s="5">
        <v>9.99</v>
      </c>
      <c r="L818" s="1" t="s">
        <v>5</v>
      </c>
      <c r="M818" s="1" t="s">
        <v>38</v>
      </c>
      <c r="N818" s="1" t="s">
        <v>21</v>
      </c>
      <c r="O818" s="1" t="s">
        <v>6</v>
      </c>
      <c r="P818" s="1" t="s">
        <v>7</v>
      </c>
      <c r="Q818" s="6">
        <f>C818+2</f>
        <v>40263</v>
      </c>
    </row>
    <row r="819" spans="1:17" ht="15.75" x14ac:dyDescent="0.3">
      <c r="A819" s="1">
        <v>5194</v>
      </c>
      <c r="B819" s="2">
        <v>36929</v>
      </c>
      <c r="C819" s="3">
        <f>DATE(2012,12,31)-220</f>
        <v>41054</v>
      </c>
      <c r="D819" s="1" t="s">
        <v>16</v>
      </c>
      <c r="E819" s="2">
        <v>45</v>
      </c>
      <c r="F819" s="2">
        <v>3638.27</v>
      </c>
      <c r="G819" s="2">
        <v>0.04</v>
      </c>
      <c r="H819" s="2">
        <v>0.59</v>
      </c>
      <c r="I819" s="4">
        <v>1123.79</v>
      </c>
      <c r="J819" s="5">
        <v>80.98</v>
      </c>
      <c r="K819" s="5">
        <v>4.5</v>
      </c>
      <c r="L819" s="1" t="s">
        <v>5</v>
      </c>
      <c r="M819" s="1" t="s">
        <v>38</v>
      </c>
      <c r="N819" s="1" t="s">
        <v>13</v>
      </c>
      <c r="O819" s="1" t="s">
        <v>6</v>
      </c>
      <c r="P819" s="1" t="s">
        <v>7</v>
      </c>
      <c r="Q819" s="6">
        <f>C819+0</f>
        <v>41054</v>
      </c>
    </row>
    <row r="820" spans="1:17" ht="15.75" x14ac:dyDescent="0.3">
      <c r="A820" s="1">
        <v>5195</v>
      </c>
      <c r="B820" s="2">
        <v>36929</v>
      </c>
      <c r="C820" s="3">
        <f>DATE(2012,12,31)-220</f>
        <v>41054</v>
      </c>
      <c r="D820" s="1" t="s">
        <v>16</v>
      </c>
      <c r="E820" s="2">
        <v>37</v>
      </c>
      <c r="F820" s="2">
        <v>1326.69</v>
      </c>
      <c r="G820" s="2">
        <v>0</v>
      </c>
      <c r="H820" s="2">
        <v>0.61</v>
      </c>
      <c r="I820" s="4">
        <v>185.37</v>
      </c>
      <c r="J820" s="5">
        <v>33.29</v>
      </c>
      <c r="K820" s="5">
        <v>8.74</v>
      </c>
      <c r="L820" s="1" t="s">
        <v>5</v>
      </c>
      <c r="M820" s="1" t="s">
        <v>38</v>
      </c>
      <c r="N820" s="1" t="s">
        <v>13</v>
      </c>
      <c r="O820" s="1" t="s">
        <v>6</v>
      </c>
      <c r="P820" s="1" t="s">
        <v>7</v>
      </c>
      <c r="Q820" s="6">
        <f>C820+4</f>
        <v>41058</v>
      </c>
    </row>
    <row r="821" spans="1:17" ht="15.75" x14ac:dyDescent="0.3">
      <c r="A821" s="1">
        <v>5209</v>
      </c>
      <c r="B821" s="2">
        <v>36999</v>
      </c>
      <c r="C821" s="3">
        <f>DATE(2012,12,31)-1115</f>
        <v>40159</v>
      </c>
      <c r="D821" s="1" t="s">
        <v>12</v>
      </c>
      <c r="E821" s="2">
        <v>28</v>
      </c>
      <c r="F821" s="2">
        <v>14475.74</v>
      </c>
      <c r="G821" s="2">
        <v>0.06</v>
      </c>
      <c r="H821" s="2">
        <v>0.35</v>
      </c>
      <c r="I821" s="4">
        <v>4963.8900000000003</v>
      </c>
      <c r="J821" s="5">
        <v>549.99</v>
      </c>
      <c r="K821" s="5">
        <v>49</v>
      </c>
      <c r="L821" s="1" t="s">
        <v>1</v>
      </c>
      <c r="M821" s="1" t="s">
        <v>38</v>
      </c>
      <c r="N821" s="1" t="s">
        <v>2</v>
      </c>
      <c r="O821" s="1" t="s">
        <v>11</v>
      </c>
      <c r="P821" s="1" t="s">
        <v>4</v>
      </c>
      <c r="Q821" s="6">
        <f>C821+1</f>
        <v>40160</v>
      </c>
    </row>
    <row r="822" spans="1:17" ht="15.75" x14ac:dyDescent="0.3">
      <c r="A822" s="1">
        <v>5210</v>
      </c>
      <c r="B822" s="2">
        <v>36999</v>
      </c>
      <c r="C822" s="3">
        <f>DATE(2012,12,31)-1115</f>
        <v>40159</v>
      </c>
      <c r="D822" s="1" t="s">
        <v>12</v>
      </c>
      <c r="E822" s="2">
        <v>3</v>
      </c>
      <c r="F822" s="2">
        <v>306.62049999999999</v>
      </c>
      <c r="G822" s="2">
        <v>0.08</v>
      </c>
      <c r="H822" s="2">
        <v>0.56999999999999995</v>
      </c>
      <c r="I822" s="4">
        <v>-479.08299999999997</v>
      </c>
      <c r="J822" s="5">
        <v>115.99</v>
      </c>
      <c r="K822" s="5">
        <v>5.99</v>
      </c>
      <c r="L822" s="1" t="s">
        <v>9</v>
      </c>
      <c r="M822" s="1" t="s">
        <v>38</v>
      </c>
      <c r="N822" s="1" t="s">
        <v>2</v>
      </c>
      <c r="O822" s="1" t="s">
        <v>11</v>
      </c>
      <c r="P822" s="1" t="s">
        <v>7</v>
      </c>
      <c r="Q822" s="6">
        <f>C822+1</f>
        <v>40160</v>
      </c>
    </row>
    <row r="823" spans="1:17" ht="15.75" x14ac:dyDescent="0.3">
      <c r="A823" s="1">
        <v>5225</v>
      </c>
      <c r="B823" s="2">
        <v>37216</v>
      </c>
      <c r="C823" s="3">
        <f>DATE(2012,12,31)-762</f>
        <v>40512</v>
      </c>
      <c r="D823" s="1" t="s">
        <v>17</v>
      </c>
      <c r="E823" s="2">
        <v>24</v>
      </c>
      <c r="F823" s="2">
        <v>527.25</v>
      </c>
      <c r="G823" s="2">
        <v>0.01</v>
      </c>
      <c r="H823" s="2">
        <v>0.37</v>
      </c>
      <c r="I823" s="4">
        <v>74.009499999999989</v>
      </c>
      <c r="J823" s="5">
        <v>20.98</v>
      </c>
      <c r="K823" s="5">
        <v>8.83</v>
      </c>
      <c r="L823" s="1" t="s">
        <v>5</v>
      </c>
      <c r="M823" s="1" t="s">
        <v>38</v>
      </c>
      <c r="N823" s="1" t="s">
        <v>15</v>
      </c>
      <c r="O823" s="1" t="s">
        <v>6</v>
      </c>
      <c r="P823" s="1" t="s">
        <v>7</v>
      </c>
      <c r="Q823" s="6">
        <f>C823+1</f>
        <v>40513</v>
      </c>
    </row>
    <row r="824" spans="1:17" ht="15.75" x14ac:dyDescent="0.3">
      <c r="A824" s="1">
        <v>5244</v>
      </c>
      <c r="B824" s="2">
        <v>37314</v>
      </c>
      <c r="C824" s="3">
        <f>DATE(2012,12,31)-607</f>
        <v>40667</v>
      </c>
      <c r="D824" s="1" t="s">
        <v>12</v>
      </c>
      <c r="E824" s="2">
        <v>21</v>
      </c>
      <c r="F824" s="2">
        <v>210.86</v>
      </c>
      <c r="G824" s="2">
        <v>0.04</v>
      </c>
      <c r="H824" s="2">
        <v>0.48</v>
      </c>
      <c r="I824" s="4">
        <v>5.5</v>
      </c>
      <c r="J824" s="5">
        <v>9.77</v>
      </c>
      <c r="K824" s="5">
        <v>6.02</v>
      </c>
      <c r="L824" s="1" t="s">
        <v>5</v>
      </c>
      <c r="M824" s="1" t="s">
        <v>38</v>
      </c>
      <c r="N824" s="1" t="s">
        <v>15</v>
      </c>
      <c r="O824" s="1" t="s">
        <v>3</v>
      </c>
      <c r="P824" s="1" t="s">
        <v>18</v>
      </c>
      <c r="Q824" s="6">
        <f>C824+1</f>
        <v>40668</v>
      </c>
    </row>
    <row r="825" spans="1:17" ht="15.75" x14ac:dyDescent="0.3">
      <c r="A825" s="1">
        <v>5250</v>
      </c>
      <c r="B825" s="2">
        <v>37349</v>
      </c>
      <c r="C825" s="3">
        <f>DATE(2012,12,31)-1050</f>
        <v>40224</v>
      </c>
      <c r="D825" s="1" t="s">
        <v>0</v>
      </c>
      <c r="E825" s="2">
        <v>8</v>
      </c>
      <c r="F825" s="2">
        <v>631.73</v>
      </c>
      <c r="G825" s="2">
        <v>0.03</v>
      </c>
      <c r="H825" s="2">
        <v>0.43</v>
      </c>
      <c r="I825" s="4">
        <v>122.43</v>
      </c>
      <c r="J825" s="5">
        <v>78.69</v>
      </c>
      <c r="K825" s="5">
        <v>19.989999999999998</v>
      </c>
      <c r="L825" s="1" t="s">
        <v>9</v>
      </c>
      <c r="M825" s="1" t="s">
        <v>38</v>
      </c>
      <c r="N825" s="1" t="s">
        <v>2</v>
      </c>
      <c r="O825" s="1" t="s">
        <v>3</v>
      </c>
      <c r="P825" s="1" t="s">
        <v>7</v>
      </c>
      <c r="Q825" s="6">
        <f>C825+2</f>
        <v>40226</v>
      </c>
    </row>
    <row r="826" spans="1:17" ht="15.75" x14ac:dyDescent="0.3">
      <c r="A826" s="1">
        <v>5319</v>
      </c>
      <c r="B826" s="2">
        <v>37828</v>
      </c>
      <c r="C826" s="3">
        <f>DATE(2012,12,31)-621</f>
        <v>40653</v>
      </c>
      <c r="D826" s="1" t="s">
        <v>16</v>
      </c>
      <c r="E826" s="2">
        <v>23</v>
      </c>
      <c r="F826" s="2">
        <v>490.17</v>
      </c>
      <c r="G826" s="2">
        <v>0.04</v>
      </c>
      <c r="H826" s="2">
        <v>0.77</v>
      </c>
      <c r="I826" s="4">
        <v>-57.09</v>
      </c>
      <c r="J826" s="5">
        <v>20.97</v>
      </c>
      <c r="K826" s="5">
        <v>4</v>
      </c>
      <c r="L826" s="1" t="s">
        <v>5</v>
      </c>
      <c r="M826" s="1" t="s">
        <v>38</v>
      </c>
      <c r="N826" s="1" t="s">
        <v>2</v>
      </c>
      <c r="O826" s="1" t="s">
        <v>11</v>
      </c>
      <c r="P826" s="1" t="s">
        <v>7</v>
      </c>
      <c r="Q826" s="6">
        <f>C826+5</f>
        <v>40658</v>
      </c>
    </row>
    <row r="827" spans="1:17" ht="15.75" x14ac:dyDescent="0.3">
      <c r="A827" s="1">
        <v>5320</v>
      </c>
      <c r="B827" s="2">
        <v>37828</v>
      </c>
      <c r="C827" s="3">
        <f>DATE(2012,12,31)-621</f>
        <v>40653</v>
      </c>
      <c r="D827" s="1" t="s">
        <v>16</v>
      </c>
      <c r="E827" s="2">
        <v>42</v>
      </c>
      <c r="F827" s="2">
        <v>206.2</v>
      </c>
      <c r="G827" s="2">
        <v>0.01</v>
      </c>
      <c r="H827" s="2">
        <v>0.36</v>
      </c>
      <c r="I827" s="4">
        <v>101.14</v>
      </c>
      <c r="J827" s="5">
        <v>4.91</v>
      </c>
      <c r="K827" s="5">
        <v>0.5</v>
      </c>
      <c r="L827" s="1" t="s">
        <v>5</v>
      </c>
      <c r="M827" s="1" t="s">
        <v>38</v>
      </c>
      <c r="N827" s="1" t="s">
        <v>2</v>
      </c>
      <c r="O827" s="1" t="s">
        <v>6</v>
      </c>
      <c r="P827" s="1" t="s">
        <v>7</v>
      </c>
      <c r="Q827" s="6">
        <f>C827+2</f>
        <v>40655</v>
      </c>
    </row>
    <row r="828" spans="1:17" ht="15.75" x14ac:dyDescent="0.3">
      <c r="A828" s="1">
        <v>5336</v>
      </c>
      <c r="B828" s="2">
        <v>37920</v>
      </c>
      <c r="C828" s="3">
        <f>DATE(2012,12,31)-901</f>
        <v>40373</v>
      </c>
      <c r="D828" s="1" t="s">
        <v>0</v>
      </c>
      <c r="E828" s="2">
        <v>48</v>
      </c>
      <c r="F828" s="2">
        <v>414.42</v>
      </c>
      <c r="G828" s="2">
        <v>0.04</v>
      </c>
      <c r="H828" s="2">
        <v>0.79</v>
      </c>
      <c r="I828" s="4">
        <v>-380.2</v>
      </c>
      <c r="J828" s="5">
        <v>8.4600000000000009</v>
      </c>
      <c r="K828" s="5">
        <v>8.99</v>
      </c>
      <c r="L828" s="1" t="s">
        <v>5</v>
      </c>
      <c r="M828" s="1" t="s">
        <v>38</v>
      </c>
      <c r="N828" s="1" t="s">
        <v>2</v>
      </c>
      <c r="O828" s="1" t="s">
        <v>11</v>
      </c>
      <c r="P828" s="1" t="s">
        <v>20</v>
      </c>
      <c r="Q828" s="6">
        <f>C828+2</f>
        <v>40375</v>
      </c>
    </row>
    <row r="829" spans="1:17" ht="15.75" x14ac:dyDescent="0.3">
      <c r="A829" s="1">
        <v>5357</v>
      </c>
      <c r="B829" s="2">
        <v>38052</v>
      </c>
      <c r="C829" s="3">
        <f>DATE(2012,12,31)-320</f>
        <v>40954</v>
      </c>
      <c r="D829" s="1" t="s">
        <v>16</v>
      </c>
      <c r="E829" s="2">
        <v>13</v>
      </c>
      <c r="F829" s="2">
        <v>542.6</v>
      </c>
      <c r="G829" s="2">
        <v>0.03</v>
      </c>
      <c r="H829" s="2">
        <v>0.44</v>
      </c>
      <c r="I829" s="4">
        <v>118.4</v>
      </c>
      <c r="J829" s="5">
        <v>40.98</v>
      </c>
      <c r="K829" s="5">
        <v>1.99</v>
      </c>
      <c r="L829" s="1" t="s">
        <v>5</v>
      </c>
      <c r="M829" s="1" t="s">
        <v>38</v>
      </c>
      <c r="N829" s="1" t="s">
        <v>21</v>
      </c>
      <c r="O829" s="1" t="s">
        <v>11</v>
      </c>
      <c r="P829" s="1" t="s">
        <v>20</v>
      </c>
      <c r="Q829" s="6">
        <f>C829+0</f>
        <v>40954</v>
      </c>
    </row>
    <row r="830" spans="1:17" ht="15.75" x14ac:dyDescent="0.3">
      <c r="A830" s="1">
        <v>5358</v>
      </c>
      <c r="B830" s="2">
        <v>38080</v>
      </c>
      <c r="C830" s="3">
        <f>DATE(2012,12,31)-1204</f>
        <v>40070</v>
      </c>
      <c r="D830" s="1" t="s">
        <v>8</v>
      </c>
      <c r="E830" s="2">
        <v>26</v>
      </c>
      <c r="F830" s="2">
        <v>125.01</v>
      </c>
      <c r="G830" s="2">
        <v>0.08</v>
      </c>
      <c r="H830" s="2">
        <v>0.38</v>
      </c>
      <c r="I830" s="4">
        <v>-56.35</v>
      </c>
      <c r="J830" s="5">
        <v>4.9800000000000004</v>
      </c>
      <c r="K830" s="5">
        <v>4.7</v>
      </c>
      <c r="L830" s="1" t="s">
        <v>5</v>
      </c>
      <c r="M830" s="1" t="s">
        <v>38</v>
      </c>
      <c r="N830" s="1" t="s">
        <v>21</v>
      </c>
      <c r="O830" s="1" t="s">
        <v>6</v>
      </c>
      <c r="P830" s="1" t="s">
        <v>7</v>
      </c>
      <c r="Q830" s="6">
        <f>C830+1</f>
        <v>40071</v>
      </c>
    </row>
    <row r="831" spans="1:17" ht="15.75" x14ac:dyDescent="0.3">
      <c r="A831" s="1">
        <v>5364</v>
      </c>
      <c r="B831" s="2">
        <v>38145</v>
      </c>
      <c r="C831" s="3">
        <f>DATE(2012,12,31)-1206</f>
        <v>40068</v>
      </c>
      <c r="D831" s="1" t="s">
        <v>8</v>
      </c>
      <c r="E831" s="2">
        <v>33</v>
      </c>
      <c r="F831" s="2">
        <v>60.92</v>
      </c>
      <c r="G831" s="2">
        <v>7.0000000000000007E-2</v>
      </c>
      <c r="H831" s="2">
        <v>0.37</v>
      </c>
      <c r="I831" s="4">
        <v>-17.204000000000001</v>
      </c>
      <c r="J831" s="5">
        <v>1.88</v>
      </c>
      <c r="K831" s="5">
        <v>1.49</v>
      </c>
      <c r="L831" s="1" t="s">
        <v>5</v>
      </c>
      <c r="M831" s="1" t="s">
        <v>38</v>
      </c>
      <c r="N831" s="1" t="s">
        <v>13</v>
      </c>
      <c r="O831" s="1" t="s">
        <v>6</v>
      </c>
      <c r="P831" s="1" t="s">
        <v>7</v>
      </c>
      <c r="Q831" s="6">
        <f>C831+2</f>
        <v>40070</v>
      </c>
    </row>
    <row r="832" spans="1:17" ht="15.75" x14ac:dyDescent="0.3">
      <c r="A832" s="1">
        <v>5365</v>
      </c>
      <c r="B832" s="2">
        <v>38145</v>
      </c>
      <c r="C832" s="3">
        <f>DATE(2012,12,31)-1206</f>
        <v>40068</v>
      </c>
      <c r="D832" s="1" t="s">
        <v>8</v>
      </c>
      <c r="E832" s="2">
        <v>8</v>
      </c>
      <c r="F832" s="2">
        <v>387.17</v>
      </c>
      <c r="G832" s="2">
        <v>0.01</v>
      </c>
      <c r="H832" s="2">
        <v>0.68</v>
      </c>
      <c r="I832" s="4">
        <v>190.6</v>
      </c>
      <c r="J832" s="5">
        <v>45.98</v>
      </c>
      <c r="K832" s="5">
        <v>4.8</v>
      </c>
      <c r="L832" s="1" t="s">
        <v>5</v>
      </c>
      <c r="M832" s="1" t="s">
        <v>38</v>
      </c>
      <c r="N832" s="1" t="s">
        <v>13</v>
      </c>
      <c r="O832" s="1" t="s">
        <v>3</v>
      </c>
      <c r="P832" s="1" t="s">
        <v>14</v>
      </c>
      <c r="Q832" s="6">
        <f>C832+1</f>
        <v>40069</v>
      </c>
    </row>
    <row r="833" spans="1:17" ht="15.75" x14ac:dyDescent="0.3">
      <c r="A833" s="1">
        <v>5405</v>
      </c>
      <c r="B833" s="2">
        <v>38437</v>
      </c>
      <c r="C833" s="3">
        <f>DATE(2012,12,31)-237</f>
        <v>41037</v>
      </c>
      <c r="D833" s="1" t="s">
        <v>0</v>
      </c>
      <c r="E833" s="2">
        <v>19</v>
      </c>
      <c r="F833" s="2">
        <v>4201.47</v>
      </c>
      <c r="G833" s="2">
        <v>0.04</v>
      </c>
      <c r="H833" s="2">
        <v>0.64</v>
      </c>
      <c r="I833" s="4">
        <v>199.25</v>
      </c>
      <c r="J833" s="5">
        <v>212.6</v>
      </c>
      <c r="K833" s="5">
        <v>52.2</v>
      </c>
      <c r="L833" s="1" t="s">
        <v>1</v>
      </c>
      <c r="M833" s="1" t="s">
        <v>38</v>
      </c>
      <c r="N833" s="1" t="s">
        <v>13</v>
      </c>
      <c r="O833" s="1" t="s">
        <v>3</v>
      </c>
      <c r="P833" s="1" t="s">
        <v>19</v>
      </c>
      <c r="Q833" s="6">
        <f>C833+1</f>
        <v>41038</v>
      </c>
    </row>
    <row r="834" spans="1:17" ht="15.75" x14ac:dyDescent="0.3">
      <c r="A834" s="1">
        <v>5406</v>
      </c>
      <c r="B834" s="2">
        <v>38437</v>
      </c>
      <c r="C834" s="3">
        <f>DATE(2012,12,31)-237</f>
        <v>41037</v>
      </c>
      <c r="D834" s="1" t="s">
        <v>0</v>
      </c>
      <c r="E834" s="2">
        <v>17</v>
      </c>
      <c r="F834" s="2">
        <v>55.66</v>
      </c>
      <c r="G834" s="2">
        <v>0.08</v>
      </c>
      <c r="H834" s="2">
        <v>0.56000000000000005</v>
      </c>
      <c r="I834" s="4">
        <v>-21.4</v>
      </c>
      <c r="J834" s="5">
        <v>3.28</v>
      </c>
      <c r="K834" s="5">
        <v>2.31</v>
      </c>
      <c r="L834" s="1" t="s">
        <v>5</v>
      </c>
      <c r="M834" s="1" t="s">
        <v>38</v>
      </c>
      <c r="N834" s="1" t="s">
        <v>13</v>
      </c>
      <c r="O834" s="1" t="s">
        <v>6</v>
      </c>
      <c r="P834" s="1" t="s">
        <v>14</v>
      </c>
      <c r="Q834" s="6">
        <f>C834+1</f>
        <v>41038</v>
      </c>
    </row>
    <row r="835" spans="1:17" ht="15.75" x14ac:dyDescent="0.3">
      <c r="A835" s="1">
        <v>5416</v>
      </c>
      <c r="B835" s="2">
        <v>38503</v>
      </c>
      <c r="C835" s="3">
        <f>DATE(2012,12,31)-1336</f>
        <v>39938</v>
      </c>
      <c r="D835" s="1" t="s">
        <v>16</v>
      </c>
      <c r="E835" s="2">
        <v>47</v>
      </c>
      <c r="F835" s="2">
        <v>5567.79</v>
      </c>
      <c r="G835" s="2">
        <v>0.04</v>
      </c>
      <c r="H835" s="2">
        <v>0.6</v>
      </c>
      <c r="I835" s="4">
        <v>1726.66</v>
      </c>
      <c r="J835" s="5">
        <v>120.98</v>
      </c>
      <c r="K835" s="5">
        <v>3.99</v>
      </c>
      <c r="L835" s="1" t="s">
        <v>5</v>
      </c>
      <c r="M835" s="1" t="s">
        <v>38</v>
      </c>
      <c r="N835" s="1" t="s">
        <v>2</v>
      </c>
      <c r="O835" s="1" t="s">
        <v>6</v>
      </c>
      <c r="P835" s="1" t="s">
        <v>7</v>
      </c>
      <c r="Q835" s="6">
        <f>C835+0</f>
        <v>39938</v>
      </c>
    </row>
    <row r="836" spans="1:17" ht="15.75" x14ac:dyDescent="0.3">
      <c r="A836" s="1">
        <v>5417</v>
      </c>
      <c r="B836" s="2">
        <v>38503</v>
      </c>
      <c r="C836" s="3">
        <f>DATE(2012,12,31)-1336</f>
        <v>39938</v>
      </c>
      <c r="D836" s="1" t="s">
        <v>16</v>
      </c>
      <c r="E836" s="2">
        <v>10</v>
      </c>
      <c r="F836" s="2">
        <v>503.29349999999999</v>
      </c>
      <c r="G836" s="2">
        <v>0.02</v>
      </c>
      <c r="H836" s="2">
        <v>0.83</v>
      </c>
      <c r="I836" s="4">
        <v>-222.816</v>
      </c>
      <c r="J836" s="5">
        <v>55.99</v>
      </c>
      <c r="K836" s="5">
        <v>5</v>
      </c>
      <c r="L836" s="1" t="s">
        <v>5</v>
      </c>
      <c r="M836" s="1" t="s">
        <v>38</v>
      </c>
      <c r="N836" s="1" t="s">
        <v>2</v>
      </c>
      <c r="O836" s="1" t="s">
        <v>11</v>
      </c>
      <c r="P836" s="1" t="s">
        <v>20</v>
      </c>
      <c r="Q836" s="6">
        <f>C836+0</f>
        <v>39938</v>
      </c>
    </row>
    <row r="837" spans="1:17" ht="15.75" x14ac:dyDescent="0.3">
      <c r="A837" s="1">
        <v>5418</v>
      </c>
      <c r="B837" s="2">
        <v>38503</v>
      </c>
      <c r="C837" s="3">
        <f>DATE(2012,12,31)-1336</f>
        <v>39938</v>
      </c>
      <c r="D837" s="1" t="s">
        <v>16</v>
      </c>
      <c r="E837" s="2">
        <v>32</v>
      </c>
      <c r="F837" s="2">
        <v>796.03</v>
      </c>
      <c r="G837" s="2">
        <v>0.05</v>
      </c>
      <c r="H837" s="2">
        <v>0.62</v>
      </c>
      <c r="I837" s="4">
        <v>-133.71</v>
      </c>
      <c r="J837" s="5">
        <v>23.99</v>
      </c>
      <c r="K837" s="5">
        <v>15.68</v>
      </c>
      <c r="L837" s="1" t="s">
        <v>1</v>
      </c>
      <c r="M837" s="1" t="s">
        <v>38</v>
      </c>
      <c r="N837" s="1" t="s">
        <v>2</v>
      </c>
      <c r="O837" s="1" t="s">
        <v>3</v>
      </c>
      <c r="P837" s="1" t="s">
        <v>4</v>
      </c>
      <c r="Q837" s="6">
        <f>C837+4</f>
        <v>39942</v>
      </c>
    </row>
    <row r="838" spans="1:17" ht="15.75" x14ac:dyDescent="0.3">
      <c r="A838" s="1">
        <v>5422</v>
      </c>
      <c r="B838" s="2">
        <v>38530</v>
      </c>
      <c r="C838" s="3">
        <f>DATE(2012,12,31)-624</f>
        <v>40650</v>
      </c>
      <c r="D838" s="1" t="s">
        <v>0</v>
      </c>
      <c r="E838" s="2">
        <v>47</v>
      </c>
      <c r="F838" s="2">
        <v>1980.37</v>
      </c>
      <c r="G838" s="2">
        <v>0.03</v>
      </c>
      <c r="H838" s="2">
        <v>0.36</v>
      </c>
      <c r="I838" s="4">
        <v>904.82500000000005</v>
      </c>
      <c r="J838" s="5">
        <v>40.98</v>
      </c>
      <c r="K838" s="5">
        <v>2.99</v>
      </c>
      <c r="L838" s="1" t="s">
        <v>5</v>
      </c>
      <c r="M838" s="1" t="s">
        <v>38</v>
      </c>
      <c r="N838" s="1" t="s">
        <v>15</v>
      </c>
      <c r="O838" s="1" t="s">
        <v>6</v>
      </c>
      <c r="P838" s="1" t="s">
        <v>7</v>
      </c>
      <c r="Q838" s="6">
        <f>C838+0</f>
        <v>40650</v>
      </c>
    </row>
    <row r="839" spans="1:17" ht="15.75" x14ac:dyDescent="0.3">
      <c r="A839" s="1">
        <v>5423</v>
      </c>
      <c r="B839" s="2">
        <v>38530</v>
      </c>
      <c r="C839" s="3">
        <f>DATE(2012,12,31)-624</f>
        <v>40650</v>
      </c>
      <c r="D839" s="1" t="s">
        <v>0</v>
      </c>
      <c r="E839" s="2">
        <v>13</v>
      </c>
      <c r="F839" s="2">
        <v>642.66</v>
      </c>
      <c r="G839" s="2">
        <v>0.05</v>
      </c>
      <c r="H839" s="2">
        <v>0.56999999999999995</v>
      </c>
      <c r="I839" s="4">
        <v>-82.35</v>
      </c>
      <c r="J839" s="5">
        <v>49.43</v>
      </c>
      <c r="K839" s="5">
        <v>19.989999999999998</v>
      </c>
      <c r="L839" s="1" t="s">
        <v>5</v>
      </c>
      <c r="M839" s="1" t="s">
        <v>38</v>
      </c>
      <c r="N839" s="1" t="s">
        <v>15</v>
      </c>
      <c r="O839" s="1" t="s">
        <v>6</v>
      </c>
      <c r="P839" s="1" t="s">
        <v>7</v>
      </c>
      <c r="Q839" s="6">
        <f>C839+0</f>
        <v>40650</v>
      </c>
    </row>
    <row r="840" spans="1:17" ht="15.75" x14ac:dyDescent="0.3">
      <c r="A840" s="1">
        <v>5455</v>
      </c>
      <c r="B840" s="2">
        <v>38726</v>
      </c>
      <c r="C840" s="3">
        <f>DATE(2012,12,31)-1320</f>
        <v>39954</v>
      </c>
      <c r="D840" s="1" t="s">
        <v>12</v>
      </c>
      <c r="E840" s="2">
        <v>44</v>
      </c>
      <c r="F840" s="2">
        <v>92.86</v>
      </c>
      <c r="G840" s="2">
        <v>0.04</v>
      </c>
      <c r="H840" s="2">
        <v>0.36</v>
      </c>
      <c r="I840" s="4">
        <v>-11.281500000000001</v>
      </c>
      <c r="J840" s="5">
        <v>2.08</v>
      </c>
      <c r="K840" s="5">
        <v>1.49</v>
      </c>
      <c r="L840" s="1" t="s">
        <v>5</v>
      </c>
      <c r="M840" s="1" t="s">
        <v>38</v>
      </c>
      <c r="N840" s="1" t="s">
        <v>15</v>
      </c>
      <c r="O840" s="1" t="s">
        <v>6</v>
      </c>
      <c r="P840" s="1" t="s">
        <v>7</v>
      </c>
      <c r="Q840" s="6">
        <f>C840+2</f>
        <v>39956</v>
      </c>
    </row>
    <row r="841" spans="1:17" ht="15.75" x14ac:dyDescent="0.3">
      <c r="A841" s="1">
        <v>5531</v>
      </c>
      <c r="B841" s="2">
        <v>39172</v>
      </c>
      <c r="C841" s="3">
        <f>DATE(2012,12,31)-920</f>
        <v>40354</v>
      </c>
      <c r="D841" s="1" t="s">
        <v>16</v>
      </c>
      <c r="E841" s="2">
        <v>38</v>
      </c>
      <c r="F841" s="2">
        <v>9013.58</v>
      </c>
      <c r="G841" s="2">
        <v>0.04</v>
      </c>
      <c r="H841" s="2">
        <v>0.59</v>
      </c>
      <c r="I841" s="4">
        <v>2574.36</v>
      </c>
      <c r="J841" s="5">
        <v>232.58</v>
      </c>
      <c r="K841" s="5">
        <v>19.989999999999998</v>
      </c>
      <c r="L841" s="1" t="s">
        <v>5</v>
      </c>
      <c r="M841" s="1" t="s">
        <v>38</v>
      </c>
      <c r="N841" s="1" t="s">
        <v>15</v>
      </c>
      <c r="O841" s="1" t="s">
        <v>6</v>
      </c>
      <c r="P841" s="1" t="s">
        <v>7</v>
      </c>
      <c r="Q841" s="6">
        <f>C841+7</f>
        <v>40361</v>
      </c>
    </row>
    <row r="842" spans="1:17" ht="15.75" x14ac:dyDescent="0.3">
      <c r="A842" s="1">
        <v>5532</v>
      </c>
      <c r="B842" s="2">
        <v>39172</v>
      </c>
      <c r="C842" s="3">
        <f>DATE(2012,12,31)-920</f>
        <v>40354</v>
      </c>
      <c r="D842" s="1" t="s">
        <v>16</v>
      </c>
      <c r="E842" s="2">
        <v>26</v>
      </c>
      <c r="F842" s="2">
        <v>175.42</v>
      </c>
      <c r="G842" s="2">
        <v>0</v>
      </c>
      <c r="H842" s="2">
        <v>0.4</v>
      </c>
      <c r="I842" s="4">
        <v>-93.73</v>
      </c>
      <c r="J842" s="5">
        <v>5.98</v>
      </c>
      <c r="K842" s="5">
        <v>7.5</v>
      </c>
      <c r="L842" s="1" t="s">
        <v>5</v>
      </c>
      <c r="M842" s="1" t="s">
        <v>38</v>
      </c>
      <c r="N842" s="1" t="s">
        <v>15</v>
      </c>
      <c r="O842" s="1" t="s">
        <v>6</v>
      </c>
      <c r="P842" s="1" t="s">
        <v>7</v>
      </c>
      <c r="Q842" s="6">
        <f>C842+7</f>
        <v>40361</v>
      </c>
    </row>
    <row r="843" spans="1:17" ht="15.75" x14ac:dyDescent="0.3">
      <c r="A843" s="1">
        <v>5547</v>
      </c>
      <c r="B843" s="2">
        <v>39269</v>
      </c>
      <c r="C843" s="3">
        <f>DATE(2012,12,31)-66</f>
        <v>41208</v>
      </c>
      <c r="D843" s="1" t="s">
        <v>16</v>
      </c>
      <c r="E843" s="2">
        <v>16</v>
      </c>
      <c r="F843" s="2">
        <v>464.69499999999999</v>
      </c>
      <c r="G843" s="2">
        <v>0.06</v>
      </c>
      <c r="H843" s="2">
        <v>0.36</v>
      </c>
      <c r="I843" s="4">
        <v>107.505</v>
      </c>
      <c r="J843" s="5">
        <v>35.99</v>
      </c>
      <c r="K843" s="5">
        <v>2.5</v>
      </c>
      <c r="L843" s="1" t="s">
        <v>5</v>
      </c>
      <c r="M843" s="1" t="s">
        <v>38</v>
      </c>
      <c r="N843" s="1" t="s">
        <v>15</v>
      </c>
      <c r="O843" s="1" t="s">
        <v>11</v>
      </c>
      <c r="P843" s="1" t="s">
        <v>20</v>
      </c>
      <c r="Q843" s="6">
        <f>C843+7</f>
        <v>41215</v>
      </c>
    </row>
    <row r="844" spans="1:17" ht="15.75" x14ac:dyDescent="0.3">
      <c r="A844" s="1">
        <v>5552</v>
      </c>
      <c r="B844" s="2">
        <v>39330</v>
      </c>
      <c r="C844" s="3">
        <f>DATE(2012,12,31)-898</f>
        <v>40376</v>
      </c>
      <c r="D844" s="1" t="s">
        <v>0</v>
      </c>
      <c r="E844" s="2">
        <v>29</v>
      </c>
      <c r="F844" s="2">
        <v>184.77</v>
      </c>
      <c r="G844" s="2">
        <v>0</v>
      </c>
      <c r="H844" s="2">
        <v>0.55000000000000004</v>
      </c>
      <c r="I844" s="4">
        <v>-71.959999999999994</v>
      </c>
      <c r="J844" s="5">
        <v>5.74</v>
      </c>
      <c r="K844" s="5">
        <v>5.3</v>
      </c>
      <c r="L844" s="1" t="s">
        <v>9</v>
      </c>
      <c r="M844" s="1" t="s">
        <v>38</v>
      </c>
      <c r="N844" s="1" t="s">
        <v>2</v>
      </c>
      <c r="O844" s="1" t="s">
        <v>6</v>
      </c>
      <c r="P844" s="1" t="s">
        <v>20</v>
      </c>
      <c r="Q844" s="6">
        <f>C844+1</f>
        <v>40377</v>
      </c>
    </row>
    <row r="845" spans="1:17" ht="15.75" x14ac:dyDescent="0.3">
      <c r="A845" s="1">
        <v>5561</v>
      </c>
      <c r="B845" s="2">
        <v>39365</v>
      </c>
      <c r="C845" s="3">
        <f>DATE(2012,12,31)-231</f>
        <v>41043</v>
      </c>
      <c r="D845" s="1" t="s">
        <v>17</v>
      </c>
      <c r="E845" s="2">
        <v>32</v>
      </c>
      <c r="F845" s="2">
        <v>931.08</v>
      </c>
      <c r="G845" s="2">
        <v>0.1</v>
      </c>
      <c r="H845" s="2">
        <v>0.5</v>
      </c>
      <c r="I845" s="4">
        <v>269.60000000000002</v>
      </c>
      <c r="J845" s="5">
        <v>29.89</v>
      </c>
      <c r="K845" s="5">
        <v>1.99</v>
      </c>
      <c r="L845" s="1" t="s">
        <v>9</v>
      </c>
      <c r="M845" s="1" t="s">
        <v>38</v>
      </c>
      <c r="N845" s="1" t="s">
        <v>13</v>
      </c>
      <c r="O845" s="1" t="s">
        <v>11</v>
      </c>
      <c r="P845" s="1" t="s">
        <v>20</v>
      </c>
      <c r="Q845" s="6">
        <f>C845+3</f>
        <v>41046</v>
      </c>
    </row>
    <row r="846" spans="1:17" ht="15.75" x14ac:dyDescent="0.3">
      <c r="A846" s="1">
        <v>5568</v>
      </c>
      <c r="B846" s="2">
        <v>39430</v>
      </c>
      <c r="C846" s="3">
        <f>DATE(2012,12,31)-1297</f>
        <v>39977</v>
      </c>
      <c r="D846" s="1" t="s">
        <v>16</v>
      </c>
      <c r="E846" s="2">
        <v>29</v>
      </c>
      <c r="F846" s="2">
        <v>877.97</v>
      </c>
      <c r="G846" s="2">
        <v>0.03</v>
      </c>
      <c r="H846" s="2">
        <v>0.79</v>
      </c>
      <c r="I846" s="4">
        <v>-144.19999999999999</v>
      </c>
      <c r="J846" s="5">
        <v>30.98</v>
      </c>
      <c r="K846" s="5">
        <v>6.5</v>
      </c>
      <c r="L846" s="1" t="s">
        <v>5</v>
      </c>
      <c r="M846" s="1" t="s">
        <v>38</v>
      </c>
      <c r="N846" s="1" t="s">
        <v>2</v>
      </c>
      <c r="O846" s="1" t="s">
        <v>11</v>
      </c>
      <c r="P846" s="1" t="s">
        <v>7</v>
      </c>
      <c r="Q846" s="6">
        <f>C846+4</f>
        <v>39981</v>
      </c>
    </row>
    <row r="847" spans="1:17" ht="15.75" x14ac:dyDescent="0.3">
      <c r="A847" s="1">
        <v>5580</v>
      </c>
      <c r="B847" s="2">
        <v>39555</v>
      </c>
      <c r="C847" s="3">
        <f>DATE(2012,12,31)-118</f>
        <v>41156</v>
      </c>
      <c r="D847" s="1" t="s">
        <v>16</v>
      </c>
      <c r="E847" s="2">
        <v>38</v>
      </c>
      <c r="F847" s="2">
        <v>1112.54</v>
      </c>
      <c r="G847" s="2">
        <v>0.01</v>
      </c>
      <c r="H847" s="2">
        <v>0.38</v>
      </c>
      <c r="I847" s="4">
        <v>352.96</v>
      </c>
      <c r="J847" s="5">
        <v>27.18</v>
      </c>
      <c r="K847" s="5">
        <v>8.23</v>
      </c>
      <c r="L847" s="1" t="s">
        <v>5</v>
      </c>
      <c r="M847" s="1" t="s">
        <v>38</v>
      </c>
      <c r="N847" s="1" t="s">
        <v>2</v>
      </c>
      <c r="O847" s="1" t="s">
        <v>6</v>
      </c>
      <c r="P847" s="1" t="s">
        <v>7</v>
      </c>
      <c r="Q847" s="6">
        <f>C847+5</f>
        <v>41161</v>
      </c>
    </row>
    <row r="848" spans="1:17" ht="15.75" x14ac:dyDescent="0.3">
      <c r="A848" s="1">
        <v>5609</v>
      </c>
      <c r="B848" s="2">
        <v>39749</v>
      </c>
      <c r="C848" s="3">
        <f>DATE(2012,12,31)-918</f>
        <v>40356</v>
      </c>
      <c r="D848" s="1" t="s">
        <v>17</v>
      </c>
      <c r="E848" s="2">
        <v>14</v>
      </c>
      <c r="F848" s="2">
        <v>125.31</v>
      </c>
      <c r="G848" s="2">
        <v>0</v>
      </c>
      <c r="H848" s="2">
        <v>0.41</v>
      </c>
      <c r="I848" s="4">
        <v>26.24</v>
      </c>
      <c r="J848" s="5">
        <v>7.96</v>
      </c>
      <c r="K848" s="5">
        <v>4.95</v>
      </c>
      <c r="L848" s="1" t="s">
        <v>5</v>
      </c>
      <c r="M848" s="1" t="s">
        <v>38</v>
      </c>
      <c r="N848" s="1" t="s">
        <v>21</v>
      </c>
      <c r="O848" s="1" t="s">
        <v>3</v>
      </c>
      <c r="P848" s="1" t="s">
        <v>7</v>
      </c>
      <c r="Q848" s="6">
        <f>C848+2</f>
        <v>40358</v>
      </c>
    </row>
    <row r="849" spans="1:17" ht="15.75" x14ac:dyDescent="0.3">
      <c r="A849" s="1">
        <v>5610</v>
      </c>
      <c r="B849" s="2">
        <v>39749</v>
      </c>
      <c r="C849" s="3">
        <f>DATE(2012,12,31)-918</f>
        <v>40356</v>
      </c>
      <c r="D849" s="1" t="s">
        <v>17</v>
      </c>
      <c r="E849" s="2">
        <v>45</v>
      </c>
      <c r="F849" s="2">
        <v>11277.05</v>
      </c>
      <c r="G849" s="2">
        <v>0.01</v>
      </c>
      <c r="H849" s="2">
        <v>0.57999999999999996</v>
      </c>
      <c r="I849" s="4">
        <v>3497.45</v>
      </c>
      <c r="J849" s="5">
        <v>264.98</v>
      </c>
      <c r="K849" s="5">
        <v>17.86</v>
      </c>
      <c r="L849" s="1" t="s">
        <v>1</v>
      </c>
      <c r="M849" s="1" t="s">
        <v>38</v>
      </c>
      <c r="N849" s="1" t="s">
        <v>21</v>
      </c>
      <c r="O849" s="1" t="s">
        <v>11</v>
      </c>
      <c r="P849" s="1" t="s">
        <v>4</v>
      </c>
      <c r="Q849" s="6">
        <f>C849+2</f>
        <v>40358</v>
      </c>
    </row>
    <row r="850" spans="1:17" ht="15.75" x14ac:dyDescent="0.3">
      <c r="A850" s="1">
        <v>5611</v>
      </c>
      <c r="B850" s="2">
        <v>39749</v>
      </c>
      <c r="C850" s="3">
        <f>DATE(2012,12,31)-918</f>
        <v>40356</v>
      </c>
      <c r="D850" s="1" t="s">
        <v>17</v>
      </c>
      <c r="E850" s="2">
        <v>43</v>
      </c>
      <c r="F850" s="2">
        <v>110.64</v>
      </c>
      <c r="G850" s="2">
        <v>0.06</v>
      </c>
      <c r="H850" s="2">
        <v>0.57999999999999996</v>
      </c>
      <c r="I850" s="4">
        <v>-62.6</v>
      </c>
      <c r="J850" s="5">
        <v>2.6</v>
      </c>
      <c r="K850" s="5">
        <v>2.4</v>
      </c>
      <c r="L850" s="1" t="s">
        <v>5</v>
      </c>
      <c r="M850" s="1" t="s">
        <v>38</v>
      </c>
      <c r="N850" s="1" t="s">
        <v>21</v>
      </c>
      <c r="O850" s="1" t="s">
        <v>6</v>
      </c>
      <c r="P850" s="1" t="s">
        <v>14</v>
      </c>
      <c r="Q850" s="6">
        <f>C850+2</f>
        <v>40358</v>
      </c>
    </row>
    <row r="851" spans="1:17" ht="15.75" x14ac:dyDescent="0.3">
      <c r="A851" s="1">
        <v>5622</v>
      </c>
      <c r="B851" s="2">
        <v>39815</v>
      </c>
      <c r="C851" s="3">
        <f>DATE(2012,12,31)-1362</f>
        <v>39912</v>
      </c>
      <c r="D851" s="1" t="s">
        <v>16</v>
      </c>
      <c r="E851" s="2">
        <v>43</v>
      </c>
      <c r="F851" s="2">
        <v>4075.3760000000002</v>
      </c>
      <c r="G851" s="2">
        <v>0.05</v>
      </c>
      <c r="H851" s="2">
        <v>0.57999999999999996</v>
      </c>
      <c r="I851" s="4">
        <v>841.72500000000002</v>
      </c>
      <c r="J851" s="5">
        <v>115.99</v>
      </c>
      <c r="K851" s="5">
        <v>8.99</v>
      </c>
      <c r="L851" s="1" t="s">
        <v>5</v>
      </c>
      <c r="M851" s="1" t="s">
        <v>38</v>
      </c>
      <c r="N851" s="1" t="s">
        <v>21</v>
      </c>
      <c r="O851" s="1" t="s">
        <v>11</v>
      </c>
      <c r="P851" s="1" t="s">
        <v>7</v>
      </c>
      <c r="Q851" s="6">
        <f>C851+4</f>
        <v>39916</v>
      </c>
    </row>
    <row r="852" spans="1:17" ht="15.75" x14ac:dyDescent="0.3">
      <c r="A852" s="1">
        <v>5651</v>
      </c>
      <c r="B852" s="2">
        <v>40001</v>
      </c>
      <c r="C852" s="3">
        <f>DATE(2012,12,31)-676</f>
        <v>40598</v>
      </c>
      <c r="D852" s="1" t="s">
        <v>12</v>
      </c>
      <c r="E852" s="2">
        <v>46</v>
      </c>
      <c r="F852" s="2">
        <v>1736.53</v>
      </c>
      <c r="G852" s="2">
        <v>0.1</v>
      </c>
      <c r="H852" s="2">
        <v>0.56000000000000005</v>
      </c>
      <c r="I852" s="4">
        <v>457.03</v>
      </c>
      <c r="J852" s="5">
        <v>39.479999999999997</v>
      </c>
      <c r="K852" s="5">
        <v>3.99</v>
      </c>
      <c r="L852" s="1" t="s">
        <v>5</v>
      </c>
      <c r="M852" s="1" t="s">
        <v>38</v>
      </c>
      <c r="N852" s="1" t="s">
        <v>15</v>
      </c>
      <c r="O852" s="1" t="s">
        <v>6</v>
      </c>
      <c r="P852" s="1" t="s">
        <v>7</v>
      </c>
      <c r="Q852" s="6">
        <f>C852+2</f>
        <v>40600</v>
      </c>
    </row>
    <row r="853" spans="1:17" ht="15.75" x14ac:dyDescent="0.3">
      <c r="A853" s="1">
        <v>5708</v>
      </c>
      <c r="B853" s="2">
        <v>40386</v>
      </c>
      <c r="C853" s="3">
        <f>DATE(2012,12,31)-682</f>
        <v>40592</v>
      </c>
      <c r="D853" s="1" t="s">
        <v>17</v>
      </c>
      <c r="E853" s="2">
        <v>28</v>
      </c>
      <c r="F853" s="2">
        <v>2905.3</v>
      </c>
      <c r="G853" s="2">
        <v>0</v>
      </c>
      <c r="H853" s="2">
        <v>0.36</v>
      </c>
      <c r="I853" s="4">
        <v>1704</v>
      </c>
      <c r="J853" s="5">
        <v>98.31</v>
      </c>
      <c r="K853" s="5">
        <v>0.49</v>
      </c>
      <c r="L853" s="1" t="s">
        <v>9</v>
      </c>
      <c r="M853" s="1" t="s">
        <v>38</v>
      </c>
      <c r="N853" s="1" t="s">
        <v>13</v>
      </c>
      <c r="O853" s="1" t="s">
        <v>6</v>
      </c>
      <c r="P853" s="1" t="s">
        <v>7</v>
      </c>
      <c r="Q853" s="6">
        <f>C853+2</f>
        <v>40594</v>
      </c>
    </row>
    <row r="854" spans="1:17" ht="15.75" x14ac:dyDescent="0.3">
      <c r="A854" s="1">
        <v>5729</v>
      </c>
      <c r="B854" s="2">
        <v>40647</v>
      </c>
      <c r="C854" s="3">
        <f>DATE(2012,12,31)-1232</f>
        <v>40042</v>
      </c>
      <c r="D854" s="1" t="s">
        <v>17</v>
      </c>
      <c r="E854" s="2">
        <v>47</v>
      </c>
      <c r="F854" s="2">
        <v>1982.16</v>
      </c>
      <c r="G854" s="2">
        <v>0.03</v>
      </c>
      <c r="H854" s="2">
        <v>0.36</v>
      </c>
      <c r="I854" s="4">
        <v>267.10000000000002</v>
      </c>
      <c r="J854" s="5">
        <v>40.99</v>
      </c>
      <c r="K854" s="5">
        <v>19.989999999999998</v>
      </c>
      <c r="L854" s="1" t="s">
        <v>5</v>
      </c>
      <c r="M854" s="1" t="s">
        <v>38</v>
      </c>
      <c r="N854" s="1" t="s">
        <v>2</v>
      </c>
      <c r="O854" s="1" t="s">
        <v>6</v>
      </c>
      <c r="P854" s="1" t="s">
        <v>7</v>
      </c>
      <c r="Q854" s="6">
        <f>C854+1</f>
        <v>40043</v>
      </c>
    </row>
    <row r="855" spans="1:17" ht="15.75" x14ac:dyDescent="0.3">
      <c r="A855" s="1">
        <v>5796</v>
      </c>
      <c r="B855" s="2">
        <v>41120</v>
      </c>
      <c r="C855" s="3">
        <f>DATE(2012,12,31)-177</f>
        <v>41097</v>
      </c>
      <c r="D855" s="1" t="s">
        <v>16</v>
      </c>
      <c r="E855" s="2">
        <v>35</v>
      </c>
      <c r="F855" s="2">
        <v>870.75</v>
      </c>
      <c r="G855" s="2">
        <v>0.09</v>
      </c>
      <c r="H855" s="2"/>
      <c r="I855" s="4">
        <v>100.5</v>
      </c>
      <c r="J855" s="5">
        <v>26.64</v>
      </c>
      <c r="K855" s="5">
        <v>5.3</v>
      </c>
      <c r="L855" s="1" t="s">
        <v>5</v>
      </c>
      <c r="M855" s="1" t="s">
        <v>38</v>
      </c>
      <c r="N855" s="1" t="s">
        <v>21</v>
      </c>
      <c r="O855" s="1" t="s">
        <v>3</v>
      </c>
      <c r="P855" s="1" t="s">
        <v>18</v>
      </c>
      <c r="Q855" s="6">
        <f>C855+2</f>
        <v>41099</v>
      </c>
    </row>
    <row r="856" spans="1:17" ht="15.75" x14ac:dyDescent="0.3">
      <c r="A856" s="1">
        <v>5797</v>
      </c>
      <c r="B856" s="2">
        <v>41120</v>
      </c>
      <c r="C856" s="3">
        <f>DATE(2012,12,31)-177</f>
        <v>41097</v>
      </c>
      <c r="D856" s="1" t="s">
        <v>16</v>
      </c>
      <c r="E856" s="2">
        <v>13</v>
      </c>
      <c r="F856" s="2">
        <v>43.37</v>
      </c>
      <c r="G856" s="2">
        <v>0.02</v>
      </c>
      <c r="H856" s="2">
        <v>0.48</v>
      </c>
      <c r="I856" s="4">
        <v>9.5299999999999994</v>
      </c>
      <c r="J856" s="5">
        <v>3.08</v>
      </c>
      <c r="K856" s="5">
        <v>0.99</v>
      </c>
      <c r="L856" s="1" t="s">
        <v>5</v>
      </c>
      <c r="M856" s="1" t="s">
        <v>38</v>
      </c>
      <c r="N856" s="1" t="s">
        <v>21</v>
      </c>
      <c r="O856" s="1" t="s">
        <v>3</v>
      </c>
      <c r="P856" s="1" t="s">
        <v>18</v>
      </c>
      <c r="Q856" s="6">
        <f>C856+2</f>
        <v>41099</v>
      </c>
    </row>
    <row r="857" spans="1:17" ht="15.75" x14ac:dyDescent="0.3">
      <c r="A857" s="1">
        <v>5798</v>
      </c>
      <c r="B857" s="2">
        <v>41122</v>
      </c>
      <c r="C857" s="3">
        <f>DATE(2012,12,31)-1044</f>
        <v>40230</v>
      </c>
      <c r="D857" s="1" t="s">
        <v>8</v>
      </c>
      <c r="E857" s="2">
        <v>29</v>
      </c>
      <c r="F857" s="2">
        <v>61.22</v>
      </c>
      <c r="G857" s="2">
        <v>0.06</v>
      </c>
      <c r="H857" s="2">
        <v>0.53</v>
      </c>
      <c r="I857" s="4">
        <v>-76.88</v>
      </c>
      <c r="J857" s="5">
        <v>1.74</v>
      </c>
      <c r="K857" s="5">
        <v>4.08</v>
      </c>
      <c r="L857" s="1" t="s">
        <v>9</v>
      </c>
      <c r="M857" s="1" t="s">
        <v>38</v>
      </c>
      <c r="N857" s="1" t="s">
        <v>15</v>
      </c>
      <c r="O857" s="1" t="s">
        <v>3</v>
      </c>
      <c r="P857" s="1" t="s">
        <v>20</v>
      </c>
      <c r="Q857" s="6">
        <f>C857+2</f>
        <v>40232</v>
      </c>
    </row>
    <row r="858" spans="1:17" ht="15.75" x14ac:dyDescent="0.3">
      <c r="A858" s="1">
        <v>5809</v>
      </c>
      <c r="B858" s="2">
        <v>41187</v>
      </c>
      <c r="C858" s="3">
        <f>DATE(2012,12,31)-823</f>
        <v>40451</v>
      </c>
      <c r="D858" s="1" t="s">
        <v>16</v>
      </c>
      <c r="E858" s="2">
        <v>9</v>
      </c>
      <c r="F858" s="2">
        <v>52.93</v>
      </c>
      <c r="G858" s="2">
        <v>0</v>
      </c>
      <c r="H858" s="2">
        <v>0.6</v>
      </c>
      <c r="I858" s="4">
        <v>5.34</v>
      </c>
      <c r="J858" s="5">
        <v>5.58</v>
      </c>
      <c r="K858" s="5">
        <v>0.7</v>
      </c>
      <c r="L858" s="1" t="s">
        <v>5</v>
      </c>
      <c r="M858" s="1" t="s">
        <v>38</v>
      </c>
      <c r="N858" s="1" t="s">
        <v>13</v>
      </c>
      <c r="O858" s="1" t="s">
        <v>6</v>
      </c>
      <c r="P858" s="1" t="s">
        <v>14</v>
      </c>
      <c r="Q858" s="6">
        <f>C858+0</f>
        <v>40451</v>
      </c>
    </row>
    <row r="859" spans="1:17" ht="15.75" x14ac:dyDescent="0.3">
      <c r="A859" s="1">
        <v>5810</v>
      </c>
      <c r="B859" s="2">
        <v>41187</v>
      </c>
      <c r="C859" s="3">
        <f>DATE(2012,12,31)-823</f>
        <v>40451</v>
      </c>
      <c r="D859" s="1" t="s">
        <v>16</v>
      </c>
      <c r="E859" s="2">
        <v>25</v>
      </c>
      <c r="F859" s="2">
        <v>145.13</v>
      </c>
      <c r="G859" s="2">
        <v>0.03</v>
      </c>
      <c r="H859" s="2">
        <v>0.36</v>
      </c>
      <c r="I859" s="4">
        <v>-42.45</v>
      </c>
      <c r="J859" s="5">
        <v>5.78</v>
      </c>
      <c r="K859" s="5">
        <v>4.96</v>
      </c>
      <c r="L859" s="1" t="s">
        <v>5</v>
      </c>
      <c r="M859" s="1" t="s">
        <v>38</v>
      </c>
      <c r="N859" s="1" t="s">
        <v>13</v>
      </c>
      <c r="O859" s="1" t="s">
        <v>6</v>
      </c>
      <c r="P859" s="1" t="s">
        <v>7</v>
      </c>
      <c r="Q859" s="6">
        <f>C859+4</f>
        <v>40455</v>
      </c>
    </row>
    <row r="860" spans="1:17" ht="15.75" x14ac:dyDescent="0.3">
      <c r="A860" s="1">
        <v>5815</v>
      </c>
      <c r="B860" s="2">
        <v>41221</v>
      </c>
      <c r="C860" s="3">
        <f>DATE(2012,12,31)-1206</f>
        <v>40068</v>
      </c>
      <c r="D860" s="1" t="s">
        <v>0</v>
      </c>
      <c r="E860" s="2">
        <v>4</v>
      </c>
      <c r="F860" s="2">
        <v>345.57</v>
      </c>
      <c r="G860" s="2">
        <v>0.06</v>
      </c>
      <c r="H860" s="2">
        <v>0.81</v>
      </c>
      <c r="I860" s="4">
        <v>-218.77</v>
      </c>
      <c r="J860" s="5">
        <v>80.98</v>
      </c>
      <c r="K860" s="5">
        <v>35</v>
      </c>
      <c r="L860" s="1" t="s">
        <v>5</v>
      </c>
      <c r="M860" s="1" t="s">
        <v>38</v>
      </c>
      <c r="N860" s="1" t="s">
        <v>15</v>
      </c>
      <c r="O860" s="1" t="s">
        <v>6</v>
      </c>
      <c r="P860" s="1" t="s">
        <v>10</v>
      </c>
      <c r="Q860" s="6">
        <f>C860+1</f>
        <v>40069</v>
      </c>
    </row>
    <row r="861" spans="1:17" ht="15.75" x14ac:dyDescent="0.3">
      <c r="A861" s="1">
        <v>5819</v>
      </c>
      <c r="B861" s="2">
        <v>41282</v>
      </c>
      <c r="C861" s="3">
        <f>DATE(2012,12,31)-1276</f>
        <v>39998</v>
      </c>
      <c r="D861" s="1" t="s">
        <v>12</v>
      </c>
      <c r="E861" s="2">
        <v>39</v>
      </c>
      <c r="F861" s="2">
        <v>916.05</v>
      </c>
      <c r="G861" s="2">
        <v>0.08</v>
      </c>
      <c r="H861" s="2">
        <v>0.39</v>
      </c>
      <c r="I861" s="4">
        <v>-21.896000000000001</v>
      </c>
      <c r="J861" s="5">
        <v>24.92</v>
      </c>
      <c r="K861" s="5">
        <v>12.98</v>
      </c>
      <c r="L861" s="1" t="s">
        <v>5</v>
      </c>
      <c r="M861" s="1" t="s">
        <v>38</v>
      </c>
      <c r="N861" s="1" t="s">
        <v>21</v>
      </c>
      <c r="O861" s="1" t="s">
        <v>6</v>
      </c>
      <c r="P861" s="1" t="s">
        <v>7</v>
      </c>
      <c r="Q861" s="6">
        <f>C861+2</f>
        <v>40000</v>
      </c>
    </row>
    <row r="862" spans="1:17" ht="15.75" x14ac:dyDescent="0.3">
      <c r="A862" s="1">
        <v>5821</v>
      </c>
      <c r="B862" s="2">
        <v>41312</v>
      </c>
      <c r="C862" s="3">
        <f>DATE(2012,12,31)-335</f>
        <v>40939</v>
      </c>
      <c r="D862" s="1" t="s">
        <v>8</v>
      </c>
      <c r="E862" s="2">
        <v>21</v>
      </c>
      <c r="F862" s="2">
        <v>787.63</v>
      </c>
      <c r="G862" s="2">
        <v>0.05</v>
      </c>
      <c r="H862" s="2">
        <v>0.54</v>
      </c>
      <c r="I862" s="4">
        <v>140.22</v>
      </c>
      <c r="J862" s="5">
        <v>39.479999999999997</v>
      </c>
      <c r="K862" s="5">
        <v>1.99</v>
      </c>
      <c r="L862" s="1" t="s">
        <v>5</v>
      </c>
      <c r="M862" s="1" t="s">
        <v>38</v>
      </c>
      <c r="N862" s="1" t="s">
        <v>21</v>
      </c>
      <c r="O862" s="1" t="s">
        <v>11</v>
      </c>
      <c r="P862" s="1" t="s">
        <v>20</v>
      </c>
      <c r="Q862" s="6">
        <f>C862+1</f>
        <v>40940</v>
      </c>
    </row>
    <row r="863" spans="1:17" ht="15.75" x14ac:dyDescent="0.3">
      <c r="A863" s="1">
        <v>5824</v>
      </c>
      <c r="B863" s="2">
        <v>41318</v>
      </c>
      <c r="C863" s="3">
        <f>DATE(2012,12,31)-449</f>
        <v>40825</v>
      </c>
      <c r="D863" s="1" t="s">
        <v>16</v>
      </c>
      <c r="E863" s="2">
        <v>21</v>
      </c>
      <c r="F863" s="2">
        <v>1223.1099999999999</v>
      </c>
      <c r="G863" s="2">
        <v>0</v>
      </c>
      <c r="H863" s="2">
        <v>0.56000000000000005</v>
      </c>
      <c r="I863" s="4">
        <v>161.72</v>
      </c>
      <c r="J863" s="5">
        <v>56.96</v>
      </c>
      <c r="K863" s="5">
        <v>13.22</v>
      </c>
      <c r="L863" s="1" t="s">
        <v>9</v>
      </c>
      <c r="M863" s="1" t="s">
        <v>38</v>
      </c>
      <c r="N863" s="1" t="s">
        <v>21</v>
      </c>
      <c r="O863" s="1" t="s">
        <v>6</v>
      </c>
      <c r="P863" s="1" t="s">
        <v>7</v>
      </c>
      <c r="Q863" s="6">
        <f>C863+9</f>
        <v>40834</v>
      </c>
    </row>
    <row r="864" spans="1:17" ht="15.75" x14ac:dyDescent="0.3">
      <c r="A864" s="1">
        <v>5825</v>
      </c>
      <c r="B864" s="2">
        <v>41345</v>
      </c>
      <c r="C864" s="3">
        <f>DATE(2012,12,31)-333</f>
        <v>40941</v>
      </c>
      <c r="D864" s="1" t="s">
        <v>12</v>
      </c>
      <c r="E864" s="2">
        <v>36</v>
      </c>
      <c r="F864" s="2">
        <v>66.41</v>
      </c>
      <c r="G864" s="2">
        <v>0.04</v>
      </c>
      <c r="H864" s="2">
        <v>0.5</v>
      </c>
      <c r="I864" s="4">
        <v>0.37</v>
      </c>
      <c r="J864" s="5">
        <v>1.88</v>
      </c>
      <c r="K864" s="5">
        <v>0.79</v>
      </c>
      <c r="L864" s="1" t="s">
        <v>5</v>
      </c>
      <c r="M864" s="1" t="s">
        <v>38</v>
      </c>
      <c r="N864" s="1" t="s">
        <v>15</v>
      </c>
      <c r="O864" s="1" t="s">
        <v>6</v>
      </c>
      <c r="P864" s="1" t="s">
        <v>14</v>
      </c>
      <c r="Q864" s="6">
        <f>C864+0</f>
        <v>40941</v>
      </c>
    </row>
    <row r="865" spans="1:17" ht="15.75" x14ac:dyDescent="0.3">
      <c r="A865" s="1">
        <v>5860</v>
      </c>
      <c r="B865" s="2">
        <v>41604</v>
      </c>
      <c r="C865" s="3">
        <f>DATE(2012,12,31)-1420</f>
        <v>39854</v>
      </c>
      <c r="D865" s="1" t="s">
        <v>12</v>
      </c>
      <c r="E865" s="2">
        <v>22</v>
      </c>
      <c r="F865" s="2">
        <v>138.24</v>
      </c>
      <c r="G865" s="2">
        <v>0.06</v>
      </c>
      <c r="H865" s="2">
        <v>0.38</v>
      </c>
      <c r="I865" s="4">
        <v>-48.219499999999996</v>
      </c>
      <c r="J865" s="5">
        <v>6.37</v>
      </c>
      <c r="K865" s="5">
        <v>5.19</v>
      </c>
      <c r="L865" s="1" t="s">
        <v>5</v>
      </c>
      <c r="M865" s="1" t="s">
        <v>38</v>
      </c>
      <c r="N865" s="1" t="s">
        <v>2</v>
      </c>
      <c r="O865" s="1" t="s">
        <v>6</v>
      </c>
      <c r="P865" s="1" t="s">
        <v>7</v>
      </c>
      <c r="Q865" s="6">
        <f>C865+1</f>
        <v>39855</v>
      </c>
    </row>
    <row r="866" spans="1:17" ht="15.75" x14ac:dyDescent="0.3">
      <c r="A866" s="1">
        <v>5909</v>
      </c>
      <c r="B866" s="2">
        <v>41891</v>
      </c>
      <c r="C866" s="3">
        <f>DATE(2012,12,31)-589</f>
        <v>40685</v>
      </c>
      <c r="D866" s="1" t="s">
        <v>17</v>
      </c>
      <c r="E866" s="2">
        <v>22</v>
      </c>
      <c r="F866" s="2">
        <v>846.59</v>
      </c>
      <c r="G866" s="2">
        <v>0.08</v>
      </c>
      <c r="H866" s="2">
        <v>0.56999999999999995</v>
      </c>
      <c r="I866" s="4">
        <v>-1.9499999999999886</v>
      </c>
      <c r="J866" s="5">
        <v>40.89</v>
      </c>
      <c r="K866" s="5">
        <v>18.98</v>
      </c>
      <c r="L866" s="1" t="s">
        <v>5</v>
      </c>
      <c r="M866" s="1" t="s">
        <v>38</v>
      </c>
      <c r="N866" s="1" t="s">
        <v>2</v>
      </c>
      <c r="O866" s="1" t="s">
        <v>3</v>
      </c>
      <c r="P866" s="1" t="s">
        <v>7</v>
      </c>
      <c r="Q866" s="6">
        <f>C866+1</f>
        <v>40686</v>
      </c>
    </row>
    <row r="867" spans="1:17" ht="15.75" x14ac:dyDescent="0.3">
      <c r="A867" s="1">
        <v>5925</v>
      </c>
      <c r="B867" s="2">
        <v>42022</v>
      </c>
      <c r="C867" s="3">
        <f>DATE(2012,12,31)-1194</f>
        <v>40080</v>
      </c>
      <c r="D867" s="1" t="s">
        <v>12</v>
      </c>
      <c r="E867" s="2">
        <v>45</v>
      </c>
      <c r="F867" s="2">
        <v>338.85</v>
      </c>
      <c r="G867" s="2">
        <v>0.04</v>
      </c>
      <c r="H867" s="2">
        <v>0.38</v>
      </c>
      <c r="I867" s="4">
        <v>-170.17699999999999</v>
      </c>
      <c r="J867" s="5">
        <v>7.3</v>
      </c>
      <c r="K867" s="5">
        <v>7.72</v>
      </c>
      <c r="L867" s="1" t="s">
        <v>5</v>
      </c>
      <c r="M867" s="1" t="s">
        <v>38</v>
      </c>
      <c r="N867" s="1" t="s">
        <v>15</v>
      </c>
      <c r="O867" s="1" t="s">
        <v>6</v>
      </c>
      <c r="P867" s="1" t="s">
        <v>7</v>
      </c>
      <c r="Q867" s="6">
        <f>C867+1</f>
        <v>40081</v>
      </c>
    </row>
    <row r="868" spans="1:17" ht="15.75" x14ac:dyDescent="0.3">
      <c r="A868" s="1">
        <v>5926</v>
      </c>
      <c r="B868" s="2">
        <v>42022</v>
      </c>
      <c r="C868" s="3">
        <f>DATE(2012,12,31)-1194</f>
        <v>40080</v>
      </c>
      <c r="D868" s="1" t="s">
        <v>12</v>
      </c>
      <c r="E868" s="2">
        <v>11</v>
      </c>
      <c r="F868" s="2">
        <v>43.25</v>
      </c>
      <c r="G868" s="2">
        <v>0.06</v>
      </c>
      <c r="H868" s="2">
        <v>0.53</v>
      </c>
      <c r="I868" s="4">
        <v>-9.68</v>
      </c>
      <c r="J868" s="5">
        <v>3.95</v>
      </c>
      <c r="K868" s="5">
        <v>2</v>
      </c>
      <c r="L868" s="1" t="s">
        <v>5</v>
      </c>
      <c r="M868" s="1" t="s">
        <v>38</v>
      </c>
      <c r="N868" s="1" t="s">
        <v>15</v>
      </c>
      <c r="O868" s="1" t="s">
        <v>6</v>
      </c>
      <c r="P868" s="1" t="s">
        <v>14</v>
      </c>
      <c r="Q868" s="6">
        <f>C868+1</f>
        <v>40081</v>
      </c>
    </row>
    <row r="869" spans="1:17" ht="15.75" x14ac:dyDescent="0.3">
      <c r="A869" s="1">
        <v>5928</v>
      </c>
      <c r="B869" s="2">
        <v>42081</v>
      </c>
      <c r="C869" s="3">
        <f>DATE(2012,12,31)-721</f>
        <v>40553</v>
      </c>
      <c r="D869" s="1" t="s">
        <v>16</v>
      </c>
      <c r="E869" s="2">
        <v>36</v>
      </c>
      <c r="F869" s="2">
        <v>188.34</v>
      </c>
      <c r="G869" s="2">
        <v>0.04</v>
      </c>
      <c r="H869" s="2">
        <v>0.36</v>
      </c>
      <c r="I869" s="4">
        <v>-110.1585</v>
      </c>
      <c r="J869" s="5">
        <v>5.18</v>
      </c>
      <c r="K869" s="5">
        <v>5.74</v>
      </c>
      <c r="L869" s="1" t="s">
        <v>5</v>
      </c>
      <c r="M869" s="1" t="s">
        <v>38</v>
      </c>
      <c r="N869" s="1" t="s">
        <v>13</v>
      </c>
      <c r="O869" s="1" t="s">
        <v>6</v>
      </c>
      <c r="P869" s="1" t="s">
        <v>7</v>
      </c>
      <c r="Q869" s="6">
        <f>C869+5</f>
        <v>40558</v>
      </c>
    </row>
    <row r="870" spans="1:17" ht="15.75" x14ac:dyDescent="0.3">
      <c r="A870" s="1">
        <v>5929</v>
      </c>
      <c r="B870" s="2">
        <v>42081</v>
      </c>
      <c r="C870" s="3">
        <f>DATE(2012,12,31)-721</f>
        <v>40553</v>
      </c>
      <c r="D870" s="1" t="s">
        <v>16</v>
      </c>
      <c r="E870" s="2">
        <v>3</v>
      </c>
      <c r="F870" s="2">
        <v>32.49</v>
      </c>
      <c r="G870" s="2">
        <v>0.08</v>
      </c>
      <c r="H870" s="2">
        <v>0.35</v>
      </c>
      <c r="I870" s="4">
        <v>-5.05</v>
      </c>
      <c r="J870" s="5">
        <v>10.94</v>
      </c>
      <c r="K870" s="5">
        <v>1.39</v>
      </c>
      <c r="L870" s="1" t="s">
        <v>5</v>
      </c>
      <c r="M870" s="1" t="s">
        <v>38</v>
      </c>
      <c r="N870" s="1" t="s">
        <v>13</v>
      </c>
      <c r="O870" s="1" t="s">
        <v>6</v>
      </c>
      <c r="P870" s="1" t="s">
        <v>7</v>
      </c>
      <c r="Q870" s="6">
        <f>C870+2</f>
        <v>40555</v>
      </c>
    </row>
    <row r="871" spans="1:17" ht="15.75" x14ac:dyDescent="0.3">
      <c r="A871" s="1">
        <v>5930</v>
      </c>
      <c r="B871" s="2">
        <v>42081</v>
      </c>
      <c r="C871" s="3">
        <f>DATE(2012,12,31)-721</f>
        <v>40553</v>
      </c>
      <c r="D871" s="1" t="s">
        <v>16</v>
      </c>
      <c r="E871" s="2">
        <v>26</v>
      </c>
      <c r="F871" s="2">
        <v>1493.8579999999999</v>
      </c>
      <c r="G871" s="2">
        <v>0.02</v>
      </c>
      <c r="H871" s="2">
        <v>0.57999999999999996</v>
      </c>
      <c r="I871" s="4">
        <v>183.24</v>
      </c>
      <c r="J871" s="5">
        <v>65.989999999999995</v>
      </c>
      <c r="K871" s="5">
        <v>8.8000000000000007</v>
      </c>
      <c r="L871" s="1" t="s">
        <v>5</v>
      </c>
      <c r="M871" s="1" t="s">
        <v>38</v>
      </c>
      <c r="N871" s="1" t="s">
        <v>13</v>
      </c>
      <c r="O871" s="1" t="s">
        <v>11</v>
      </c>
      <c r="P871" s="1" t="s">
        <v>7</v>
      </c>
      <c r="Q871" s="6">
        <f>C871+5</f>
        <v>40558</v>
      </c>
    </row>
    <row r="872" spans="1:17" ht="15.75" x14ac:dyDescent="0.3">
      <c r="A872" s="1">
        <v>5935</v>
      </c>
      <c r="B872" s="2">
        <v>42086</v>
      </c>
      <c r="C872" s="3">
        <f>DATE(2012,12,31)-893</f>
        <v>40381</v>
      </c>
      <c r="D872" s="1" t="s">
        <v>17</v>
      </c>
      <c r="E872" s="2">
        <v>18</v>
      </c>
      <c r="F872" s="2">
        <v>50.15</v>
      </c>
      <c r="G872" s="2">
        <v>0.09</v>
      </c>
      <c r="H872" s="2">
        <v>0.59</v>
      </c>
      <c r="I872" s="4">
        <v>-2.39</v>
      </c>
      <c r="J872" s="5">
        <v>2.78</v>
      </c>
      <c r="K872" s="5">
        <v>0.97</v>
      </c>
      <c r="L872" s="1" t="s">
        <v>5</v>
      </c>
      <c r="M872" s="1" t="s">
        <v>38</v>
      </c>
      <c r="N872" s="1" t="s">
        <v>15</v>
      </c>
      <c r="O872" s="1" t="s">
        <v>6</v>
      </c>
      <c r="P872" s="1" t="s">
        <v>14</v>
      </c>
      <c r="Q872" s="6">
        <f>C872+1</f>
        <v>40382</v>
      </c>
    </row>
    <row r="873" spans="1:17" ht="15.75" x14ac:dyDescent="0.3">
      <c r="A873" s="1">
        <v>5954</v>
      </c>
      <c r="B873" s="2">
        <v>42246</v>
      </c>
      <c r="C873" s="3">
        <f>DATE(2012,12,31)-249</f>
        <v>41025</v>
      </c>
      <c r="D873" s="1" t="s">
        <v>8</v>
      </c>
      <c r="E873" s="2">
        <v>40</v>
      </c>
      <c r="F873" s="2">
        <v>3060.37</v>
      </c>
      <c r="G873" s="2">
        <v>7.0000000000000007E-2</v>
      </c>
      <c r="H873" s="2">
        <v>0.76</v>
      </c>
      <c r="I873" s="4">
        <v>234.03</v>
      </c>
      <c r="J873" s="5">
        <v>77.510000000000005</v>
      </c>
      <c r="K873" s="5">
        <v>4</v>
      </c>
      <c r="L873" s="1" t="s">
        <v>5</v>
      </c>
      <c r="M873" s="1" t="s">
        <v>38</v>
      </c>
      <c r="N873" s="1" t="s">
        <v>2</v>
      </c>
      <c r="O873" s="1" t="s">
        <v>11</v>
      </c>
      <c r="P873" s="1" t="s">
        <v>7</v>
      </c>
      <c r="Q873" s="6">
        <f>C873+1</f>
        <v>41026</v>
      </c>
    </row>
    <row r="874" spans="1:17" ht="15.75" x14ac:dyDescent="0.3">
      <c r="A874" s="1">
        <v>5955</v>
      </c>
      <c r="B874" s="2">
        <v>42246</v>
      </c>
      <c r="C874" s="3">
        <f>DATE(2012,12,31)-249</f>
        <v>41025</v>
      </c>
      <c r="D874" s="1" t="s">
        <v>8</v>
      </c>
      <c r="E874" s="2">
        <v>5</v>
      </c>
      <c r="F874" s="2">
        <v>25.31</v>
      </c>
      <c r="G874" s="2">
        <v>0.05</v>
      </c>
      <c r="H874" s="2">
        <v>0.52</v>
      </c>
      <c r="I874" s="4">
        <v>-0.5</v>
      </c>
      <c r="J874" s="5">
        <v>4.84</v>
      </c>
      <c r="K874" s="5">
        <v>0.71</v>
      </c>
      <c r="L874" s="1" t="s">
        <v>5</v>
      </c>
      <c r="M874" s="1" t="s">
        <v>38</v>
      </c>
      <c r="N874" s="1" t="s">
        <v>2</v>
      </c>
      <c r="O874" s="1" t="s">
        <v>6</v>
      </c>
      <c r="P874" s="1" t="s">
        <v>14</v>
      </c>
      <c r="Q874" s="6">
        <f>C874+2</f>
        <v>41027</v>
      </c>
    </row>
    <row r="875" spans="1:17" ht="15.75" x14ac:dyDescent="0.3">
      <c r="A875" s="1">
        <v>5990</v>
      </c>
      <c r="B875" s="2">
        <v>42465</v>
      </c>
      <c r="C875" s="3">
        <f>DATE(2012,12,31)-741</f>
        <v>40533</v>
      </c>
      <c r="D875" s="1" t="s">
        <v>12</v>
      </c>
      <c r="E875" s="2">
        <v>15</v>
      </c>
      <c r="F875" s="2">
        <v>102.32</v>
      </c>
      <c r="G875" s="2">
        <v>0.08</v>
      </c>
      <c r="H875" s="2">
        <v>0.37</v>
      </c>
      <c r="I875" s="4">
        <v>-32.700000000000003</v>
      </c>
      <c r="J875" s="5">
        <v>6.48</v>
      </c>
      <c r="K875" s="5">
        <v>5.74</v>
      </c>
      <c r="L875" s="1" t="s">
        <v>5</v>
      </c>
      <c r="M875" s="1" t="s">
        <v>38</v>
      </c>
      <c r="N875" s="1" t="s">
        <v>2</v>
      </c>
      <c r="O875" s="1" t="s">
        <v>6</v>
      </c>
      <c r="P875" s="1" t="s">
        <v>7</v>
      </c>
      <c r="Q875" s="6">
        <f>C875+1</f>
        <v>40534</v>
      </c>
    </row>
    <row r="876" spans="1:17" ht="15.75" x14ac:dyDescent="0.3">
      <c r="A876" s="1">
        <v>6020</v>
      </c>
      <c r="B876" s="2">
        <v>42657</v>
      </c>
      <c r="C876" s="3">
        <f>DATE(2012,12,31)-455</f>
        <v>40819</v>
      </c>
      <c r="D876" s="1" t="s">
        <v>16</v>
      </c>
      <c r="E876" s="2">
        <v>48</v>
      </c>
      <c r="F876" s="2">
        <v>945.54</v>
      </c>
      <c r="G876" s="2">
        <v>0.03</v>
      </c>
      <c r="H876" s="2">
        <v>0.38</v>
      </c>
      <c r="I876" s="4">
        <v>254.58</v>
      </c>
      <c r="J876" s="5">
        <v>19.98</v>
      </c>
      <c r="K876" s="5">
        <v>5.97</v>
      </c>
      <c r="L876" s="1" t="s">
        <v>5</v>
      </c>
      <c r="M876" s="1" t="s">
        <v>38</v>
      </c>
      <c r="N876" s="1" t="s">
        <v>21</v>
      </c>
      <c r="O876" s="1" t="s">
        <v>6</v>
      </c>
      <c r="P876" s="1" t="s">
        <v>7</v>
      </c>
      <c r="Q876" s="6">
        <f>C876+2</f>
        <v>40821</v>
      </c>
    </row>
    <row r="877" spans="1:17" ht="15.75" x14ac:dyDescent="0.3">
      <c r="A877" s="1">
        <v>6040</v>
      </c>
      <c r="B877" s="2">
        <v>42820</v>
      </c>
      <c r="C877" s="3">
        <f>DATE(2012,12,31)-1049</f>
        <v>40225</v>
      </c>
      <c r="D877" s="1" t="s">
        <v>16</v>
      </c>
      <c r="E877" s="2">
        <v>27</v>
      </c>
      <c r="F877" s="2">
        <v>141.56</v>
      </c>
      <c r="G877" s="2">
        <v>0.1</v>
      </c>
      <c r="H877" s="2">
        <v>0.37</v>
      </c>
      <c r="I877" s="4">
        <v>-2.8519999999999999</v>
      </c>
      <c r="J877" s="5">
        <v>5.28</v>
      </c>
      <c r="K877" s="5">
        <v>2.99</v>
      </c>
      <c r="L877" s="1" t="s">
        <v>5</v>
      </c>
      <c r="M877" s="1" t="s">
        <v>38</v>
      </c>
      <c r="N877" s="1" t="s">
        <v>2</v>
      </c>
      <c r="O877" s="1" t="s">
        <v>6</v>
      </c>
      <c r="P877" s="1" t="s">
        <v>7</v>
      </c>
      <c r="Q877" s="6">
        <f>C877+7</f>
        <v>40232</v>
      </c>
    </row>
    <row r="878" spans="1:17" ht="15.75" x14ac:dyDescent="0.3">
      <c r="A878" s="1">
        <v>6042</v>
      </c>
      <c r="B878" s="2">
        <v>42848</v>
      </c>
      <c r="C878" s="3">
        <f>DATE(2012,12,31)-86</f>
        <v>41188</v>
      </c>
      <c r="D878" s="1" t="s">
        <v>8</v>
      </c>
      <c r="E878" s="2">
        <v>50</v>
      </c>
      <c r="F878" s="2">
        <v>387.79</v>
      </c>
      <c r="G878" s="2">
        <v>0.01</v>
      </c>
      <c r="H878" s="2">
        <v>0.36</v>
      </c>
      <c r="I878" s="4">
        <v>-56.51</v>
      </c>
      <c r="J878" s="5">
        <v>7.64</v>
      </c>
      <c r="K878" s="5">
        <v>5.83</v>
      </c>
      <c r="L878" s="1" t="s">
        <v>5</v>
      </c>
      <c r="M878" s="1" t="s">
        <v>38</v>
      </c>
      <c r="N878" s="1" t="s">
        <v>21</v>
      </c>
      <c r="O878" s="1" t="s">
        <v>6</v>
      </c>
      <c r="P878" s="1" t="s">
        <v>14</v>
      </c>
      <c r="Q878" s="6">
        <f>C878+2</f>
        <v>41190</v>
      </c>
    </row>
    <row r="879" spans="1:17" ht="15.75" x14ac:dyDescent="0.3">
      <c r="A879" s="1">
        <v>6106</v>
      </c>
      <c r="B879" s="2">
        <v>43269</v>
      </c>
      <c r="C879" s="3">
        <f>DATE(2012,12,31)-1361</f>
        <v>39913</v>
      </c>
      <c r="D879" s="1" t="s">
        <v>0</v>
      </c>
      <c r="E879" s="2">
        <v>16</v>
      </c>
      <c r="F879" s="2">
        <v>843.15</v>
      </c>
      <c r="G879" s="2">
        <v>0</v>
      </c>
      <c r="H879" s="2">
        <v>0.38</v>
      </c>
      <c r="I879" s="4">
        <v>355</v>
      </c>
      <c r="J879" s="5">
        <v>48.91</v>
      </c>
      <c r="K879" s="5">
        <v>5.81</v>
      </c>
      <c r="L879" s="1" t="s">
        <v>5</v>
      </c>
      <c r="M879" s="1" t="s">
        <v>38</v>
      </c>
      <c r="N879" s="1" t="s">
        <v>2</v>
      </c>
      <c r="O879" s="1" t="s">
        <v>6</v>
      </c>
      <c r="P879" s="1" t="s">
        <v>7</v>
      </c>
      <c r="Q879" s="6">
        <f>C879+2</f>
        <v>39915</v>
      </c>
    </row>
    <row r="880" spans="1:17" ht="15.75" x14ac:dyDescent="0.3">
      <c r="A880" s="1">
        <v>6107</v>
      </c>
      <c r="B880" s="2">
        <v>43269</v>
      </c>
      <c r="C880" s="3">
        <f>DATE(2012,12,31)-1361</f>
        <v>39913</v>
      </c>
      <c r="D880" s="1" t="s">
        <v>0</v>
      </c>
      <c r="E880" s="2">
        <v>24</v>
      </c>
      <c r="F880" s="2">
        <v>3978.02</v>
      </c>
      <c r="G880" s="2">
        <v>0.08</v>
      </c>
      <c r="H880" s="2">
        <v>0.4</v>
      </c>
      <c r="I880" s="4">
        <v>1336.9565</v>
      </c>
      <c r="J880" s="5">
        <v>165.98</v>
      </c>
      <c r="K880" s="5">
        <v>19.989999999999998</v>
      </c>
      <c r="L880" s="1" t="s">
        <v>5</v>
      </c>
      <c r="M880" s="1" t="s">
        <v>38</v>
      </c>
      <c r="N880" s="1" t="s">
        <v>2</v>
      </c>
      <c r="O880" s="1" t="s">
        <v>6</v>
      </c>
      <c r="P880" s="1" t="s">
        <v>7</v>
      </c>
      <c r="Q880" s="6">
        <f>C880+2</f>
        <v>39915</v>
      </c>
    </row>
    <row r="881" spans="1:17" ht="15.75" x14ac:dyDescent="0.3">
      <c r="A881" s="1">
        <v>6126</v>
      </c>
      <c r="B881" s="2">
        <v>43367</v>
      </c>
      <c r="C881" s="3">
        <f>DATE(2012,12,31)-1028</f>
        <v>40246</v>
      </c>
      <c r="D881" s="1" t="s">
        <v>0</v>
      </c>
      <c r="E881" s="2">
        <v>3</v>
      </c>
      <c r="F881" s="2">
        <v>23.38</v>
      </c>
      <c r="G881" s="2">
        <v>0.08</v>
      </c>
      <c r="H881" s="2">
        <v>0.37</v>
      </c>
      <c r="I881" s="4">
        <v>-12.19</v>
      </c>
      <c r="J881" s="5">
        <v>6.48</v>
      </c>
      <c r="K881" s="5">
        <v>5.14</v>
      </c>
      <c r="L881" s="1" t="s">
        <v>5</v>
      </c>
      <c r="M881" s="1" t="s">
        <v>38</v>
      </c>
      <c r="N881" s="1" t="s">
        <v>13</v>
      </c>
      <c r="O881" s="1" t="s">
        <v>6</v>
      </c>
      <c r="P881" s="1" t="s">
        <v>7</v>
      </c>
      <c r="Q881" s="6">
        <f>C881+3</f>
        <v>40249</v>
      </c>
    </row>
    <row r="882" spans="1:17" ht="15.75" x14ac:dyDescent="0.3">
      <c r="A882" s="1">
        <v>6127</v>
      </c>
      <c r="B882" s="2">
        <v>43367</v>
      </c>
      <c r="C882" s="3">
        <f>DATE(2012,12,31)-1028</f>
        <v>40246</v>
      </c>
      <c r="D882" s="1" t="s">
        <v>0</v>
      </c>
      <c r="E882" s="2">
        <v>16</v>
      </c>
      <c r="F882" s="2">
        <v>139.37</v>
      </c>
      <c r="G882" s="2">
        <v>0.04</v>
      </c>
      <c r="H882" s="2">
        <v>0.59</v>
      </c>
      <c r="I882" s="4">
        <v>1.72</v>
      </c>
      <c r="J882" s="5">
        <v>8.34</v>
      </c>
      <c r="K882" s="5">
        <v>2.64</v>
      </c>
      <c r="L882" s="1" t="s">
        <v>9</v>
      </c>
      <c r="M882" s="1" t="s">
        <v>38</v>
      </c>
      <c r="N882" s="1" t="s">
        <v>13</v>
      </c>
      <c r="O882" s="1" t="s">
        <v>6</v>
      </c>
      <c r="P882" s="1" t="s">
        <v>20</v>
      </c>
      <c r="Q882" s="6">
        <f>C882+1</f>
        <v>40247</v>
      </c>
    </row>
    <row r="883" spans="1:17" ht="15.75" x14ac:dyDescent="0.3">
      <c r="A883" s="1">
        <v>6128</v>
      </c>
      <c r="B883" s="2">
        <v>43367</v>
      </c>
      <c r="C883" s="3">
        <f>DATE(2012,12,31)-1028</f>
        <v>40246</v>
      </c>
      <c r="D883" s="1" t="s">
        <v>0</v>
      </c>
      <c r="E883" s="2">
        <v>18</v>
      </c>
      <c r="F883" s="2">
        <v>1221.6199999999999</v>
      </c>
      <c r="G883" s="2">
        <v>0.01</v>
      </c>
      <c r="H883" s="2">
        <v>0.8</v>
      </c>
      <c r="I883" s="4">
        <v>-468.64</v>
      </c>
      <c r="J883" s="5">
        <v>64.650000000000006</v>
      </c>
      <c r="K883" s="5">
        <v>35</v>
      </c>
      <c r="L883" s="1" t="s">
        <v>5</v>
      </c>
      <c r="M883" s="1" t="s">
        <v>38</v>
      </c>
      <c r="N883" s="1" t="s">
        <v>13</v>
      </c>
      <c r="O883" s="1" t="s">
        <v>6</v>
      </c>
      <c r="P883" s="1" t="s">
        <v>10</v>
      </c>
      <c r="Q883" s="6">
        <f>C883+0</f>
        <v>40246</v>
      </c>
    </row>
    <row r="884" spans="1:17" ht="15.75" x14ac:dyDescent="0.3">
      <c r="A884" s="1">
        <v>6132</v>
      </c>
      <c r="B884" s="2">
        <v>43399</v>
      </c>
      <c r="C884" s="3">
        <f>DATE(2012,12,31)-1250</f>
        <v>40024</v>
      </c>
      <c r="D884" s="1" t="s">
        <v>17</v>
      </c>
      <c r="E884" s="2">
        <v>35</v>
      </c>
      <c r="F884" s="2">
        <v>59.66</v>
      </c>
      <c r="G884" s="2">
        <v>0.05</v>
      </c>
      <c r="H884" s="2">
        <v>0.59</v>
      </c>
      <c r="I884" s="4">
        <v>-33.340000000000003</v>
      </c>
      <c r="J884" s="5">
        <v>1.68</v>
      </c>
      <c r="K884" s="5">
        <v>1.57</v>
      </c>
      <c r="L884" s="1" t="s">
        <v>5</v>
      </c>
      <c r="M884" s="1" t="s">
        <v>38</v>
      </c>
      <c r="N884" s="1" t="s">
        <v>2</v>
      </c>
      <c r="O884" s="1" t="s">
        <v>6</v>
      </c>
      <c r="P884" s="1" t="s">
        <v>14</v>
      </c>
      <c r="Q884" s="6">
        <f>C884+1</f>
        <v>40025</v>
      </c>
    </row>
    <row r="885" spans="1:17" ht="15.75" x14ac:dyDescent="0.3">
      <c r="A885" s="1">
        <v>6133</v>
      </c>
      <c r="B885" s="2">
        <v>43399</v>
      </c>
      <c r="C885" s="3">
        <f>DATE(2012,12,31)-1250</f>
        <v>40024</v>
      </c>
      <c r="D885" s="1" t="s">
        <v>17</v>
      </c>
      <c r="E885" s="2">
        <v>2</v>
      </c>
      <c r="F885" s="2">
        <v>377.01600000000002</v>
      </c>
      <c r="G885" s="2">
        <v>0.1</v>
      </c>
      <c r="H885" s="2">
        <v>0.77</v>
      </c>
      <c r="I885" s="4">
        <v>-201.27599999999998</v>
      </c>
      <c r="J885" s="5">
        <v>218.75</v>
      </c>
      <c r="K885" s="5">
        <v>69.64</v>
      </c>
      <c r="L885" s="1" t="s">
        <v>1</v>
      </c>
      <c r="M885" s="1" t="s">
        <v>38</v>
      </c>
      <c r="N885" s="1" t="s">
        <v>2</v>
      </c>
      <c r="O885" s="1" t="s">
        <v>3</v>
      </c>
      <c r="P885" s="1" t="s">
        <v>19</v>
      </c>
      <c r="Q885" s="6">
        <f>C885+2</f>
        <v>40026</v>
      </c>
    </row>
    <row r="886" spans="1:17" ht="15.75" x14ac:dyDescent="0.3">
      <c r="A886" s="1">
        <v>6134</v>
      </c>
      <c r="B886" s="2">
        <v>43399</v>
      </c>
      <c r="C886" s="3">
        <f>DATE(2012,12,31)-1250</f>
        <v>40024</v>
      </c>
      <c r="D886" s="1" t="s">
        <v>17</v>
      </c>
      <c r="E886" s="2">
        <v>8</v>
      </c>
      <c r="F886" s="2">
        <v>124.7</v>
      </c>
      <c r="G886" s="2">
        <v>0</v>
      </c>
      <c r="H886" s="2">
        <v>0.39</v>
      </c>
      <c r="I886" s="4">
        <v>31.94</v>
      </c>
      <c r="J886" s="5">
        <v>15.04</v>
      </c>
      <c r="K886" s="5">
        <v>1.97</v>
      </c>
      <c r="L886" s="1" t="s">
        <v>5</v>
      </c>
      <c r="M886" s="1" t="s">
        <v>38</v>
      </c>
      <c r="N886" s="1" t="s">
        <v>2</v>
      </c>
      <c r="O886" s="1" t="s">
        <v>6</v>
      </c>
      <c r="P886" s="1" t="s">
        <v>14</v>
      </c>
      <c r="Q886" s="6">
        <f>C886+2</f>
        <v>40026</v>
      </c>
    </row>
    <row r="887" spans="1:17" ht="15.75" x14ac:dyDescent="0.3">
      <c r="A887" s="1">
        <v>6189</v>
      </c>
      <c r="B887" s="2">
        <v>43875</v>
      </c>
      <c r="C887" s="3">
        <f>DATE(2012,12,31)-390</f>
        <v>40884</v>
      </c>
      <c r="D887" s="1" t="s">
        <v>0</v>
      </c>
      <c r="E887" s="2">
        <v>24</v>
      </c>
      <c r="F887" s="2">
        <v>382.19</v>
      </c>
      <c r="G887" s="2">
        <v>0.03</v>
      </c>
      <c r="H887" s="2">
        <v>0.52</v>
      </c>
      <c r="I887" s="4">
        <v>11.39</v>
      </c>
      <c r="J887" s="5">
        <v>14.42</v>
      </c>
      <c r="K887" s="5">
        <v>6.75</v>
      </c>
      <c r="L887" s="1" t="s">
        <v>9</v>
      </c>
      <c r="M887" s="1" t="s">
        <v>38</v>
      </c>
      <c r="N887" s="1" t="s">
        <v>2</v>
      </c>
      <c r="O887" s="1" t="s">
        <v>6</v>
      </c>
      <c r="P887" s="1" t="s">
        <v>18</v>
      </c>
      <c r="Q887" s="6">
        <f>C887+3</f>
        <v>40887</v>
      </c>
    </row>
    <row r="888" spans="1:17" ht="15.75" x14ac:dyDescent="0.3">
      <c r="A888" s="1">
        <v>6190</v>
      </c>
      <c r="B888" s="2">
        <v>43875</v>
      </c>
      <c r="C888" s="3">
        <f>DATE(2012,12,31)-390</f>
        <v>40884</v>
      </c>
      <c r="D888" s="1" t="s">
        <v>0</v>
      </c>
      <c r="E888" s="2">
        <v>17</v>
      </c>
      <c r="F888" s="2">
        <v>2573.92</v>
      </c>
      <c r="G888" s="2">
        <v>7.0000000000000007E-2</v>
      </c>
      <c r="H888" s="2">
        <v>0.55000000000000004</v>
      </c>
      <c r="I888" s="4">
        <v>117.23</v>
      </c>
      <c r="J888" s="5">
        <v>150.97999999999999</v>
      </c>
      <c r="K888" s="5">
        <v>143.71</v>
      </c>
      <c r="L888" s="1" t="s">
        <v>1</v>
      </c>
      <c r="M888" s="1" t="s">
        <v>38</v>
      </c>
      <c r="N888" s="1" t="s">
        <v>2</v>
      </c>
      <c r="O888" s="1" t="s">
        <v>3</v>
      </c>
      <c r="P888" s="1" t="s">
        <v>4</v>
      </c>
      <c r="Q888" s="6">
        <f>C888+2</f>
        <v>40886</v>
      </c>
    </row>
    <row r="889" spans="1:17" ht="15.75" x14ac:dyDescent="0.3">
      <c r="A889" s="1">
        <v>6191</v>
      </c>
      <c r="B889" s="2">
        <v>43875</v>
      </c>
      <c r="C889" s="3">
        <f>DATE(2012,12,31)-390</f>
        <v>40884</v>
      </c>
      <c r="D889" s="1" t="s">
        <v>0</v>
      </c>
      <c r="E889" s="2">
        <v>40</v>
      </c>
      <c r="F889" s="2">
        <v>727.64</v>
      </c>
      <c r="G889" s="2">
        <v>0.01</v>
      </c>
      <c r="H889" s="2">
        <v>0.4</v>
      </c>
      <c r="I889" s="4">
        <v>27.64</v>
      </c>
      <c r="J889" s="5">
        <v>17.98</v>
      </c>
      <c r="K889" s="5">
        <v>8.51</v>
      </c>
      <c r="L889" s="1" t="s">
        <v>5</v>
      </c>
      <c r="M889" s="1" t="s">
        <v>38</v>
      </c>
      <c r="N889" s="1" t="s">
        <v>2</v>
      </c>
      <c r="O889" s="1" t="s">
        <v>11</v>
      </c>
      <c r="P889" s="1" t="s">
        <v>18</v>
      </c>
      <c r="Q889" s="6">
        <f>C889+2</f>
        <v>40886</v>
      </c>
    </row>
    <row r="890" spans="1:17" ht="15.75" x14ac:dyDescent="0.3">
      <c r="A890" s="1">
        <v>6192</v>
      </c>
      <c r="B890" s="2">
        <v>43875</v>
      </c>
      <c r="C890" s="3">
        <f>DATE(2012,12,31)-390</f>
        <v>40884</v>
      </c>
      <c r="D890" s="1" t="s">
        <v>0</v>
      </c>
      <c r="E890" s="2">
        <v>16</v>
      </c>
      <c r="F890" s="2">
        <v>2795.0039999999999</v>
      </c>
      <c r="G890" s="2">
        <v>0.02</v>
      </c>
      <c r="H890" s="2">
        <v>0.57999999999999996</v>
      </c>
      <c r="I890" s="4">
        <v>311.09400000000005</v>
      </c>
      <c r="J890" s="5">
        <v>195.99</v>
      </c>
      <c r="K890" s="5">
        <v>8.99</v>
      </c>
      <c r="L890" s="1" t="s">
        <v>5</v>
      </c>
      <c r="M890" s="1" t="s">
        <v>38</v>
      </c>
      <c r="N890" s="1" t="s">
        <v>2</v>
      </c>
      <c r="O890" s="1" t="s">
        <v>11</v>
      </c>
      <c r="P890" s="1" t="s">
        <v>7</v>
      </c>
      <c r="Q890" s="6">
        <f>C890+1</f>
        <v>40885</v>
      </c>
    </row>
    <row r="891" spans="1:17" ht="15.75" x14ac:dyDescent="0.3">
      <c r="A891" s="1">
        <v>6193</v>
      </c>
      <c r="B891" s="2">
        <v>43875</v>
      </c>
      <c r="C891" s="3">
        <f>DATE(2012,12,31)-390</f>
        <v>40884</v>
      </c>
      <c r="D891" s="1" t="s">
        <v>0</v>
      </c>
      <c r="E891" s="2">
        <v>25</v>
      </c>
      <c r="F891" s="2">
        <v>2564.5774999999999</v>
      </c>
      <c r="G891" s="2">
        <v>7.0000000000000007E-2</v>
      </c>
      <c r="H891" s="2">
        <v>0.57999999999999996</v>
      </c>
      <c r="I891" s="4">
        <v>331.29</v>
      </c>
      <c r="J891" s="5">
        <v>125.99</v>
      </c>
      <c r="K891" s="5">
        <v>7.69</v>
      </c>
      <c r="L891" s="1" t="s">
        <v>5</v>
      </c>
      <c r="M891" s="1" t="s">
        <v>38</v>
      </c>
      <c r="N891" s="1" t="s">
        <v>2</v>
      </c>
      <c r="O891" s="1" t="s">
        <v>11</v>
      </c>
      <c r="P891" s="1" t="s">
        <v>7</v>
      </c>
      <c r="Q891" s="6">
        <f>C891+2</f>
        <v>40886</v>
      </c>
    </row>
    <row r="892" spans="1:17" ht="15.75" x14ac:dyDescent="0.3">
      <c r="A892" s="1">
        <v>6237</v>
      </c>
      <c r="B892" s="2">
        <v>44197</v>
      </c>
      <c r="C892" s="3">
        <f>DATE(2012,12,31)-1441</f>
        <v>39833</v>
      </c>
      <c r="D892" s="1" t="s">
        <v>17</v>
      </c>
      <c r="E892" s="2">
        <v>27</v>
      </c>
      <c r="F892" s="2">
        <v>3970.33</v>
      </c>
      <c r="G892" s="2">
        <v>0.02</v>
      </c>
      <c r="H892" s="2">
        <v>0.65</v>
      </c>
      <c r="I892" s="4">
        <v>-229.79</v>
      </c>
      <c r="J892" s="5">
        <v>140.97999999999999</v>
      </c>
      <c r="K892" s="5">
        <v>53.48</v>
      </c>
      <c r="L892" s="1" t="s">
        <v>1</v>
      </c>
      <c r="M892" s="1" t="s">
        <v>38</v>
      </c>
      <c r="N892" s="1" t="s">
        <v>13</v>
      </c>
      <c r="O892" s="1" t="s">
        <v>3</v>
      </c>
      <c r="P892" s="1" t="s">
        <v>19</v>
      </c>
      <c r="Q892" s="6">
        <f>C892+3</f>
        <v>39836</v>
      </c>
    </row>
    <row r="893" spans="1:17" ht="15.75" x14ac:dyDescent="0.3">
      <c r="A893" s="1">
        <v>6242</v>
      </c>
      <c r="B893" s="2">
        <v>44229</v>
      </c>
      <c r="C893" s="3">
        <f>DATE(2012,12,31)-962</f>
        <v>40312</v>
      </c>
      <c r="D893" s="1" t="s">
        <v>12</v>
      </c>
      <c r="E893" s="2">
        <v>39</v>
      </c>
      <c r="F893" s="2">
        <v>185.69</v>
      </c>
      <c r="G893" s="2">
        <v>0.02</v>
      </c>
      <c r="H893" s="2">
        <v>0.52</v>
      </c>
      <c r="I893" s="4">
        <v>50.16</v>
      </c>
      <c r="J893" s="5">
        <v>4.84</v>
      </c>
      <c r="K893" s="5">
        <v>0.71</v>
      </c>
      <c r="L893" s="1" t="s">
        <v>5</v>
      </c>
      <c r="M893" s="1" t="s">
        <v>38</v>
      </c>
      <c r="N893" s="1" t="s">
        <v>15</v>
      </c>
      <c r="O893" s="1" t="s">
        <v>6</v>
      </c>
      <c r="P893" s="1" t="s">
        <v>14</v>
      </c>
      <c r="Q893" s="6">
        <f>C893+0</f>
        <v>40312</v>
      </c>
    </row>
    <row r="894" spans="1:17" ht="15.75" x14ac:dyDescent="0.3">
      <c r="A894" s="1">
        <v>6268</v>
      </c>
      <c r="B894" s="2">
        <v>44386</v>
      </c>
      <c r="C894" s="3">
        <f>DATE(2012,12,31)-266</f>
        <v>41008</v>
      </c>
      <c r="D894" s="1" t="s">
        <v>12</v>
      </c>
      <c r="E894" s="2">
        <v>27</v>
      </c>
      <c r="F894" s="2">
        <v>129.06</v>
      </c>
      <c r="G894" s="2">
        <v>0.1</v>
      </c>
      <c r="H894" s="2">
        <v>0.38</v>
      </c>
      <c r="I894" s="4">
        <v>-75.129499999999993</v>
      </c>
      <c r="J894" s="5">
        <v>4.91</v>
      </c>
      <c r="K894" s="5">
        <v>4.97</v>
      </c>
      <c r="L894" s="1" t="s">
        <v>5</v>
      </c>
      <c r="M894" s="1" t="s">
        <v>38</v>
      </c>
      <c r="N894" s="1" t="s">
        <v>15</v>
      </c>
      <c r="O894" s="1" t="s">
        <v>6</v>
      </c>
      <c r="P894" s="1" t="s">
        <v>7</v>
      </c>
      <c r="Q894" s="6">
        <f>C894+2</f>
        <v>41010</v>
      </c>
    </row>
    <row r="895" spans="1:17" ht="15.75" x14ac:dyDescent="0.3">
      <c r="A895" s="1">
        <v>6269</v>
      </c>
      <c r="B895" s="2">
        <v>44386</v>
      </c>
      <c r="C895" s="3">
        <f>DATE(2012,12,31)-266</f>
        <v>41008</v>
      </c>
      <c r="D895" s="1" t="s">
        <v>12</v>
      </c>
      <c r="E895" s="2">
        <v>43</v>
      </c>
      <c r="F895" s="2">
        <v>1236.6400000000001</v>
      </c>
      <c r="G895" s="2">
        <v>0.01</v>
      </c>
      <c r="H895" s="2">
        <v>0.4</v>
      </c>
      <c r="I895" s="4">
        <v>518.80999999999995</v>
      </c>
      <c r="J895" s="5">
        <v>28.48</v>
      </c>
      <c r="K895" s="5">
        <v>1.99</v>
      </c>
      <c r="L895" s="1" t="s">
        <v>5</v>
      </c>
      <c r="M895" s="1" t="s">
        <v>38</v>
      </c>
      <c r="N895" s="1" t="s">
        <v>15</v>
      </c>
      <c r="O895" s="1" t="s">
        <v>11</v>
      </c>
      <c r="P895" s="1" t="s">
        <v>20</v>
      </c>
      <c r="Q895" s="6">
        <f>C895+2</f>
        <v>41010</v>
      </c>
    </row>
    <row r="896" spans="1:17" ht="15.75" x14ac:dyDescent="0.3">
      <c r="A896" s="1">
        <v>6272</v>
      </c>
      <c r="B896" s="2">
        <v>44390</v>
      </c>
      <c r="C896" s="3">
        <f>DATE(2012,12,31)-759</f>
        <v>40515</v>
      </c>
      <c r="D896" s="1" t="s">
        <v>8</v>
      </c>
      <c r="E896" s="2">
        <v>32</v>
      </c>
      <c r="F896" s="2">
        <v>3234.1</v>
      </c>
      <c r="G896" s="2">
        <v>0.03</v>
      </c>
      <c r="H896" s="2">
        <v>0.35</v>
      </c>
      <c r="I896" s="4">
        <v>2033.5</v>
      </c>
      <c r="J896" s="5">
        <v>99.23</v>
      </c>
      <c r="K896" s="5">
        <v>8.99</v>
      </c>
      <c r="L896" s="1" t="s">
        <v>5</v>
      </c>
      <c r="M896" s="1" t="s">
        <v>38</v>
      </c>
      <c r="N896" s="1" t="s">
        <v>15</v>
      </c>
      <c r="O896" s="1" t="s">
        <v>3</v>
      </c>
      <c r="P896" s="1" t="s">
        <v>20</v>
      </c>
      <c r="Q896" s="6">
        <f>C896+2</f>
        <v>40517</v>
      </c>
    </row>
    <row r="897" spans="1:17" ht="15.75" x14ac:dyDescent="0.3">
      <c r="A897" s="1">
        <v>6303</v>
      </c>
      <c r="B897" s="2">
        <v>44612</v>
      </c>
      <c r="C897" s="3">
        <f>DATE(2012,12,31)-659</f>
        <v>40615</v>
      </c>
      <c r="D897" s="1" t="s">
        <v>17</v>
      </c>
      <c r="E897" s="2">
        <v>6</v>
      </c>
      <c r="F897" s="2">
        <v>428.72300000000001</v>
      </c>
      <c r="G897" s="2">
        <v>0.06</v>
      </c>
      <c r="H897" s="2">
        <v>0.39</v>
      </c>
      <c r="I897" s="4">
        <v>-147.71899999999999</v>
      </c>
      <c r="J897" s="5">
        <v>85.99</v>
      </c>
      <c r="K897" s="5">
        <v>1.25</v>
      </c>
      <c r="L897" s="1" t="s">
        <v>5</v>
      </c>
      <c r="M897" s="1" t="s">
        <v>38</v>
      </c>
      <c r="N897" s="1" t="s">
        <v>2</v>
      </c>
      <c r="O897" s="1" t="s">
        <v>11</v>
      </c>
      <c r="P897" s="1" t="s">
        <v>20</v>
      </c>
      <c r="Q897" s="6">
        <f>C897+2</f>
        <v>40617</v>
      </c>
    </row>
    <row r="898" spans="1:17" ht="15.75" x14ac:dyDescent="0.3">
      <c r="A898" s="1">
        <v>6307</v>
      </c>
      <c r="B898" s="2">
        <v>44614</v>
      </c>
      <c r="C898" s="3">
        <f>DATE(2012,12,31)-931</f>
        <v>40343</v>
      </c>
      <c r="D898" s="1" t="s">
        <v>16</v>
      </c>
      <c r="E898" s="2">
        <v>18</v>
      </c>
      <c r="F898" s="2">
        <v>55.35</v>
      </c>
      <c r="G898" s="2">
        <v>0</v>
      </c>
      <c r="H898" s="2">
        <v>0.55000000000000004</v>
      </c>
      <c r="I898" s="4">
        <v>-56.63</v>
      </c>
      <c r="J898" s="5">
        <v>2.2200000000000002</v>
      </c>
      <c r="K898" s="5">
        <v>5</v>
      </c>
      <c r="L898" s="1" t="s">
        <v>9</v>
      </c>
      <c r="M898" s="1" t="s">
        <v>38</v>
      </c>
      <c r="N898" s="1" t="s">
        <v>2</v>
      </c>
      <c r="O898" s="1" t="s">
        <v>6</v>
      </c>
      <c r="P898" s="1" t="s">
        <v>7</v>
      </c>
      <c r="Q898" s="6">
        <f>C898+4</f>
        <v>40347</v>
      </c>
    </row>
    <row r="899" spans="1:17" ht="15.75" x14ac:dyDescent="0.3">
      <c r="A899" s="1">
        <v>6308</v>
      </c>
      <c r="B899" s="2">
        <v>44614</v>
      </c>
      <c r="C899" s="3">
        <f>DATE(2012,12,31)-931</f>
        <v>40343</v>
      </c>
      <c r="D899" s="1" t="s">
        <v>16</v>
      </c>
      <c r="E899" s="2">
        <v>27</v>
      </c>
      <c r="F899" s="2">
        <v>700.35</v>
      </c>
      <c r="G899" s="2">
        <v>0.06</v>
      </c>
      <c r="H899" s="2">
        <v>0.75</v>
      </c>
      <c r="I899" s="4">
        <v>-123.01</v>
      </c>
      <c r="J899" s="5">
        <v>26.31</v>
      </c>
      <c r="K899" s="5">
        <v>5.89</v>
      </c>
      <c r="L899" s="1" t="s">
        <v>5</v>
      </c>
      <c r="M899" s="1" t="s">
        <v>38</v>
      </c>
      <c r="N899" s="1" t="s">
        <v>2</v>
      </c>
      <c r="O899" s="1" t="s">
        <v>11</v>
      </c>
      <c r="P899" s="1" t="s">
        <v>7</v>
      </c>
      <c r="Q899" s="6">
        <f>C899+9</f>
        <v>40352</v>
      </c>
    </row>
    <row r="900" spans="1:17" ht="15.75" x14ac:dyDescent="0.3">
      <c r="A900" s="1">
        <v>6309</v>
      </c>
      <c r="B900" s="2">
        <v>44615</v>
      </c>
      <c r="C900" s="3">
        <f>DATE(2012,12,31)-967</f>
        <v>40307</v>
      </c>
      <c r="D900" s="1" t="s">
        <v>12</v>
      </c>
      <c r="E900" s="2">
        <v>19</v>
      </c>
      <c r="F900" s="2">
        <v>36.369999999999997</v>
      </c>
      <c r="G900" s="2">
        <v>7.0000000000000007E-2</v>
      </c>
      <c r="H900" s="2">
        <v>0.37</v>
      </c>
      <c r="I900" s="4">
        <v>-10.257999999999999</v>
      </c>
      <c r="J900" s="5">
        <v>1.88</v>
      </c>
      <c r="K900" s="5">
        <v>1.49</v>
      </c>
      <c r="L900" s="1" t="s">
        <v>5</v>
      </c>
      <c r="M900" s="1" t="s">
        <v>38</v>
      </c>
      <c r="N900" s="1" t="s">
        <v>15</v>
      </c>
      <c r="O900" s="1" t="s">
        <v>6</v>
      </c>
      <c r="P900" s="1" t="s">
        <v>7</v>
      </c>
      <c r="Q900" s="6">
        <f>C900+1</f>
        <v>40308</v>
      </c>
    </row>
    <row r="901" spans="1:17" ht="15.75" x14ac:dyDescent="0.3">
      <c r="A901" s="1">
        <v>6331</v>
      </c>
      <c r="B901" s="2">
        <v>44864</v>
      </c>
      <c r="C901" s="3">
        <f>DATE(2012,12,31)-928</f>
        <v>40346</v>
      </c>
      <c r="D901" s="1" t="s">
        <v>16</v>
      </c>
      <c r="E901" s="2">
        <v>25</v>
      </c>
      <c r="F901" s="2">
        <v>187.55</v>
      </c>
      <c r="G901" s="2">
        <v>0.1</v>
      </c>
      <c r="H901" s="2">
        <v>0.57999999999999996</v>
      </c>
      <c r="I901" s="4">
        <v>-171.41</v>
      </c>
      <c r="J901" s="5">
        <v>7.77</v>
      </c>
      <c r="K901" s="5">
        <v>9.23</v>
      </c>
      <c r="L901" s="1" t="s">
        <v>5</v>
      </c>
      <c r="M901" s="1" t="s">
        <v>38</v>
      </c>
      <c r="N901" s="1" t="s">
        <v>2</v>
      </c>
      <c r="O901" s="1" t="s">
        <v>6</v>
      </c>
      <c r="P901" s="1" t="s">
        <v>7</v>
      </c>
      <c r="Q901" s="6">
        <f>C901+7</f>
        <v>40353</v>
      </c>
    </row>
    <row r="902" spans="1:17" ht="15.75" x14ac:dyDescent="0.3">
      <c r="A902" s="1">
        <v>6336</v>
      </c>
      <c r="B902" s="2">
        <v>44900</v>
      </c>
      <c r="C902" s="3">
        <f>DATE(2012,12,31)-1056</f>
        <v>40218</v>
      </c>
      <c r="D902" s="1" t="s">
        <v>12</v>
      </c>
      <c r="E902" s="2">
        <v>4</v>
      </c>
      <c r="F902" s="2">
        <v>47.03</v>
      </c>
      <c r="G902" s="2">
        <v>0.08</v>
      </c>
      <c r="H902" s="2">
        <v>0.37</v>
      </c>
      <c r="I902" s="4">
        <v>-12.03</v>
      </c>
      <c r="J902" s="5">
        <v>11.19</v>
      </c>
      <c r="K902" s="5">
        <v>5.03</v>
      </c>
      <c r="L902" s="1" t="s">
        <v>5</v>
      </c>
      <c r="M902" s="1" t="s">
        <v>38</v>
      </c>
      <c r="N902" s="1" t="s">
        <v>15</v>
      </c>
      <c r="O902" s="1" t="s">
        <v>6</v>
      </c>
      <c r="P902" s="1" t="s">
        <v>7</v>
      </c>
      <c r="Q902" s="6">
        <f>C902+1</f>
        <v>40219</v>
      </c>
    </row>
    <row r="903" spans="1:17" ht="15.75" x14ac:dyDescent="0.3">
      <c r="A903" s="1">
        <v>6340</v>
      </c>
      <c r="B903" s="2">
        <v>44960</v>
      </c>
      <c r="C903" s="3">
        <f>DATE(2012,12,31)-608</f>
        <v>40666</v>
      </c>
      <c r="D903" s="1" t="s">
        <v>16</v>
      </c>
      <c r="E903" s="2">
        <v>16</v>
      </c>
      <c r="F903" s="2">
        <v>112.91</v>
      </c>
      <c r="G903" s="2">
        <v>0.04</v>
      </c>
      <c r="H903" s="2">
        <v>0.37</v>
      </c>
      <c r="I903" s="4">
        <v>-72.81</v>
      </c>
      <c r="J903" s="5">
        <v>6.48</v>
      </c>
      <c r="K903" s="5">
        <v>8.4</v>
      </c>
      <c r="L903" s="1" t="s">
        <v>5</v>
      </c>
      <c r="M903" s="1" t="s">
        <v>38</v>
      </c>
      <c r="N903" s="1" t="s">
        <v>21</v>
      </c>
      <c r="O903" s="1" t="s">
        <v>6</v>
      </c>
      <c r="P903" s="1" t="s">
        <v>7</v>
      </c>
      <c r="Q903" s="6">
        <f>C903+2</f>
        <v>40668</v>
      </c>
    </row>
    <row r="904" spans="1:17" ht="15.75" x14ac:dyDescent="0.3">
      <c r="A904" s="1">
        <v>6341</v>
      </c>
      <c r="B904" s="2">
        <v>44960</v>
      </c>
      <c r="C904" s="3">
        <f>DATE(2012,12,31)-608</f>
        <v>40666</v>
      </c>
      <c r="D904" s="1" t="s">
        <v>16</v>
      </c>
      <c r="E904" s="2">
        <v>22</v>
      </c>
      <c r="F904" s="2">
        <v>180.92</v>
      </c>
      <c r="G904" s="2">
        <v>0.1</v>
      </c>
      <c r="H904" s="2">
        <v>0.59</v>
      </c>
      <c r="I904" s="4">
        <v>-82.54</v>
      </c>
      <c r="J904" s="5">
        <v>8.57</v>
      </c>
      <c r="K904" s="5">
        <v>6.14</v>
      </c>
      <c r="L904" s="1" t="s">
        <v>5</v>
      </c>
      <c r="M904" s="1" t="s">
        <v>38</v>
      </c>
      <c r="N904" s="1" t="s">
        <v>21</v>
      </c>
      <c r="O904" s="1" t="s">
        <v>6</v>
      </c>
      <c r="P904" s="1" t="s">
        <v>20</v>
      </c>
      <c r="Q904" s="6">
        <f>C904+0</f>
        <v>40666</v>
      </c>
    </row>
    <row r="905" spans="1:17" ht="15.75" x14ac:dyDescent="0.3">
      <c r="A905" s="1">
        <v>6342</v>
      </c>
      <c r="B905" s="2">
        <v>44960</v>
      </c>
      <c r="C905" s="3">
        <f>DATE(2012,12,31)-608</f>
        <v>40666</v>
      </c>
      <c r="D905" s="1" t="s">
        <v>16</v>
      </c>
      <c r="E905" s="2">
        <v>17</v>
      </c>
      <c r="F905" s="2">
        <v>31.68</v>
      </c>
      <c r="G905" s="2">
        <v>0.04</v>
      </c>
      <c r="H905" s="2">
        <v>0.51</v>
      </c>
      <c r="I905" s="4">
        <v>-23.69</v>
      </c>
      <c r="J905" s="5">
        <v>1.7</v>
      </c>
      <c r="K905" s="5">
        <v>1.99</v>
      </c>
      <c r="L905" s="1" t="s">
        <v>5</v>
      </c>
      <c r="M905" s="1" t="s">
        <v>38</v>
      </c>
      <c r="N905" s="1" t="s">
        <v>21</v>
      </c>
      <c r="O905" s="1" t="s">
        <v>11</v>
      </c>
      <c r="P905" s="1" t="s">
        <v>20</v>
      </c>
      <c r="Q905" s="6">
        <f>C905+4</f>
        <v>40670</v>
      </c>
    </row>
    <row r="906" spans="1:17" ht="15.75" x14ac:dyDescent="0.3">
      <c r="A906" s="1">
        <v>6346</v>
      </c>
      <c r="B906" s="2">
        <v>44992</v>
      </c>
      <c r="C906" s="3">
        <f>DATE(2012,12,31)-7</f>
        <v>41267</v>
      </c>
      <c r="D906" s="1" t="s">
        <v>0</v>
      </c>
      <c r="E906" s="2">
        <v>32</v>
      </c>
      <c r="F906" s="2">
        <v>1673.53</v>
      </c>
      <c r="G906" s="2">
        <v>0</v>
      </c>
      <c r="H906" s="2">
        <v>0.37</v>
      </c>
      <c r="I906" s="4">
        <v>524.73</v>
      </c>
      <c r="J906" s="5">
        <v>51.98</v>
      </c>
      <c r="K906" s="5">
        <v>10.17</v>
      </c>
      <c r="L906" s="1" t="s">
        <v>5</v>
      </c>
      <c r="M906" s="1" t="s">
        <v>38</v>
      </c>
      <c r="N906" s="1" t="s">
        <v>2</v>
      </c>
      <c r="O906" s="1" t="s">
        <v>11</v>
      </c>
      <c r="P906" s="1" t="s">
        <v>18</v>
      </c>
      <c r="Q906" s="6">
        <f>C906+2</f>
        <v>41269</v>
      </c>
    </row>
    <row r="907" spans="1:17" ht="15.75" x14ac:dyDescent="0.3">
      <c r="A907" s="1">
        <v>6347</v>
      </c>
      <c r="B907" s="2">
        <v>44992</v>
      </c>
      <c r="C907" s="3">
        <f>DATE(2012,12,31)-7</f>
        <v>41267</v>
      </c>
      <c r="D907" s="1" t="s">
        <v>0</v>
      </c>
      <c r="E907" s="2">
        <v>32</v>
      </c>
      <c r="F907" s="2">
        <v>7110.24</v>
      </c>
      <c r="G907" s="2">
        <v>0.06</v>
      </c>
      <c r="H907" s="2">
        <v>0.72</v>
      </c>
      <c r="I907" s="4">
        <v>-536.16600000000005</v>
      </c>
      <c r="J907" s="5">
        <v>218.75</v>
      </c>
      <c r="K907" s="5">
        <v>69.64</v>
      </c>
      <c r="L907" s="1" t="s">
        <v>1</v>
      </c>
      <c r="M907" s="1" t="s">
        <v>38</v>
      </c>
      <c r="N907" s="1" t="s">
        <v>2</v>
      </c>
      <c r="O907" s="1" t="s">
        <v>3</v>
      </c>
      <c r="P907" s="1" t="s">
        <v>19</v>
      </c>
      <c r="Q907" s="6">
        <f>C907+2</f>
        <v>41269</v>
      </c>
    </row>
    <row r="908" spans="1:17" ht="15.75" x14ac:dyDescent="0.3">
      <c r="A908" s="1">
        <v>6359</v>
      </c>
      <c r="B908" s="2">
        <v>45125</v>
      </c>
      <c r="C908" s="3">
        <f>DATE(2012,12,31)-217</f>
        <v>41057</v>
      </c>
      <c r="D908" s="1" t="s">
        <v>0</v>
      </c>
      <c r="E908" s="2">
        <v>6</v>
      </c>
      <c r="F908" s="2">
        <v>975.5</v>
      </c>
      <c r="G908" s="2">
        <v>0.09</v>
      </c>
      <c r="H908" s="2">
        <v>0.72</v>
      </c>
      <c r="I908" s="4">
        <v>-252.01</v>
      </c>
      <c r="J908" s="5">
        <v>160.97999999999999</v>
      </c>
      <c r="K908" s="5">
        <v>35.020000000000003</v>
      </c>
      <c r="L908" s="1" t="s">
        <v>1</v>
      </c>
      <c r="M908" s="1" t="s">
        <v>38</v>
      </c>
      <c r="N908" s="1" t="s">
        <v>15</v>
      </c>
      <c r="O908" s="1" t="s">
        <v>3</v>
      </c>
      <c r="P908" s="1" t="s">
        <v>19</v>
      </c>
      <c r="Q908" s="6">
        <f>C908+1</f>
        <v>41058</v>
      </c>
    </row>
    <row r="909" spans="1:17" ht="15.75" x14ac:dyDescent="0.3">
      <c r="A909" s="1">
        <v>6360</v>
      </c>
      <c r="B909" s="2">
        <v>45125</v>
      </c>
      <c r="C909" s="3">
        <f>DATE(2012,12,31)-217</f>
        <v>41057</v>
      </c>
      <c r="D909" s="1" t="s">
        <v>0</v>
      </c>
      <c r="E909" s="2">
        <v>32</v>
      </c>
      <c r="F909" s="2">
        <v>4834.8</v>
      </c>
      <c r="G909" s="2">
        <v>0</v>
      </c>
      <c r="H909" s="2">
        <v>0.59</v>
      </c>
      <c r="I909" s="4">
        <v>1193.1120000000001</v>
      </c>
      <c r="J909" s="5">
        <v>175.99</v>
      </c>
      <c r="K909" s="5">
        <v>4.99</v>
      </c>
      <c r="L909" s="1" t="s">
        <v>5</v>
      </c>
      <c r="M909" s="1" t="s">
        <v>38</v>
      </c>
      <c r="N909" s="1" t="s">
        <v>15</v>
      </c>
      <c r="O909" s="1" t="s">
        <v>11</v>
      </c>
      <c r="P909" s="1" t="s">
        <v>7</v>
      </c>
      <c r="Q909" s="6">
        <f>C909+1</f>
        <v>41058</v>
      </c>
    </row>
    <row r="910" spans="1:17" ht="15.75" x14ac:dyDescent="0.3">
      <c r="A910" s="1">
        <v>6371</v>
      </c>
      <c r="B910" s="2">
        <v>45190</v>
      </c>
      <c r="C910" s="3">
        <f>DATE(2012,12,31)-773</f>
        <v>40501</v>
      </c>
      <c r="D910" s="1" t="s">
        <v>17</v>
      </c>
      <c r="E910" s="2">
        <v>13</v>
      </c>
      <c r="F910" s="2">
        <v>2084.96</v>
      </c>
      <c r="G910" s="2">
        <v>0</v>
      </c>
      <c r="H910" s="2">
        <v>0.55000000000000004</v>
      </c>
      <c r="I910" s="4">
        <v>135.26</v>
      </c>
      <c r="J910" s="5">
        <v>150.97999999999999</v>
      </c>
      <c r="K910" s="5">
        <v>43.71</v>
      </c>
      <c r="L910" s="1" t="s">
        <v>1</v>
      </c>
      <c r="M910" s="1" t="s">
        <v>38</v>
      </c>
      <c r="N910" s="1" t="s">
        <v>13</v>
      </c>
      <c r="O910" s="1" t="s">
        <v>3</v>
      </c>
      <c r="P910" s="1" t="s">
        <v>4</v>
      </c>
      <c r="Q910" s="6">
        <f>C910+0</f>
        <v>40501</v>
      </c>
    </row>
    <row r="911" spans="1:17" ht="15.75" x14ac:dyDescent="0.3">
      <c r="A911" s="1">
        <v>6401</v>
      </c>
      <c r="B911" s="2">
        <v>45414</v>
      </c>
      <c r="C911" s="3">
        <f>DATE(2012,12,31)-1419</f>
        <v>39855</v>
      </c>
      <c r="D911" s="1" t="s">
        <v>0</v>
      </c>
      <c r="E911" s="2">
        <v>17</v>
      </c>
      <c r="F911" s="2">
        <v>1002.73</v>
      </c>
      <c r="G911" s="2">
        <v>0.08</v>
      </c>
      <c r="H911" s="2">
        <v>0.59</v>
      </c>
      <c r="I911" s="4">
        <v>-563.86</v>
      </c>
      <c r="J911" s="5">
        <v>60.98</v>
      </c>
      <c r="K911" s="5">
        <v>49</v>
      </c>
      <c r="L911" s="1" t="s">
        <v>5</v>
      </c>
      <c r="M911" s="1" t="s">
        <v>38</v>
      </c>
      <c r="N911" s="1" t="s">
        <v>21</v>
      </c>
      <c r="O911" s="1" t="s">
        <v>6</v>
      </c>
      <c r="P911" s="1" t="s">
        <v>10</v>
      </c>
      <c r="Q911" s="6">
        <f>C911+1</f>
        <v>39856</v>
      </c>
    </row>
    <row r="912" spans="1:17" ht="15.75" x14ac:dyDescent="0.3">
      <c r="A912" s="1">
        <v>6429</v>
      </c>
      <c r="B912" s="2">
        <v>45700</v>
      </c>
      <c r="C912" s="3">
        <f>DATE(2012,12,31)-48</f>
        <v>41226</v>
      </c>
      <c r="D912" s="1" t="s">
        <v>17</v>
      </c>
      <c r="E912" s="2">
        <v>43</v>
      </c>
      <c r="F912" s="2">
        <v>1704.58</v>
      </c>
      <c r="G912" s="2">
        <v>0.02</v>
      </c>
      <c r="H912" s="2">
        <v>0.56000000000000005</v>
      </c>
      <c r="I912" s="4">
        <v>518.48</v>
      </c>
      <c r="J912" s="5">
        <v>38.06</v>
      </c>
      <c r="K912" s="5">
        <v>4.5</v>
      </c>
      <c r="L912" s="1" t="s">
        <v>5</v>
      </c>
      <c r="M912" s="1" t="s">
        <v>38</v>
      </c>
      <c r="N912" s="1" t="s">
        <v>15</v>
      </c>
      <c r="O912" s="1" t="s">
        <v>6</v>
      </c>
      <c r="P912" s="1" t="s">
        <v>7</v>
      </c>
      <c r="Q912" s="6">
        <f>C912+0</f>
        <v>41226</v>
      </c>
    </row>
    <row r="913" spans="1:17" ht="15.75" x14ac:dyDescent="0.3">
      <c r="A913" s="1">
        <v>6443</v>
      </c>
      <c r="B913" s="2">
        <v>45824</v>
      </c>
      <c r="C913" s="3">
        <f>DATE(2012,12,31)-1121</f>
        <v>40153</v>
      </c>
      <c r="D913" s="1" t="s">
        <v>8</v>
      </c>
      <c r="E913" s="2">
        <v>44</v>
      </c>
      <c r="F913" s="2">
        <v>6123.48</v>
      </c>
      <c r="G913" s="2">
        <v>0.08</v>
      </c>
      <c r="H913" s="2">
        <v>0.56999999999999995</v>
      </c>
      <c r="I913" s="4">
        <v>1232.79</v>
      </c>
      <c r="J913" s="5">
        <v>140.81</v>
      </c>
      <c r="K913" s="5">
        <v>24.49</v>
      </c>
      <c r="L913" s="1" t="s">
        <v>5</v>
      </c>
      <c r="M913" s="1" t="s">
        <v>38</v>
      </c>
      <c r="N913" s="1" t="s">
        <v>21</v>
      </c>
      <c r="O913" s="1" t="s">
        <v>3</v>
      </c>
      <c r="P913" s="1" t="s">
        <v>10</v>
      </c>
      <c r="Q913" s="6">
        <f>C913+2</f>
        <v>40155</v>
      </c>
    </row>
    <row r="914" spans="1:17" ht="15.75" x14ac:dyDescent="0.3">
      <c r="A914" s="1">
        <v>6461</v>
      </c>
      <c r="B914" s="2">
        <v>45991</v>
      </c>
      <c r="C914" s="3">
        <f>DATE(2012,12,31)-686</f>
        <v>40588</v>
      </c>
      <c r="D914" s="1" t="s">
        <v>16</v>
      </c>
      <c r="E914" s="2">
        <v>1</v>
      </c>
      <c r="F914" s="2">
        <v>131.27000000000001</v>
      </c>
      <c r="G914" s="2">
        <v>0.1</v>
      </c>
      <c r="H914" s="2">
        <v>0.62</v>
      </c>
      <c r="I914" s="4">
        <v>-68.16</v>
      </c>
      <c r="J914" s="5">
        <v>100.98</v>
      </c>
      <c r="K914" s="5">
        <v>35.840000000000003</v>
      </c>
      <c r="L914" s="1" t="s">
        <v>1</v>
      </c>
      <c r="M914" s="1" t="s">
        <v>38</v>
      </c>
      <c r="N914" s="1" t="s">
        <v>21</v>
      </c>
      <c r="O914" s="1" t="s">
        <v>3</v>
      </c>
      <c r="P914" s="1" t="s">
        <v>19</v>
      </c>
      <c r="Q914" s="6">
        <f>C914+2</f>
        <v>40590</v>
      </c>
    </row>
    <row r="915" spans="1:17" ht="15.75" x14ac:dyDescent="0.3">
      <c r="A915" s="1">
        <v>6462</v>
      </c>
      <c r="B915" s="2">
        <v>45991</v>
      </c>
      <c r="C915" s="3">
        <f>DATE(2012,12,31)-686</f>
        <v>40588</v>
      </c>
      <c r="D915" s="1" t="s">
        <v>16</v>
      </c>
      <c r="E915" s="2">
        <v>50</v>
      </c>
      <c r="F915" s="2">
        <v>196.39</v>
      </c>
      <c r="G915" s="2">
        <v>7.0000000000000007E-2</v>
      </c>
      <c r="H915" s="2">
        <v>0.39</v>
      </c>
      <c r="I915" s="4">
        <v>82.6</v>
      </c>
      <c r="J915" s="5">
        <v>4.13</v>
      </c>
      <c r="K915" s="5">
        <v>0.5</v>
      </c>
      <c r="L915" s="1" t="s">
        <v>5</v>
      </c>
      <c r="M915" s="1" t="s">
        <v>38</v>
      </c>
      <c r="N915" s="1" t="s">
        <v>21</v>
      </c>
      <c r="O915" s="1" t="s">
        <v>6</v>
      </c>
      <c r="P915" s="1" t="s">
        <v>7</v>
      </c>
      <c r="Q915" s="6">
        <f>C915+4</f>
        <v>40592</v>
      </c>
    </row>
    <row r="916" spans="1:17" ht="15.75" x14ac:dyDescent="0.3">
      <c r="A916" s="1">
        <v>6502</v>
      </c>
      <c r="B916" s="2">
        <v>46307</v>
      </c>
      <c r="C916" s="3">
        <f>DATE(2012,12,31)-694</f>
        <v>40580</v>
      </c>
      <c r="D916" s="1" t="s">
        <v>12</v>
      </c>
      <c r="E916" s="2">
        <v>32</v>
      </c>
      <c r="F916" s="2">
        <v>643.53</v>
      </c>
      <c r="G916" s="2">
        <v>0.05</v>
      </c>
      <c r="H916" s="2">
        <v>0.38</v>
      </c>
      <c r="I916" s="4">
        <v>175.97</v>
      </c>
      <c r="J916" s="5">
        <v>19.98</v>
      </c>
      <c r="K916" s="5">
        <v>5.77</v>
      </c>
      <c r="L916" s="1" t="s">
        <v>5</v>
      </c>
      <c r="M916" s="1" t="s">
        <v>38</v>
      </c>
      <c r="N916" s="1" t="s">
        <v>21</v>
      </c>
      <c r="O916" s="1" t="s">
        <v>6</v>
      </c>
      <c r="P916" s="1" t="s">
        <v>7</v>
      </c>
      <c r="Q916" s="6">
        <f>C916+0</f>
        <v>40580</v>
      </c>
    </row>
    <row r="917" spans="1:17" ht="15.75" x14ac:dyDescent="0.3">
      <c r="A917" s="1">
        <v>6503</v>
      </c>
      <c r="B917" s="2">
        <v>46307</v>
      </c>
      <c r="C917" s="3">
        <f>DATE(2012,12,31)-694</f>
        <v>40580</v>
      </c>
      <c r="D917" s="1" t="s">
        <v>12</v>
      </c>
      <c r="E917" s="2">
        <v>27</v>
      </c>
      <c r="F917" s="2">
        <v>1217.77</v>
      </c>
      <c r="G917" s="2">
        <v>0.01</v>
      </c>
      <c r="H917" s="2"/>
      <c r="I917" s="4">
        <v>283.14</v>
      </c>
      <c r="J917" s="5">
        <v>42.76</v>
      </c>
      <c r="K917" s="5">
        <v>6.22</v>
      </c>
      <c r="L917" s="1" t="s">
        <v>5</v>
      </c>
      <c r="M917" s="1" t="s">
        <v>38</v>
      </c>
      <c r="N917" s="1" t="s">
        <v>21</v>
      </c>
      <c r="O917" s="1" t="s">
        <v>6</v>
      </c>
      <c r="P917" s="1" t="s">
        <v>7</v>
      </c>
      <c r="Q917" s="6">
        <f>C917+3</f>
        <v>40583</v>
      </c>
    </row>
    <row r="918" spans="1:17" ht="15.75" x14ac:dyDescent="0.3">
      <c r="A918" s="1">
        <v>6524</v>
      </c>
      <c r="B918" s="2">
        <v>46434</v>
      </c>
      <c r="C918" s="3">
        <f>DATE(2012,12,31)-1005</f>
        <v>40269</v>
      </c>
      <c r="D918" s="1" t="s">
        <v>0</v>
      </c>
      <c r="E918" s="2">
        <v>34</v>
      </c>
      <c r="F918" s="2">
        <v>800.39</v>
      </c>
      <c r="G918" s="2">
        <v>0.06</v>
      </c>
      <c r="H918" s="2">
        <v>0.39</v>
      </c>
      <c r="I918" s="4">
        <v>270.29149999999998</v>
      </c>
      <c r="J918" s="5">
        <v>24.95</v>
      </c>
      <c r="K918" s="5">
        <v>2.99</v>
      </c>
      <c r="L918" s="1" t="s">
        <v>5</v>
      </c>
      <c r="M918" s="1" t="s">
        <v>38</v>
      </c>
      <c r="N918" s="1" t="s">
        <v>21</v>
      </c>
      <c r="O918" s="1" t="s">
        <v>6</v>
      </c>
      <c r="P918" s="1" t="s">
        <v>7</v>
      </c>
      <c r="Q918" s="6">
        <f>C918+1</f>
        <v>40270</v>
      </c>
    </row>
    <row r="919" spans="1:17" ht="15.75" x14ac:dyDescent="0.3">
      <c r="A919" s="1">
        <v>6527</v>
      </c>
      <c r="B919" s="2">
        <v>46466</v>
      </c>
      <c r="C919" s="3">
        <f>DATE(2012,12,31)-314</f>
        <v>40960</v>
      </c>
      <c r="D919" s="1" t="s">
        <v>12</v>
      </c>
      <c r="E919" s="2">
        <v>7</v>
      </c>
      <c r="F919" s="2">
        <v>271.27</v>
      </c>
      <c r="G919" s="2">
        <v>0.05</v>
      </c>
      <c r="H919" s="2">
        <v>0.67</v>
      </c>
      <c r="I919" s="4">
        <v>71.31</v>
      </c>
      <c r="J919" s="5">
        <v>37.93</v>
      </c>
      <c r="K919" s="5">
        <v>13.99</v>
      </c>
      <c r="L919" s="1" t="s">
        <v>5</v>
      </c>
      <c r="M919" s="1" t="s">
        <v>38</v>
      </c>
      <c r="N919" s="1" t="s">
        <v>15</v>
      </c>
      <c r="O919" s="1" t="s">
        <v>3</v>
      </c>
      <c r="P919" s="1" t="s">
        <v>14</v>
      </c>
      <c r="Q919" s="6">
        <f>C919+1</f>
        <v>40961</v>
      </c>
    </row>
    <row r="920" spans="1:17" ht="15.75" x14ac:dyDescent="0.3">
      <c r="A920" s="1">
        <v>6538</v>
      </c>
      <c r="B920" s="2">
        <v>46528</v>
      </c>
      <c r="C920" s="3">
        <f>DATE(2012,12,31)-1121</f>
        <v>40153</v>
      </c>
      <c r="D920" s="1" t="s">
        <v>12</v>
      </c>
      <c r="E920" s="2">
        <v>43</v>
      </c>
      <c r="F920" s="2">
        <v>2980.15</v>
      </c>
      <c r="G920" s="2">
        <v>0.05</v>
      </c>
      <c r="H920" s="2">
        <v>0.78</v>
      </c>
      <c r="I920" s="4">
        <v>-865.98</v>
      </c>
      <c r="J920" s="5">
        <v>70.709999999999994</v>
      </c>
      <c r="K920" s="5">
        <v>37.58</v>
      </c>
      <c r="L920" s="1" t="s">
        <v>9</v>
      </c>
      <c r="M920" s="1" t="s">
        <v>38</v>
      </c>
      <c r="N920" s="1" t="s">
        <v>15</v>
      </c>
      <c r="O920" s="1" t="s">
        <v>3</v>
      </c>
      <c r="P920" s="1" t="s">
        <v>14</v>
      </c>
      <c r="Q920" s="6">
        <f>C920+2</f>
        <v>40155</v>
      </c>
    </row>
    <row r="921" spans="1:17" ht="15.75" x14ac:dyDescent="0.3">
      <c r="A921" s="1">
        <v>6539</v>
      </c>
      <c r="B921" s="2">
        <v>46528</v>
      </c>
      <c r="C921" s="3">
        <f>DATE(2012,12,31)-1121</f>
        <v>40153</v>
      </c>
      <c r="D921" s="1" t="s">
        <v>12</v>
      </c>
      <c r="E921" s="2">
        <v>23</v>
      </c>
      <c r="F921" s="2">
        <v>476.04</v>
      </c>
      <c r="G921" s="2">
        <v>0.01</v>
      </c>
      <c r="H921" s="2">
        <v>0.37</v>
      </c>
      <c r="I921" s="4">
        <v>57.25</v>
      </c>
      <c r="J921" s="5">
        <v>18.97</v>
      </c>
      <c r="K921" s="5">
        <v>9.5399999999999991</v>
      </c>
      <c r="L921" s="1" t="s">
        <v>5</v>
      </c>
      <c r="M921" s="1" t="s">
        <v>38</v>
      </c>
      <c r="N921" s="1" t="s">
        <v>15</v>
      </c>
      <c r="O921" s="1" t="s">
        <v>6</v>
      </c>
      <c r="P921" s="1" t="s">
        <v>7</v>
      </c>
      <c r="Q921" s="6">
        <f>C921+3</f>
        <v>40156</v>
      </c>
    </row>
    <row r="922" spans="1:17" ht="15.75" x14ac:dyDescent="0.3">
      <c r="A922" s="1">
        <v>6558</v>
      </c>
      <c r="B922" s="2">
        <v>46626</v>
      </c>
      <c r="C922" s="3">
        <f>DATE(2012,12,31)-187</f>
        <v>41087</v>
      </c>
      <c r="D922" s="1" t="s">
        <v>16</v>
      </c>
      <c r="E922" s="2">
        <v>8</v>
      </c>
      <c r="F922" s="2">
        <v>825.96</v>
      </c>
      <c r="G922" s="2">
        <v>0.01</v>
      </c>
      <c r="H922" s="2">
        <v>0.57999999999999996</v>
      </c>
      <c r="I922" s="4">
        <v>-276.95</v>
      </c>
      <c r="J922" s="5">
        <v>95.98</v>
      </c>
      <c r="K922" s="5">
        <v>58.2</v>
      </c>
      <c r="L922" s="1" t="s">
        <v>1</v>
      </c>
      <c r="M922" s="1" t="s">
        <v>38</v>
      </c>
      <c r="N922" s="1" t="s">
        <v>15</v>
      </c>
      <c r="O922" s="1" t="s">
        <v>3</v>
      </c>
      <c r="P922" s="1" t="s">
        <v>4</v>
      </c>
      <c r="Q922" s="6">
        <f>C922+4</f>
        <v>41091</v>
      </c>
    </row>
    <row r="923" spans="1:17" ht="15.75" x14ac:dyDescent="0.3">
      <c r="A923" s="1">
        <v>6581</v>
      </c>
      <c r="B923" s="2">
        <v>46853</v>
      </c>
      <c r="C923" s="3">
        <f>DATE(2012,12,31)-1319</f>
        <v>39955</v>
      </c>
      <c r="D923" s="1" t="s">
        <v>16</v>
      </c>
      <c r="E923" s="2">
        <v>22</v>
      </c>
      <c r="F923" s="2">
        <v>5648.69</v>
      </c>
      <c r="G923" s="2">
        <v>0.03</v>
      </c>
      <c r="H923" s="2">
        <v>0.51</v>
      </c>
      <c r="I923" s="4">
        <v>1489.8</v>
      </c>
      <c r="J923" s="5">
        <v>256.99</v>
      </c>
      <c r="K923" s="5">
        <v>11.25</v>
      </c>
      <c r="L923" s="1" t="s">
        <v>5</v>
      </c>
      <c r="M923" s="1" t="s">
        <v>38</v>
      </c>
      <c r="N923" s="1" t="s">
        <v>15</v>
      </c>
      <c r="O923" s="1" t="s">
        <v>11</v>
      </c>
      <c r="P923" s="1" t="s">
        <v>7</v>
      </c>
      <c r="Q923" s="6">
        <f>C923+0</f>
        <v>39955</v>
      </c>
    </row>
    <row r="924" spans="1:17" ht="15.75" x14ac:dyDescent="0.3">
      <c r="A924" s="1">
        <v>6582</v>
      </c>
      <c r="B924" s="2">
        <v>46855</v>
      </c>
      <c r="C924" s="3">
        <f>DATE(2012,12,31)-1032</f>
        <v>40242</v>
      </c>
      <c r="D924" s="1" t="s">
        <v>17</v>
      </c>
      <c r="E924" s="2">
        <v>32</v>
      </c>
      <c r="F924" s="2">
        <v>53.34</v>
      </c>
      <c r="G924" s="2">
        <v>0.04</v>
      </c>
      <c r="H924" s="2">
        <v>0.68</v>
      </c>
      <c r="I924" s="4">
        <v>-4.68</v>
      </c>
      <c r="J924" s="5">
        <v>1.68</v>
      </c>
      <c r="K924" s="5">
        <v>0.7</v>
      </c>
      <c r="L924" s="1" t="s">
        <v>5</v>
      </c>
      <c r="M924" s="1" t="s">
        <v>38</v>
      </c>
      <c r="N924" s="1" t="s">
        <v>2</v>
      </c>
      <c r="O924" s="1" t="s">
        <v>3</v>
      </c>
      <c r="P924" s="1" t="s">
        <v>14</v>
      </c>
      <c r="Q924" s="6">
        <f>C924+1</f>
        <v>40243</v>
      </c>
    </row>
    <row r="925" spans="1:17" ht="15.75" x14ac:dyDescent="0.3">
      <c r="A925" s="1">
        <v>6595</v>
      </c>
      <c r="B925" s="2">
        <v>46919</v>
      </c>
      <c r="C925" s="3">
        <f>DATE(2012,12,31)-1292</f>
        <v>39982</v>
      </c>
      <c r="D925" s="1" t="s">
        <v>16</v>
      </c>
      <c r="E925" s="2">
        <v>31</v>
      </c>
      <c r="F925" s="2">
        <v>4483.92</v>
      </c>
      <c r="G925" s="2">
        <v>7.0000000000000007E-2</v>
      </c>
      <c r="H925" s="2">
        <v>0.74</v>
      </c>
      <c r="I925" s="4">
        <v>174.61</v>
      </c>
      <c r="J925" s="5">
        <v>152.47999999999999</v>
      </c>
      <c r="K925" s="5">
        <v>6.5</v>
      </c>
      <c r="L925" s="1" t="s">
        <v>5</v>
      </c>
      <c r="M925" s="1" t="s">
        <v>38</v>
      </c>
      <c r="N925" s="1" t="s">
        <v>13</v>
      </c>
      <c r="O925" s="1" t="s">
        <v>11</v>
      </c>
      <c r="P925" s="1" t="s">
        <v>7</v>
      </c>
      <c r="Q925" s="6">
        <f>C925+2</f>
        <v>39984</v>
      </c>
    </row>
    <row r="926" spans="1:17" ht="15.75" x14ac:dyDescent="0.3">
      <c r="A926" s="1">
        <v>6599</v>
      </c>
      <c r="B926" s="2">
        <v>46977</v>
      </c>
      <c r="C926" s="3">
        <f>DATE(2012,12,31)-238</f>
        <v>41036</v>
      </c>
      <c r="D926" s="1" t="s">
        <v>12</v>
      </c>
      <c r="E926" s="2">
        <v>10</v>
      </c>
      <c r="F926" s="2">
        <v>50.42</v>
      </c>
      <c r="G926" s="2">
        <v>0.06</v>
      </c>
      <c r="H926" s="2">
        <v>0.36</v>
      </c>
      <c r="I926" s="4">
        <v>7.2504999999999997</v>
      </c>
      <c r="J926" s="5">
        <v>4.82</v>
      </c>
      <c r="K926" s="5">
        <v>1.49</v>
      </c>
      <c r="L926" s="1" t="s">
        <v>5</v>
      </c>
      <c r="M926" s="1" t="s">
        <v>38</v>
      </c>
      <c r="N926" s="1" t="s">
        <v>21</v>
      </c>
      <c r="O926" s="1" t="s">
        <v>6</v>
      </c>
      <c r="P926" s="1" t="s">
        <v>7</v>
      </c>
      <c r="Q926" s="6">
        <f>C926+2</f>
        <v>41038</v>
      </c>
    </row>
    <row r="927" spans="1:17" ht="15.75" x14ac:dyDescent="0.3">
      <c r="A927" s="1">
        <v>6600</v>
      </c>
      <c r="B927" s="2">
        <v>46977</v>
      </c>
      <c r="C927" s="3">
        <f>DATE(2012,12,31)-238</f>
        <v>41036</v>
      </c>
      <c r="D927" s="1" t="s">
        <v>12</v>
      </c>
      <c r="E927" s="2">
        <v>19</v>
      </c>
      <c r="F927" s="2">
        <v>2980.3719999999998</v>
      </c>
      <c r="G927" s="2">
        <v>0.02</v>
      </c>
      <c r="H927" s="2">
        <v>0.56999999999999995</v>
      </c>
      <c r="I927" s="4">
        <v>494.63100000000003</v>
      </c>
      <c r="J927" s="5">
        <v>175.99</v>
      </c>
      <c r="K927" s="5">
        <v>8.99</v>
      </c>
      <c r="L927" s="1" t="s">
        <v>5</v>
      </c>
      <c r="M927" s="1" t="s">
        <v>38</v>
      </c>
      <c r="N927" s="1" t="s">
        <v>21</v>
      </c>
      <c r="O927" s="1" t="s">
        <v>11</v>
      </c>
      <c r="P927" s="1" t="s">
        <v>7</v>
      </c>
      <c r="Q927" s="6">
        <f>C927+2</f>
        <v>41038</v>
      </c>
    </row>
    <row r="928" spans="1:17" ht="15.75" x14ac:dyDescent="0.3">
      <c r="A928" s="1">
        <v>6612</v>
      </c>
      <c r="B928" s="2">
        <v>47041</v>
      </c>
      <c r="C928" s="3">
        <f>DATE(2012,12,31)-274</f>
        <v>41000</v>
      </c>
      <c r="D928" s="1" t="s">
        <v>8</v>
      </c>
      <c r="E928" s="2">
        <v>35</v>
      </c>
      <c r="F928" s="2">
        <v>154</v>
      </c>
      <c r="G928" s="2">
        <v>0.08</v>
      </c>
      <c r="H928" s="2">
        <v>0.52</v>
      </c>
      <c r="I928" s="4">
        <v>-7.08</v>
      </c>
      <c r="J928" s="5">
        <v>4.63</v>
      </c>
      <c r="K928" s="5">
        <v>1.93</v>
      </c>
      <c r="L928" s="1" t="s">
        <v>5</v>
      </c>
      <c r="M928" s="1" t="s">
        <v>38</v>
      </c>
      <c r="N928" s="1" t="s">
        <v>15</v>
      </c>
      <c r="O928" s="1" t="s">
        <v>6</v>
      </c>
      <c r="P928" s="1" t="s">
        <v>14</v>
      </c>
      <c r="Q928" s="6">
        <f>C928+2</f>
        <v>41002</v>
      </c>
    </row>
    <row r="929" spans="1:17" ht="15.75" x14ac:dyDescent="0.3">
      <c r="A929" s="1">
        <v>6650</v>
      </c>
      <c r="B929" s="2">
        <v>47301</v>
      </c>
      <c r="C929" s="3">
        <f>DATE(2012,12,31)-533</f>
        <v>40741</v>
      </c>
      <c r="D929" s="1" t="s">
        <v>16</v>
      </c>
      <c r="E929" s="2">
        <v>6</v>
      </c>
      <c r="F929" s="2">
        <v>460.71</v>
      </c>
      <c r="G929" s="2">
        <v>0.02</v>
      </c>
      <c r="H929" s="2">
        <v>0.8</v>
      </c>
      <c r="I929" s="4">
        <v>-231.95</v>
      </c>
      <c r="J929" s="5">
        <v>70.98</v>
      </c>
      <c r="K929" s="5">
        <v>35</v>
      </c>
      <c r="L929" s="1" t="s">
        <v>5</v>
      </c>
      <c r="M929" s="1" t="s">
        <v>38</v>
      </c>
      <c r="N929" s="1" t="s">
        <v>21</v>
      </c>
      <c r="O929" s="1" t="s">
        <v>6</v>
      </c>
      <c r="P929" s="1" t="s">
        <v>10</v>
      </c>
      <c r="Q929" s="6">
        <f>C929+5</f>
        <v>40746</v>
      </c>
    </row>
    <row r="930" spans="1:17" ht="15.75" x14ac:dyDescent="0.3">
      <c r="A930" s="1">
        <v>6701</v>
      </c>
      <c r="B930" s="2">
        <v>47714</v>
      </c>
      <c r="C930" s="3">
        <f>DATE(2012,12,31)-662</f>
        <v>40612</v>
      </c>
      <c r="D930" s="1" t="s">
        <v>12</v>
      </c>
      <c r="E930" s="2">
        <v>29</v>
      </c>
      <c r="F930" s="2">
        <v>2946.05</v>
      </c>
      <c r="G930" s="2">
        <v>0.06</v>
      </c>
      <c r="H930" s="2">
        <v>0.75</v>
      </c>
      <c r="I930" s="4">
        <v>-690.21</v>
      </c>
      <c r="J930" s="5">
        <v>105.49</v>
      </c>
      <c r="K930" s="5">
        <v>41.64</v>
      </c>
      <c r="L930" s="1" t="s">
        <v>1</v>
      </c>
      <c r="M930" s="1" t="s">
        <v>38</v>
      </c>
      <c r="N930" s="1" t="s">
        <v>2</v>
      </c>
      <c r="O930" s="1" t="s">
        <v>3</v>
      </c>
      <c r="P930" s="1" t="s">
        <v>19</v>
      </c>
      <c r="Q930" s="6">
        <f>C930+1</f>
        <v>40613</v>
      </c>
    </row>
    <row r="931" spans="1:17" ht="15.75" x14ac:dyDescent="0.3">
      <c r="A931" s="1">
        <v>6742</v>
      </c>
      <c r="B931" s="2">
        <v>48003</v>
      </c>
      <c r="C931" s="3">
        <f>DATE(2012,12,31)-340</f>
        <v>40934</v>
      </c>
      <c r="D931" s="1" t="s">
        <v>12</v>
      </c>
      <c r="E931" s="2">
        <v>30</v>
      </c>
      <c r="F931" s="2">
        <v>183.33</v>
      </c>
      <c r="G931" s="2">
        <v>0.05</v>
      </c>
      <c r="H931" s="2">
        <v>0.75</v>
      </c>
      <c r="I931" s="4">
        <v>-106.54</v>
      </c>
      <c r="J931" s="5">
        <v>5.98</v>
      </c>
      <c r="K931" s="5">
        <v>4.38</v>
      </c>
      <c r="L931" s="1" t="s">
        <v>5</v>
      </c>
      <c r="M931" s="1" t="s">
        <v>38</v>
      </c>
      <c r="N931" s="1" t="s">
        <v>21</v>
      </c>
      <c r="O931" s="1" t="s">
        <v>11</v>
      </c>
      <c r="P931" s="1" t="s">
        <v>20</v>
      </c>
      <c r="Q931" s="6">
        <f>C931+2</f>
        <v>40936</v>
      </c>
    </row>
    <row r="932" spans="1:17" ht="15.75" x14ac:dyDescent="0.3">
      <c r="A932" s="1">
        <v>6743</v>
      </c>
      <c r="B932" s="2">
        <v>48003</v>
      </c>
      <c r="C932" s="3">
        <f>DATE(2012,12,31)-340</f>
        <v>40934</v>
      </c>
      <c r="D932" s="1" t="s">
        <v>12</v>
      </c>
      <c r="E932" s="2">
        <v>12</v>
      </c>
      <c r="F932" s="2">
        <v>88.06</v>
      </c>
      <c r="G932" s="2">
        <v>0.04</v>
      </c>
      <c r="H932" s="2">
        <v>0.44</v>
      </c>
      <c r="I932" s="4">
        <v>-69.05</v>
      </c>
      <c r="J932" s="5">
        <v>6.48</v>
      </c>
      <c r="K932" s="5">
        <v>9.68</v>
      </c>
      <c r="L932" s="1" t="s">
        <v>5</v>
      </c>
      <c r="M932" s="1" t="s">
        <v>38</v>
      </c>
      <c r="N932" s="1" t="s">
        <v>21</v>
      </c>
      <c r="O932" s="1" t="s">
        <v>3</v>
      </c>
      <c r="P932" s="1" t="s">
        <v>20</v>
      </c>
      <c r="Q932" s="6">
        <f>C932+2</f>
        <v>40936</v>
      </c>
    </row>
    <row r="933" spans="1:17" ht="15.75" x14ac:dyDescent="0.3">
      <c r="A933" s="1">
        <v>6766</v>
      </c>
      <c r="B933" s="2">
        <v>48195</v>
      </c>
      <c r="C933" s="3">
        <f>DATE(2012,12,31)-765</f>
        <v>40509</v>
      </c>
      <c r="D933" s="1" t="s">
        <v>8</v>
      </c>
      <c r="E933" s="2">
        <v>35</v>
      </c>
      <c r="F933" s="2">
        <v>3337.5164999999997</v>
      </c>
      <c r="G933" s="2">
        <v>7.0000000000000007E-2</v>
      </c>
      <c r="H933" s="2">
        <v>0.56999999999999995</v>
      </c>
      <c r="I933" s="4">
        <v>850.53599999999994</v>
      </c>
      <c r="J933" s="5">
        <v>115.99</v>
      </c>
      <c r="K933" s="5">
        <v>2.5</v>
      </c>
      <c r="L933" s="1" t="s">
        <v>5</v>
      </c>
      <c r="M933" s="1" t="s">
        <v>38</v>
      </c>
      <c r="N933" s="1" t="s">
        <v>2</v>
      </c>
      <c r="O933" s="1" t="s">
        <v>11</v>
      </c>
      <c r="P933" s="1" t="s">
        <v>7</v>
      </c>
      <c r="Q933" s="6">
        <f>C933+1</f>
        <v>40510</v>
      </c>
    </row>
    <row r="934" spans="1:17" ht="15.75" x14ac:dyDescent="0.3">
      <c r="A934" s="1">
        <v>6767</v>
      </c>
      <c r="B934" s="2">
        <v>48195</v>
      </c>
      <c r="C934" s="3">
        <f>DATE(2012,12,31)-765</f>
        <v>40509</v>
      </c>
      <c r="D934" s="1" t="s">
        <v>8</v>
      </c>
      <c r="E934" s="2">
        <v>35</v>
      </c>
      <c r="F934" s="2">
        <v>1018.4019999999999</v>
      </c>
      <c r="G934" s="2">
        <v>0.09</v>
      </c>
      <c r="H934" s="2">
        <v>0.38</v>
      </c>
      <c r="I934" s="4">
        <v>296.86500000000001</v>
      </c>
      <c r="J934" s="5">
        <v>35.99</v>
      </c>
      <c r="K934" s="5">
        <v>5.99</v>
      </c>
      <c r="L934" s="1" t="s">
        <v>5</v>
      </c>
      <c r="M934" s="1" t="s">
        <v>38</v>
      </c>
      <c r="N934" s="1" t="s">
        <v>2</v>
      </c>
      <c r="O934" s="1" t="s">
        <v>11</v>
      </c>
      <c r="P934" s="1" t="s">
        <v>14</v>
      </c>
      <c r="Q934" s="6">
        <f>C934+0</f>
        <v>40509</v>
      </c>
    </row>
    <row r="935" spans="1:17" ht="15.75" x14ac:dyDescent="0.3">
      <c r="A935" s="1">
        <v>6768</v>
      </c>
      <c r="B935" s="2">
        <v>48195</v>
      </c>
      <c r="C935" s="3">
        <f>DATE(2012,12,31)-765</f>
        <v>40509</v>
      </c>
      <c r="D935" s="1" t="s">
        <v>8</v>
      </c>
      <c r="E935" s="2">
        <v>47</v>
      </c>
      <c r="F935" s="2">
        <v>2679.1234999999997</v>
      </c>
      <c r="G935" s="2">
        <v>0.01</v>
      </c>
      <c r="H935" s="2">
        <v>0.59</v>
      </c>
      <c r="I935" s="4">
        <v>47.277000000000001</v>
      </c>
      <c r="J935" s="5">
        <v>65.989999999999995</v>
      </c>
      <c r="K935" s="5">
        <v>19.989999999999998</v>
      </c>
      <c r="L935" s="1" t="s">
        <v>5</v>
      </c>
      <c r="M935" s="1" t="s">
        <v>38</v>
      </c>
      <c r="N935" s="1" t="s">
        <v>2</v>
      </c>
      <c r="O935" s="1" t="s">
        <v>11</v>
      </c>
      <c r="P935" s="1" t="s">
        <v>7</v>
      </c>
      <c r="Q935" s="6">
        <f>C935+1</f>
        <v>40510</v>
      </c>
    </row>
    <row r="936" spans="1:17" ht="15.75" x14ac:dyDescent="0.3">
      <c r="A936" s="1">
        <v>6789</v>
      </c>
      <c r="B936" s="2">
        <v>48357</v>
      </c>
      <c r="C936" s="3">
        <f>DATE(2012,12,31)-1374</f>
        <v>39900</v>
      </c>
      <c r="D936" s="1" t="s">
        <v>8</v>
      </c>
      <c r="E936" s="2">
        <v>16</v>
      </c>
      <c r="F936" s="2">
        <v>2365.4299999999998</v>
      </c>
      <c r="G936" s="2">
        <v>0.04</v>
      </c>
      <c r="H936" s="2">
        <v>0.38</v>
      </c>
      <c r="I936" s="4">
        <v>619.71</v>
      </c>
      <c r="J936" s="5">
        <v>150.97999999999999</v>
      </c>
      <c r="K936" s="5">
        <v>13.99</v>
      </c>
      <c r="L936" s="1" t="s">
        <v>5</v>
      </c>
      <c r="M936" s="1" t="s">
        <v>38</v>
      </c>
      <c r="N936" s="1" t="s">
        <v>21</v>
      </c>
      <c r="O936" s="1" t="s">
        <v>11</v>
      </c>
      <c r="P936" s="1" t="s">
        <v>18</v>
      </c>
      <c r="Q936" s="6">
        <f>C936+0</f>
        <v>39900</v>
      </c>
    </row>
    <row r="937" spans="1:17" ht="15.75" x14ac:dyDescent="0.3">
      <c r="A937" s="1">
        <v>6826</v>
      </c>
      <c r="B937" s="2">
        <v>48615</v>
      </c>
      <c r="C937" s="3">
        <f>DATE(2012,12,31)-28</f>
        <v>41246</v>
      </c>
      <c r="D937" s="1" t="s">
        <v>16</v>
      </c>
      <c r="E937" s="2">
        <v>4</v>
      </c>
      <c r="F937" s="2">
        <v>16.91</v>
      </c>
      <c r="G937" s="2">
        <v>0.08</v>
      </c>
      <c r="H937" s="2">
        <v>0.39</v>
      </c>
      <c r="I937" s="4">
        <v>0.21000000000000085</v>
      </c>
      <c r="J937" s="5">
        <v>4.13</v>
      </c>
      <c r="K937" s="5">
        <v>0.5</v>
      </c>
      <c r="L937" s="1" t="s">
        <v>5</v>
      </c>
      <c r="M937" s="1" t="s">
        <v>38</v>
      </c>
      <c r="N937" s="1" t="s">
        <v>2</v>
      </c>
      <c r="O937" s="1" t="s">
        <v>6</v>
      </c>
      <c r="P937" s="1" t="s">
        <v>7</v>
      </c>
      <c r="Q937" s="6">
        <f>C937+4</f>
        <v>41250</v>
      </c>
    </row>
    <row r="938" spans="1:17" ht="15.75" x14ac:dyDescent="0.3">
      <c r="A938" s="1">
        <v>6827</v>
      </c>
      <c r="B938" s="2">
        <v>48615</v>
      </c>
      <c r="C938" s="3">
        <f>DATE(2012,12,31)-28</f>
        <v>41246</v>
      </c>
      <c r="D938" s="1" t="s">
        <v>16</v>
      </c>
      <c r="E938" s="2">
        <v>8</v>
      </c>
      <c r="F938" s="2">
        <v>464.66</v>
      </c>
      <c r="G938" s="2">
        <v>0.04</v>
      </c>
      <c r="H938" s="2">
        <v>0.54</v>
      </c>
      <c r="I938" s="4">
        <v>219.02</v>
      </c>
      <c r="J938" s="5">
        <v>54.74</v>
      </c>
      <c r="K938" s="5">
        <v>14.83</v>
      </c>
      <c r="L938" s="1" t="s">
        <v>5</v>
      </c>
      <c r="M938" s="1" t="s">
        <v>38</v>
      </c>
      <c r="N938" s="1" t="s">
        <v>2</v>
      </c>
      <c r="O938" s="1" t="s">
        <v>3</v>
      </c>
      <c r="P938" s="1" t="s">
        <v>7</v>
      </c>
      <c r="Q938" s="6">
        <f>C938+5</f>
        <v>41251</v>
      </c>
    </row>
    <row r="939" spans="1:17" ht="15.75" x14ac:dyDescent="0.3">
      <c r="A939" s="1">
        <v>6831</v>
      </c>
      <c r="B939" s="2">
        <v>48642</v>
      </c>
      <c r="C939" s="3">
        <f>DATE(2012,12,31)-1064</f>
        <v>40210</v>
      </c>
      <c r="D939" s="1" t="s">
        <v>17</v>
      </c>
      <c r="E939" s="2">
        <v>4</v>
      </c>
      <c r="F939" s="2">
        <v>37.729999999999997</v>
      </c>
      <c r="G939" s="2">
        <v>0.06</v>
      </c>
      <c r="H939" s="2">
        <v>0.57999999999999996</v>
      </c>
      <c r="I939" s="4">
        <v>-13.72</v>
      </c>
      <c r="J939" s="5">
        <v>8.67</v>
      </c>
      <c r="K939" s="5">
        <v>3.5</v>
      </c>
      <c r="L939" s="1" t="s">
        <v>5</v>
      </c>
      <c r="M939" s="1" t="s">
        <v>38</v>
      </c>
      <c r="N939" s="1" t="s">
        <v>15</v>
      </c>
      <c r="O939" s="1" t="s">
        <v>6</v>
      </c>
      <c r="P939" s="1" t="s">
        <v>7</v>
      </c>
      <c r="Q939" s="6">
        <f>C939+2</f>
        <v>40212</v>
      </c>
    </row>
    <row r="940" spans="1:17" ht="15.75" x14ac:dyDescent="0.3">
      <c r="A940" s="1">
        <v>6832</v>
      </c>
      <c r="B940" s="2">
        <v>48642</v>
      </c>
      <c r="C940" s="3">
        <f>DATE(2012,12,31)-1064</f>
        <v>40210</v>
      </c>
      <c r="D940" s="1" t="s">
        <v>17</v>
      </c>
      <c r="E940" s="2">
        <v>5</v>
      </c>
      <c r="F940" s="2">
        <v>519.69000000000005</v>
      </c>
      <c r="G940" s="2">
        <v>0.02</v>
      </c>
      <c r="H940" s="2">
        <v>0.4</v>
      </c>
      <c r="I940" s="4">
        <v>-122.09</v>
      </c>
      <c r="J940" s="5">
        <v>100.98</v>
      </c>
      <c r="K940" s="5">
        <v>7.18</v>
      </c>
      <c r="L940" s="1" t="s">
        <v>9</v>
      </c>
      <c r="M940" s="1" t="s">
        <v>38</v>
      </c>
      <c r="N940" s="1" t="s">
        <v>15</v>
      </c>
      <c r="O940" s="1" t="s">
        <v>11</v>
      </c>
      <c r="P940" s="1" t="s">
        <v>7</v>
      </c>
      <c r="Q940" s="6">
        <f>C940+1</f>
        <v>40211</v>
      </c>
    </row>
    <row r="941" spans="1:17" ht="15.75" x14ac:dyDescent="0.3">
      <c r="A941" s="1">
        <v>6842</v>
      </c>
      <c r="B941" s="2">
        <v>48710</v>
      </c>
      <c r="C941" s="3">
        <f>DATE(2012,12,31)-1132</f>
        <v>40142</v>
      </c>
      <c r="D941" s="1" t="s">
        <v>12</v>
      </c>
      <c r="E941" s="2">
        <v>4</v>
      </c>
      <c r="F941" s="2">
        <v>29.24</v>
      </c>
      <c r="G941" s="2">
        <v>0.01</v>
      </c>
      <c r="H941" s="2">
        <v>0.38</v>
      </c>
      <c r="I941" s="4">
        <v>-1.73</v>
      </c>
      <c r="J941" s="5">
        <v>6.98</v>
      </c>
      <c r="K941" s="5">
        <v>1.6</v>
      </c>
      <c r="L941" s="1" t="s">
        <v>5</v>
      </c>
      <c r="M941" s="1" t="s">
        <v>38</v>
      </c>
      <c r="N941" s="1" t="s">
        <v>15</v>
      </c>
      <c r="O941" s="1" t="s">
        <v>6</v>
      </c>
      <c r="P941" s="1" t="s">
        <v>14</v>
      </c>
      <c r="Q941" s="6">
        <f>C941+1</f>
        <v>40143</v>
      </c>
    </row>
    <row r="942" spans="1:17" ht="15.75" x14ac:dyDescent="0.3">
      <c r="A942" s="1">
        <v>6888</v>
      </c>
      <c r="B942" s="2">
        <v>49094</v>
      </c>
      <c r="C942" s="3">
        <f>DATE(2012,12,31)-119</f>
        <v>41155</v>
      </c>
      <c r="D942" s="1" t="s">
        <v>0</v>
      </c>
      <c r="E942" s="2">
        <v>31</v>
      </c>
      <c r="F942" s="2">
        <v>846.85</v>
      </c>
      <c r="G942" s="2">
        <v>0.03</v>
      </c>
      <c r="H942" s="2">
        <v>0.75</v>
      </c>
      <c r="I942" s="4">
        <v>-25.98</v>
      </c>
      <c r="J942" s="5">
        <v>27.48</v>
      </c>
      <c r="K942" s="5">
        <v>4</v>
      </c>
      <c r="L942" s="1" t="s">
        <v>5</v>
      </c>
      <c r="M942" s="1" t="s">
        <v>38</v>
      </c>
      <c r="N942" s="1" t="s">
        <v>21</v>
      </c>
      <c r="O942" s="1" t="s">
        <v>11</v>
      </c>
      <c r="P942" s="1" t="s">
        <v>7</v>
      </c>
      <c r="Q942" s="6">
        <f>C942+2</f>
        <v>41157</v>
      </c>
    </row>
    <row r="943" spans="1:17" ht="15.75" x14ac:dyDescent="0.3">
      <c r="A943" s="1">
        <v>6891</v>
      </c>
      <c r="B943" s="2">
        <v>49125</v>
      </c>
      <c r="C943" s="3">
        <f>DATE(2012,12,31)-1373</f>
        <v>39901</v>
      </c>
      <c r="D943" s="1" t="s">
        <v>8</v>
      </c>
      <c r="E943" s="2">
        <v>29</v>
      </c>
      <c r="F943" s="2">
        <v>177.41</v>
      </c>
      <c r="G943" s="2">
        <v>0.05</v>
      </c>
      <c r="H943" s="2">
        <v>0.36</v>
      </c>
      <c r="I943" s="4">
        <v>-116.05</v>
      </c>
      <c r="J943" s="5">
        <v>5.78</v>
      </c>
      <c r="K943" s="5">
        <v>7.64</v>
      </c>
      <c r="L943" s="1" t="s">
        <v>9</v>
      </c>
      <c r="M943" s="1" t="s">
        <v>38</v>
      </c>
      <c r="N943" s="1" t="s">
        <v>2</v>
      </c>
      <c r="O943" s="1" t="s">
        <v>6</v>
      </c>
      <c r="P943" s="1" t="s">
        <v>7</v>
      </c>
      <c r="Q943" s="6">
        <f>C943+2</f>
        <v>39903</v>
      </c>
    </row>
    <row r="944" spans="1:17" ht="15.75" x14ac:dyDescent="0.3">
      <c r="A944" s="1">
        <v>6898</v>
      </c>
      <c r="B944" s="2">
        <v>49216</v>
      </c>
      <c r="C944" s="3">
        <f>DATE(2012,12,31)-1383</f>
        <v>39891</v>
      </c>
      <c r="D944" s="1" t="s">
        <v>17</v>
      </c>
      <c r="E944" s="2">
        <v>28</v>
      </c>
      <c r="F944" s="2">
        <v>96.71</v>
      </c>
      <c r="G944" s="2">
        <v>0.01</v>
      </c>
      <c r="H944" s="2">
        <v>0.56000000000000005</v>
      </c>
      <c r="I944" s="4">
        <v>-72.44</v>
      </c>
      <c r="J944" s="5">
        <v>3.28</v>
      </c>
      <c r="K944" s="5">
        <v>3.97</v>
      </c>
      <c r="L944" s="1" t="s">
        <v>5</v>
      </c>
      <c r="M944" s="1" t="s">
        <v>38</v>
      </c>
      <c r="N944" s="1" t="s">
        <v>15</v>
      </c>
      <c r="O944" s="1" t="s">
        <v>6</v>
      </c>
      <c r="P944" s="1" t="s">
        <v>14</v>
      </c>
      <c r="Q944" s="6">
        <f>C944+0</f>
        <v>39891</v>
      </c>
    </row>
    <row r="945" spans="1:17" ht="15.75" x14ac:dyDescent="0.3">
      <c r="A945" s="1">
        <v>6940</v>
      </c>
      <c r="B945" s="2">
        <v>49538</v>
      </c>
      <c r="C945" s="3">
        <f>DATE(2012,12,31)-1020</f>
        <v>40254</v>
      </c>
      <c r="D945" s="1" t="s">
        <v>16</v>
      </c>
      <c r="E945" s="2">
        <v>29</v>
      </c>
      <c r="F945" s="2">
        <v>730.51</v>
      </c>
      <c r="G945" s="2">
        <v>0.08</v>
      </c>
      <c r="H945" s="2">
        <v>0.62</v>
      </c>
      <c r="I945" s="4">
        <v>217.57</v>
      </c>
      <c r="J945" s="5">
        <v>26.38</v>
      </c>
      <c r="K945" s="5">
        <v>5.58</v>
      </c>
      <c r="L945" s="1" t="s">
        <v>5</v>
      </c>
      <c r="M945" s="1" t="s">
        <v>38</v>
      </c>
      <c r="N945" s="1" t="s">
        <v>21</v>
      </c>
      <c r="O945" s="1" t="s">
        <v>3</v>
      </c>
      <c r="P945" s="1" t="s">
        <v>4</v>
      </c>
      <c r="Q945" s="6">
        <f>C945+4</f>
        <v>40258</v>
      </c>
    </row>
    <row r="946" spans="1:17" ht="15.75" x14ac:dyDescent="0.3">
      <c r="A946" s="1">
        <v>6953</v>
      </c>
      <c r="B946" s="2">
        <v>49730</v>
      </c>
      <c r="C946" s="3">
        <f>DATE(2012,12,31)-1457</f>
        <v>39817</v>
      </c>
      <c r="D946" s="1" t="s">
        <v>17</v>
      </c>
      <c r="E946" s="2">
        <v>3</v>
      </c>
      <c r="F946" s="2">
        <v>1039.56</v>
      </c>
      <c r="G946" s="2">
        <v>0.06</v>
      </c>
      <c r="H946" s="2">
        <v>0.61</v>
      </c>
      <c r="I946" s="4">
        <v>-394.69</v>
      </c>
      <c r="J946" s="5">
        <v>350.98</v>
      </c>
      <c r="K946" s="5">
        <v>30</v>
      </c>
      <c r="L946" s="1" t="s">
        <v>1</v>
      </c>
      <c r="M946" s="1" t="s">
        <v>38</v>
      </c>
      <c r="N946" s="1" t="s">
        <v>15</v>
      </c>
      <c r="O946" s="1" t="s">
        <v>3</v>
      </c>
      <c r="P946" s="1" t="s">
        <v>4</v>
      </c>
      <c r="Q946" s="6">
        <f>C946+1</f>
        <v>39818</v>
      </c>
    </row>
    <row r="947" spans="1:17" ht="15.75" x14ac:dyDescent="0.3">
      <c r="A947" s="1">
        <v>6985</v>
      </c>
      <c r="B947" s="2">
        <v>49924</v>
      </c>
      <c r="C947" s="3">
        <f>DATE(2012,12,31)-586</f>
        <v>40688</v>
      </c>
      <c r="D947" s="1" t="s">
        <v>0</v>
      </c>
      <c r="E947" s="2">
        <v>48</v>
      </c>
      <c r="F947" s="2">
        <v>204.15</v>
      </c>
      <c r="G947" s="2">
        <v>7.0000000000000007E-2</v>
      </c>
      <c r="H947" s="2">
        <v>0.35</v>
      </c>
      <c r="I947" s="4">
        <v>-155.52600000000001</v>
      </c>
      <c r="J947" s="5">
        <v>4.24</v>
      </c>
      <c r="K947" s="5">
        <v>5.41</v>
      </c>
      <c r="L947" s="1" t="s">
        <v>5</v>
      </c>
      <c r="M947" s="1" t="s">
        <v>38</v>
      </c>
      <c r="N947" s="1" t="s">
        <v>15</v>
      </c>
      <c r="O947" s="1" t="s">
        <v>6</v>
      </c>
      <c r="P947" s="1" t="s">
        <v>7</v>
      </c>
      <c r="Q947" s="6">
        <f>C947+2</f>
        <v>40690</v>
      </c>
    </row>
    <row r="948" spans="1:17" ht="15.75" x14ac:dyDescent="0.3">
      <c r="A948" s="1">
        <v>6986</v>
      </c>
      <c r="B948" s="2">
        <v>49924</v>
      </c>
      <c r="C948" s="3">
        <f>DATE(2012,12,31)-586</f>
        <v>40688</v>
      </c>
      <c r="D948" s="1" t="s">
        <v>0</v>
      </c>
      <c r="E948" s="2">
        <v>13</v>
      </c>
      <c r="F948" s="2">
        <v>33.11</v>
      </c>
      <c r="G948" s="2">
        <v>0.08</v>
      </c>
      <c r="H948" s="2">
        <v>0.41</v>
      </c>
      <c r="I948" s="4">
        <v>-35.96</v>
      </c>
      <c r="J948" s="5">
        <v>2.23</v>
      </c>
      <c r="K948" s="5">
        <v>4.57</v>
      </c>
      <c r="L948" s="1" t="s">
        <v>5</v>
      </c>
      <c r="M948" s="1" t="s">
        <v>38</v>
      </c>
      <c r="N948" s="1" t="s">
        <v>15</v>
      </c>
      <c r="O948" s="1" t="s">
        <v>3</v>
      </c>
      <c r="P948" s="1" t="s">
        <v>20</v>
      </c>
      <c r="Q948" s="6">
        <f>C948+2</f>
        <v>40690</v>
      </c>
    </row>
    <row r="949" spans="1:17" ht="15.75" x14ac:dyDescent="0.3">
      <c r="A949" s="1">
        <v>7046</v>
      </c>
      <c r="B949" s="2">
        <v>50306</v>
      </c>
      <c r="C949" s="3">
        <f>DATE(2012,12,31)-591</f>
        <v>40683</v>
      </c>
      <c r="D949" s="1" t="s">
        <v>12</v>
      </c>
      <c r="E949" s="2">
        <v>34</v>
      </c>
      <c r="F949" s="2">
        <v>2010.89</v>
      </c>
      <c r="G949" s="2">
        <v>0.09</v>
      </c>
      <c r="H949" s="2">
        <v>0.38</v>
      </c>
      <c r="I949" s="4">
        <v>564.06849999999997</v>
      </c>
      <c r="J949" s="5">
        <v>63.98</v>
      </c>
      <c r="K949" s="5">
        <v>11.55</v>
      </c>
      <c r="L949" s="1" t="s">
        <v>5</v>
      </c>
      <c r="M949" s="1" t="s">
        <v>38</v>
      </c>
      <c r="N949" s="1" t="s">
        <v>13</v>
      </c>
      <c r="O949" s="1" t="s">
        <v>6</v>
      </c>
      <c r="P949" s="1" t="s">
        <v>7</v>
      </c>
      <c r="Q949" s="6">
        <f>C949+2</f>
        <v>40685</v>
      </c>
    </row>
    <row r="950" spans="1:17" ht="15.75" x14ac:dyDescent="0.3">
      <c r="A950" s="1">
        <v>7088</v>
      </c>
      <c r="B950" s="2">
        <v>50566</v>
      </c>
      <c r="C950" s="3">
        <f>DATE(2012,12,31)-481</f>
        <v>40793</v>
      </c>
      <c r="D950" s="1" t="s">
        <v>8</v>
      </c>
      <c r="E950" s="2">
        <v>48</v>
      </c>
      <c r="F950" s="2">
        <v>389.28</v>
      </c>
      <c r="G950" s="2">
        <v>0.1</v>
      </c>
      <c r="H950" s="2">
        <v>0.57999999999999996</v>
      </c>
      <c r="I950" s="4">
        <v>-37.43</v>
      </c>
      <c r="J950" s="5">
        <v>8.67</v>
      </c>
      <c r="K950" s="5">
        <v>3.5</v>
      </c>
      <c r="L950" s="1" t="s">
        <v>5</v>
      </c>
      <c r="M950" s="1" t="s">
        <v>38</v>
      </c>
      <c r="N950" s="1" t="s">
        <v>2</v>
      </c>
      <c r="O950" s="1" t="s">
        <v>6</v>
      </c>
      <c r="P950" s="1" t="s">
        <v>7</v>
      </c>
      <c r="Q950" s="6">
        <f>C950+2</f>
        <v>40795</v>
      </c>
    </row>
    <row r="951" spans="1:17" ht="15.75" x14ac:dyDescent="0.3">
      <c r="A951" s="1">
        <v>7126</v>
      </c>
      <c r="B951" s="2">
        <v>50823</v>
      </c>
      <c r="C951" s="3">
        <f>DATE(2012,12,31)-1259</f>
        <v>40015</v>
      </c>
      <c r="D951" s="1" t="s">
        <v>16</v>
      </c>
      <c r="E951" s="2">
        <v>12</v>
      </c>
      <c r="F951" s="2">
        <v>1244.72</v>
      </c>
      <c r="G951" s="2">
        <v>0.04</v>
      </c>
      <c r="H951" s="2">
        <v>0.4</v>
      </c>
      <c r="I951" s="4">
        <v>269.94</v>
      </c>
      <c r="J951" s="5">
        <v>100.98</v>
      </c>
      <c r="K951" s="5">
        <v>7.18</v>
      </c>
      <c r="L951" s="1" t="s">
        <v>5</v>
      </c>
      <c r="M951" s="1" t="s">
        <v>38</v>
      </c>
      <c r="N951" s="1" t="s">
        <v>15</v>
      </c>
      <c r="O951" s="1" t="s">
        <v>11</v>
      </c>
      <c r="P951" s="1" t="s">
        <v>7</v>
      </c>
      <c r="Q951" s="6">
        <f>C951+5</f>
        <v>40020</v>
      </c>
    </row>
    <row r="952" spans="1:17" ht="15.75" x14ac:dyDescent="0.3">
      <c r="A952" s="1">
        <v>7131</v>
      </c>
      <c r="B952" s="2">
        <v>50854</v>
      </c>
      <c r="C952" s="3">
        <f>DATE(2012,12,31)-380</f>
        <v>40894</v>
      </c>
      <c r="D952" s="1" t="s">
        <v>0</v>
      </c>
      <c r="E952" s="2">
        <v>27</v>
      </c>
      <c r="F952" s="2">
        <v>137.5</v>
      </c>
      <c r="G952" s="2">
        <v>7.0000000000000007E-2</v>
      </c>
      <c r="H952" s="2">
        <v>0.37</v>
      </c>
      <c r="I952" s="4">
        <v>-64.239000000000004</v>
      </c>
      <c r="J952" s="5">
        <v>4.9800000000000004</v>
      </c>
      <c r="K952" s="5">
        <v>4.95</v>
      </c>
      <c r="L952" s="1" t="s">
        <v>5</v>
      </c>
      <c r="M952" s="1" t="s">
        <v>38</v>
      </c>
      <c r="N952" s="1" t="s">
        <v>2</v>
      </c>
      <c r="O952" s="1" t="s">
        <v>6</v>
      </c>
      <c r="P952" s="1" t="s">
        <v>7</v>
      </c>
      <c r="Q952" s="6">
        <f>C952+0</f>
        <v>40894</v>
      </c>
    </row>
    <row r="953" spans="1:17" ht="15.75" x14ac:dyDescent="0.3">
      <c r="A953" s="1">
        <v>7132</v>
      </c>
      <c r="B953" s="2">
        <v>50854</v>
      </c>
      <c r="C953" s="3">
        <f>DATE(2012,12,31)-380</f>
        <v>40894</v>
      </c>
      <c r="D953" s="1" t="s">
        <v>0</v>
      </c>
      <c r="E953" s="2">
        <v>12</v>
      </c>
      <c r="F953" s="2">
        <v>5744.24</v>
      </c>
      <c r="G953" s="2">
        <v>0.09</v>
      </c>
      <c r="H953" s="2">
        <v>0.38</v>
      </c>
      <c r="I953" s="4">
        <v>1118.17</v>
      </c>
      <c r="J953" s="5">
        <v>500.98</v>
      </c>
      <c r="K953" s="5">
        <v>28.14</v>
      </c>
      <c r="L953" s="1" t="s">
        <v>1</v>
      </c>
      <c r="M953" s="1" t="s">
        <v>38</v>
      </c>
      <c r="N953" s="1" t="s">
        <v>2</v>
      </c>
      <c r="O953" s="1" t="s">
        <v>11</v>
      </c>
      <c r="P953" s="1" t="s">
        <v>4</v>
      </c>
      <c r="Q953" s="6">
        <f>C953+2</f>
        <v>40896</v>
      </c>
    </row>
    <row r="954" spans="1:17" ht="15.75" x14ac:dyDescent="0.3">
      <c r="A954" s="1">
        <v>7133</v>
      </c>
      <c r="B954" s="2">
        <v>50854</v>
      </c>
      <c r="C954" s="3">
        <f>DATE(2012,12,31)-380</f>
        <v>40894</v>
      </c>
      <c r="D954" s="1" t="s">
        <v>0</v>
      </c>
      <c r="E954" s="2">
        <v>42</v>
      </c>
      <c r="F954" s="2">
        <v>452.15</v>
      </c>
      <c r="G954" s="2">
        <v>0.06</v>
      </c>
      <c r="H954" s="2">
        <v>0.56999999999999995</v>
      </c>
      <c r="I954" s="4">
        <v>25.79</v>
      </c>
      <c r="J954" s="5">
        <v>10.98</v>
      </c>
      <c r="K954" s="5">
        <v>3.37</v>
      </c>
      <c r="L954" s="1" t="s">
        <v>9</v>
      </c>
      <c r="M954" s="1" t="s">
        <v>38</v>
      </c>
      <c r="N954" s="1" t="s">
        <v>2</v>
      </c>
      <c r="O954" s="1" t="s">
        <v>6</v>
      </c>
      <c r="P954" s="1" t="s">
        <v>20</v>
      </c>
      <c r="Q954" s="6">
        <f>C954+0</f>
        <v>40894</v>
      </c>
    </row>
    <row r="955" spans="1:17" ht="15.75" x14ac:dyDescent="0.3">
      <c r="A955" s="1">
        <v>7163</v>
      </c>
      <c r="B955" s="2">
        <v>51109</v>
      </c>
      <c r="C955" s="3">
        <f>DATE(2012,12,31)-53</f>
        <v>41221</v>
      </c>
      <c r="D955" s="1" t="s">
        <v>17</v>
      </c>
      <c r="E955" s="2">
        <v>28</v>
      </c>
      <c r="F955" s="2">
        <v>112.05</v>
      </c>
      <c r="G955" s="2">
        <v>0.04</v>
      </c>
      <c r="H955" s="2">
        <v>0.37</v>
      </c>
      <c r="I955" s="4">
        <v>26.21</v>
      </c>
      <c r="J955" s="5">
        <v>4</v>
      </c>
      <c r="K955" s="5">
        <v>1.3</v>
      </c>
      <c r="L955" s="1" t="s">
        <v>5</v>
      </c>
      <c r="M955" s="1" t="s">
        <v>38</v>
      </c>
      <c r="N955" s="1" t="s">
        <v>15</v>
      </c>
      <c r="O955" s="1" t="s">
        <v>6</v>
      </c>
      <c r="P955" s="1" t="s">
        <v>14</v>
      </c>
      <c r="Q955" s="6">
        <f>C955+2</f>
        <v>41223</v>
      </c>
    </row>
    <row r="956" spans="1:17" ht="15.75" x14ac:dyDescent="0.3">
      <c r="A956" s="1">
        <v>7204</v>
      </c>
      <c r="B956" s="2">
        <v>51395</v>
      </c>
      <c r="C956" s="3">
        <f>DATE(2012,12,31)-936</f>
        <v>40338</v>
      </c>
      <c r="D956" s="1" t="s">
        <v>16</v>
      </c>
      <c r="E956" s="2">
        <v>26</v>
      </c>
      <c r="F956" s="2">
        <v>78.22</v>
      </c>
      <c r="G956" s="2">
        <v>0.03</v>
      </c>
      <c r="H956" s="2">
        <v>0.36</v>
      </c>
      <c r="I956" s="4">
        <v>32.5</v>
      </c>
      <c r="J956" s="5">
        <v>2.88</v>
      </c>
      <c r="K956" s="5">
        <v>0.5</v>
      </c>
      <c r="L956" s="1" t="s">
        <v>5</v>
      </c>
      <c r="M956" s="1" t="s">
        <v>38</v>
      </c>
      <c r="N956" s="1" t="s">
        <v>2</v>
      </c>
      <c r="O956" s="1" t="s">
        <v>6</v>
      </c>
      <c r="P956" s="1" t="s">
        <v>7</v>
      </c>
      <c r="Q956" s="6">
        <f>C956+5</f>
        <v>40343</v>
      </c>
    </row>
    <row r="957" spans="1:17" ht="15.75" x14ac:dyDescent="0.3">
      <c r="A957" s="1">
        <v>7205</v>
      </c>
      <c r="B957" s="2">
        <v>51395</v>
      </c>
      <c r="C957" s="3">
        <f>DATE(2012,12,31)-936</f>
        <v>40338</v>
      </c>
      <c r="D957" s="1" t="s">
        <v>16</v>
      </c>
      <c r="E957" s="2">
        <v>10</v>
      </c>
      <c r="F957" s="2">
        <v>51.65</v>
      </c>
      <c r="G957" s="2">
        <v>0.1</v>
      </c>
      <c r="H957" s="2">
        <v>0.38</v>
      </c>
      <c r="I957" s="4">
        <v>-32.130000000000003</v>
      </c>
      <c r="J957" s="5">
        <v>4.9800000000000004</v>
      </c>
      <c r="K957" s="5">
        <v>5.49</v>
      </c>
      <c r="L957" s="1" t="s">
        <v>5</v>
      </c>
      <c r="M957" s="1" t="s">
        <v>38</v>
      </c>
      <c r="N957" s="1" t="s">
        <v>2</v>
      </c>
      <c r="O957" s="1" t="s">
        <v>6</v>
      </c>
      <c r="P957" s="1" t="s">
        <v>7</v>
      </c>
      <c r="Q957" s="6">
        <f>C957+4</f>
        <v>40342</v>
      </c>
    </row>
    <row r="958" spans="1:17" ht="15.75" x14ac:dyDescent="0.3">
      <c r="A958" s="1">
        <v>7234</v>
      </c>
      <c r="B958" s="2">
        <v>51559</v>
      </c>
      <c r="C958" s="3">
        <f>DATE(2012,12,31)-302</f>
        <v>40972</v>
      </c>
      <c r="D958" s="1" t="s">
        <v>16</v>
      </c>
      <c r="E958" s="2">
        <v>34</v>
      </c>
      <c r="F958" s="2">
        <v>823.98</v>
      </c>
      <c r="G958" s="2">
        <v>0.09</v>
      </c>
      <c r="H958" s="2">
        <v>0.56999999999999995</v>
      </c>
      <c r="I958" s="4">
        <v>129.81</v>
      </c>
      <c r="J958" s="5">
        <v>25.98</v>
      </c>
      <c r="K958" s="5">
        <v>4.08</v>
      </c>
      <c r="L958" s="1" t="s">
        <v>5</v>
      </c>
      <c r="M958" s="1" t="s">
        <v>38</v>
      </c>
      <c r="N958" s="1" t="s">
        <v>21</v>
      </c>
      <c r="O958" s="1" t="s">
        <v>6</v>
      </c>
      <c r="P958" s="1" t="s">
        <v>20</v>
      </c>
      <c r="Q958" s="6">
        <f>C958+9</f>
        <v>40981</v>
      </c>
    </row>
    <row r="959" spans="1:17" ht="15.75" x14ac:dyDescent="0.3">
      <c r="A959" s="1">
        <v>7262</v>
      </c>
      <c r="B959" s="2">
        <v>51813</v>
      </c>
      <c r="C959" s="3">
        <f>DATE(2012,12,31)-10</f>
        <v>41264</v>
      </c>
      <c r="D959" s="1" t="s">
        <v>8</v>
      </c>
      <c r="E959" s="2">
        <v>13</v>
      </c>
      <c r="F959" s="2">
        <v>1390.17</v>
      </c>
      <c r="G959" s="2">
        <v>7.0000000000000007E-2</v>
      </c>
      <c r="H959" s="2">
        <v>0.82</v>
      </c>
      <c r="I959" s="4">
        <v>-469.84</v>
      </c>
      <c r="J959" s="5">
        <v>110.98</v>
      </c>
      <c r="K959" s="5">
        <v>35</v>
      </c>
      <c r="L959" s="1" t="s">
        <v>5</v>
      </c>
      <c r="M959" s="1" t="s">
        <v>38</v>
      </c>
      <c r="N959" s="1" t="s">
        <v>2</v>
      </c>
      <c r="O959" s="1" t="s">
        <v>6</v>
      </c>
      <c r="P959" s="1" t="s">
        <v>10</v>
      </c>
      <c r="Q959" s="6">
        <f>C959+2</f>
        <v>41266</v>
      </c>
    </row>
    <row r="960" spans="1:17" ht="15.75" x14ac:dyDescent="0.3">
      <c r="A960" s="1">
        <v>7276</v>
      </c>
      <c r="B960" s="2">
        <v>51937</v>
      </c>
      <c r="C960" s="3">
        <f>DATE(2012,12,31)-1403</f>
        <v>39871</v>
      </c>
      <c r="D960" s="1" t="s">
        <v>17</v>
      </c>
      <c r="E960" s="2">
        <v>39</v>
      </c>
      <c r="F960" s="2">
        <v>11613.13</v>
      </c>
      <c r="G960" s="2">
        <v>0.05</v>
      </c>
      <c r="H960" s="2">
        <v>0.56999999999999995</v>
      </c>
      <c r="I960" s="4">
        <v>2816.21</v>
      </c>
      <c r="J960" s="5">
        <v>294.62</v>
      </c>
      <c r="K960" s="5">
        <v>42.52</v>
      </c>
      <c r="L960" s="1" t="s">
        <v>1</v>
      </c>
      <c r="M960" s="1" t="s">
        <v>38</v>
      </c>
      <c r="N960" s="1" t="s">
        <v>2</v>
      </c>
      <c r="O960" s="1" t="s">
        <v>6</v>
      </c>
      <c r="P960" s="1" t="s">
        <v>4</v>
      </c>
      <c r="Q960" s="6">
        <f>C960+0</f>
        <v>39871</v>
      </c>
    </row>
    <row r="961" spans="1:17" ht="15.75" x14ac:dyDescent="0.3">
      <c r="A961" s="1">
        <v>7307</v>
      </c>
      <c r="B961" s="2">
        <v>52098</v>
      </c>
      <c r="C961" s="3">
        <f>DATE(2012,12,31)-1027</f>
        <v>40247</v>
      </c>
      <c r="D961" s="1" t="s">
        <v>12</v>
      </c>
      <c r="E961" s="2">
        <v>19</v>
      </c>
      <c r="F961" s="2">
        <v>812.06</v>
      </c>
      <c r="G961" s="2">
        <v>0</v>
      </c>
      <c r="H961" s="2">
        <v>0.61</v>
      </c>
      <c r="I961" s="4">
        <v>220.065</v>
      </c>
      <c r="J961" s="5">
        <v>39.06</v>
      </c>
      <c r="K961" s="5">
        <v>10.55</v>
      </c>
      <c r="L961" s="1" t="s">
        <v>5</v>
      </c>
      <c r="M961" s="1" t="s">
        <v>38</v>
      </c>
      <c r="N961" s="1" t="s">
        <v>2</v>
      </c>
      <c r="O961" s="1" t="s">
        <v>3</v>
      </c>
      <c r="P961" s="1" t="s">
        <v>4</v>
      </c>
      <c r="Q961" s="6">
        <f>C961+0</f>
        <v>40247</v>
      </c>
    </row>
    <row r="962" spans="1:17" ht="15.75" x14ac:dyDescent="0.3">
      <c r="A962" s="1">
        <v>7308</v>
      </c>
      <c r="B962" s="2">
        <v>52102</v>
      </c>
      <c r="C962" s="3">
        <f>DATE(2012,12,31)-841</f>
        <v>40433</v>
      </c>
      <c r="D962" s="1" t="s">
        <v>12</v>
      </c>
      <c r="E962" s="2">
        <v>8</v>
      </c>
      <c r="F962" s="2">
        <v>104.27</v>
      </c>
      <c r="G962" s="2">
        <v>0.03</v>
      </c>
      <c r="H962" s="2">
        <v>0.6</v>
      </c>
      <c r="I962" s="4">
        <v>-23.61</v>
      </c>
      <c r="J962" s="5">
        <v>11.97</v>
      </c>
      <c r="K962" s="5">
        <v>5.81</v>
      </c>
      <c r="L962" s="1" t="s">
        <v>5</v>
      </c>
      <c r="M962" s="1" t="s">
        <v>38</v>
      </c>
      <c r="N962" s="1" t="s">
        <v>2</v>
      </c>
      <c r="O962" s="1" t="s">
        <v>6</v>
      </c>
      <c r="P962" s="1" t="s">
        <v>20</v>
      </c>
      <c r="Q962" s="6">
        <f>C962+0</f>
        <v>40433</v>
      </c>
    </row>
    <row r="963" spans="1:17" ht="15.75" x14ac:dyDescent="0.3">
      <c r="A963" s="1">
        <v>7312</v>
      </c>
      <c r="B963" s="2">
        <v>52135</v>
      </c>
      <c r="C963" s="3">
        <f>DATE(2012,12,31)-1013</f>
        <v>40261</v>
      </c>
      <c r="D963" s="1" t="s">
        <v>16</v>
      </c>
      <c r="E963" s="2">
        <v>38</v>
      </c>
      <c r="F963" s="2">
        <v>3922.96</v>
      </c>
      <c r="G963" s="2">
        <v>0.04</v>
      </c>
      <c r="H963" s="2">
        <v>0.5</v>
      </c>
      <c r="I963" s="4">
        <v>863.57</v>
      </c>
      <c r="J963" s="5">
        <v>99.99</v>
      </c>
      <c r="K963" s="5">
        <v>19.989999999999998</v>
      </c>
      <c r="L963" s="1" t="s">
        <v>5</v>
      </c>
      <c r="M963" s="1" t="s">
        <v>38</v>
      </c>
      <c r="N963" s="1" t="s">
        <v>13</v>
      </c>
      <c r="O963" s="1" t="s">
        <v>11</v>
      </c>
      <c r="P963" s="1" t="s">
        <v>7</v>
      </c>
      <c r="Q963" s="6">
        <f>C963+2</f>
        <v>40263</v>
      </c>
    </row>
    <row r="964" spans="1:17" ht="15.75" x14ac:dyDescent="0.3">
      <c r="A964" s="1">
        <v>7315</v>
      </c>
      <c r="B964" s="2">
        <v>52162</v>
      </c>
      <c r="C964" s="3">
        <f>DATE(2012,12,31)-426</f>
        <v>40848</v>
      </c>
      <c r="D964" s="1" t="s">
        <v>8</v>
      </c>
      <c r="E964" s="2">
        <v>39</v>
      </c>
      <c r="F964" s="2">
        <v>261.16000000000003</v>
      </c>
      <c r="G964" s="2">
        <v>7.0000000000000007E-2</v>
      </c>
      <c r="H964" s="2">
        <v>0.56000000000000005</v>
      </c>
      <c r="I964" s="4">
        <v>-220.3</v>
      </c>
      <c r="J964" s="5">
        <v>6.48</v>
      </c>
      <c r="K964" s="5">
        <v>9.68</v>
      </c>
      <c r="L964" s="1" t="s">
        <v>5</v>
      </c>
      <c r="M964" s="1" t="s">
        <v>38</v>
      </c>
      <c r="N964" s="1" t="s">
        <v>15</v>
      </c>
      <c r="O964" s="1" t="s">
        <v>3</v>
      </c>
      <c r="P964" s="1" t="s">
        <v>19</v>
      </c>
      <c r="Q964" s="6">
        <f>C964+0</f>
        <v>40848</v>
      </c>
    </row>
    <row r="965" spans="1:17" ht="15.75" x14ac:dyDescent="0.3">
      <c r="A965" s="1">
        <v>7316</v>
      </c>
      <c r="B965" s="2">
        <v>52162</v>
      </c>
      <c r="C965" s="3">
        <f>DATE(2012,12,31)-426</f>
        <v>40848</v>
      </c>
      <c r="D965" s="1" t="s">
        <v>8</v>
      </c>
      <c r="E965" s="2">
        <v>47</v>
      </c>
      <c r="F965" s="2">
        <v>155.22</v>
      </c>
      <c r="G965" s="2">
        <v>7.0000000000000007E-2</v>
      </c>
      <c r="H965" s="2">
        <v>0.55000000000000004</v>
      </c>
      <c r="I965" s="4">
        <v>23.34</v>
      </c>
      <c r="J965" s="5">
        <v>3.29</v>
      </c>
      <c r="K965" s="5">
        <v>1.35</v>
      </c>
      <c r="L965" s="1" t="s">
        <v>5</v>
      </c>
      <c r="M965" s="1" t="s">
        <v>38</v>
      </c>
      <c r="N965" s="1" t="s">
        <v>15</v>
      </c>
      <c r="O965" s="1" t="s">
        <v>3</v>
      </c>
      <c r="P965" s="1" t="s">
        <v>4</v>
      </c>
      <c r="Q965" s="6">
        <f>C965+1</f>
        <v>40849</v>
      </c>
    </row>
    <row r="966" spans="1:17" ht="15.75" x14ac:dyDescent="0.3">
      <c r="A966" s="1">
        <v>7332</v>
      </c>
      <c r="B966" s="2">
        <v>52256</v>
      </c>
      <c r="C966" s="3">
        <f>DATE(2012,12,31)-788</f>
        <v>40486</v>
      </c>
      <c r="D966" s="1" t="s">
        <v>8</v>
      </c>
      <c r="E966" s="2">
        <v>23</v>
      </c>
      <c r="F966" s="2">
        <v>1236.954</v>
      </c>
      <c r="G966" s="2">
        <v>0.06</v>
      </c>
      <c r="H966" s="2">
        <v>0.59</v>
      </c>
      <c r="I966" s="4">
        <v>119.88900000000001</v>
      </c>
      <c r="J966" s="5">
        <v>65.989999999999995</v>
      </c>
      <c r="K966" s="5">
        <v>4.2</v>
      </c>
      <c r="L966" s="1" t="s">
        <v>5</v>
      </c>
      <c r="M966" s="1" t="s">
        <v>38</v>
      </c>
      <c r="N966" s="1" t="s">
        <v>2</v>
      </c>
      <c r="O966" s="1" t="s">
        <v>11</v>
      </c>
      <c r="P966" s="1" t="s">
        <v>7</v>
      </c>
      <c r="Q966" s="6">
        <f>C966+2</f>
        <v>40488</v>
      </c>
    </row>
    <row r="967" spans="1:17" ht="15.75" x14ac:dyDescent="0.3">
      <c r="A967" s="1">
        <v>7354</v>
      </c>
      <c r="B967" s="2">
        <v>52391</v>
      </c>
      <c r="C967" s="3">
        <f>DATE(2012,12,31)-1115</f>
        <v>40159</v>
      </c>
      <c r="D967" s="1" t="s">
        <v>17</v>
      </c>
      <c r="E967" s="2">
        <v>36</v>
      </c>
      <c r="F967" s="2">
        <v>1072.3599999999999</v>
      </c>
      <c r="G967" s="2">
        <v>0.04</v>
      </c>
      <c r="H967" s="2">
        <v>0.38</v>
      </c>
      <c r="I967" s="4">
        <v>440.48</v>
      </c>
      <c r="J967" s="5">
        <v>29.14</v>
      </c>
      <c r="K967" s="5">
        <v>4.8600000000000003</v>
      </c>
      <c r="L967" s="1" t="s">
        <v>5</v>
      </c>
      <c r="M967" s="1" t="s">
        <v>38</v>
      </c>
      <c r="N967" s="1" t="s">
        <v>2</v>
      </c>
      <c r="O967" s="1" t="s">
        <v>6</v>
      </c>
      <c r="P967" s="1" t="s">
        <v>14</v>
      </c>
      <c r="Q967" s="6">
        <f>C967+2</f>
        <v>40161</v>
      </c>
    </row>
    <row r="968" spans="1:17" ht="15.75" x14ac:dyDescent="0.3">
      <c r="A968" s="1">
        <v>7355</v>
      </c>
      <c r="B968" s="2">
        <v>52391</v>
      </c>
      <c r="C968" s="3">
        <f>DATE(2012,12,31)-1115</f>
        <v>40159</v>
      </c>
      <c r="D968" s="1" t="s">
        <v>17</v>
      </c>
      <c r="E968" s="2">
        <v>39</v>
      </c>
      <c r="F968" s="2">
        <v>857.84</v>
      </c>
      <c r="G968" s="2">
        <v>0.02</v>
      </c>
      <c r="H968" s="2">
        <v>0.83</v>
      </c>
      <c r="I968" s="4">
        <v>-309.43</v>
      </c>
      <c r="J968" s="5">
        <v>20.89</v>
      </c>
      <c r="K968" s="5">
        <v>11.52</v>
      </c>
      <c r="L968" s="1" t="s">
        <v>5</v>
      </c>
      <c r="M968" s="1" t="s">
        <v>38</v>
      </c>
      <c r="N968" s="1" t="s">
        <v>2</v>
      </c>
      <c r="O968" s="1" t="s">
        <v>6</v>
      </c>
      <c r="P968" s="1" t="s">
        <v>7</v>
      </c>
      <c r="Q968" s="6">
        <f>C968+2</f>
        <v>40161</v>
      </c>
    </row>
    <row r="969" spans="1:17" ht="15.75" x14ac:dyDescent="0.3">
      <c r="A969" s="1">
        <v>7384</v>
      </c>
      <c r="B969" s="2">
        <v>52642</v>
      </c>
      <c r="C969" s="3">
        <f>DATE(2012,12,31)-566</f>
        <v>40708</v>
      </c>
      <c r="D969" s="1" t="s">
        <v>16</v>
      </c>
      <c r="E969" s="2">
        <v>9</v>
      </c>
      <c r="F969" s="2">
        <v>742.84</v>
      </c>
      <c r="G969" s="2">
        <v>0.01</v>
      </c>
      <c r="H969" s="2">
        <v>0.6</v>
      </c>
      <c r="I969" s="4">
        <v>-320.7</v>
      </c>
      <c r="J969" s="5">
        <v>70.98</v>
      </c>
      <c r="K969" s="5">
        <v>59.81</v>
      </c>
      <c r="L969" s="1" t="s">
        <v>1</v>
      </c>
      <c r="M969" s="1" t="s">
        <v>38</v>
      </c>
      <c r="N969" s="1" t="s">
        <v>15</v>
      </c>
      <c r="O969" s="1" t="s">
        <v>3</v>
      </c>
      <c r="P969" s="1" t="s">
        <v>4</v>
      </c>
      <c r="Q969" s="6">
        <f>C969+4</f>
        <v>40712</v>
      </c>
    </row>
    <row r="970" spans="1:17" ht="15.75" x14ac:dyDescent="0.3">
      <c r="A970" s="1">
        <v>7385</v>
      </c>
      <c r="B970" s="2">
        <v>52642</v>
      </c>
      <c r="C970" s="3">
        <f>DATE(2012,12,31)-566</f>
        <v>40708</v>
      </c>
      <c r="D970" s="1" t="s">
        <v>16</v>
      </c>
      <c r="E970" s="2">
        <v>14</v>
      </c>
      <c r="F970" s="2">
        <v>2070.6799999999998</v>
      </c>
      <c r="G970" s="2">
        <v>0.03</v>
      </c>
      <c r="H970" s="2">
        <v>0.79</v>
      </c>
      <c r="I970" s="4">
        <v>-281.67</v>
      </c>
      <c r="J970" s="5">
        <v>152.47999999999999</v>
      </c>
      <c r="K970" s="5">
        <v>4</v>
      </c>
      <c r="L970" s="1" t="s">
        <v>5</v>
      </c>
      <c r="M970" s="1" t="s">
        <v>38</v>
      </c>
      <c r="N970" s="1" t="s">
        <v>15</v>
      </c>
      <c r="O970" s="1" t="s">
        <v>11</v>
      </c>
      <c r="P970" s="1" t="s">
        <v>7</v>
      </c>
      <c r="Q970" s="6">
        <f>C970+7</f>
        <v>40715</v>
      </c>
    </row>
    <row r="971" spans="1:17" ht="15.75" x14ac:dyDescent="0.3">
      <c r="A971" s="1">
        <v>7386</v>
      </c>
      <c r="B971" s="2">
        <v>52642</v>
      </c>
      <c r="C971" s="3">
        <f>DATE(2012,12,31)-566</f>
        <v>40708</v>
      </c>
      <c r="D971" s="1" t="s">
        <v>16</v>
      </c>
      <c r="E971" s="2">
        <v>15</v>
      </c>
      <c r="F971" s="2">
        <v>764.13</v>
      </c>
      <c r="G971" s="2">
        <v>0.09</v>
      </c>
      <c r="H971" s="2">
        <v>0.36</v>
      </c>
      <c r="I971" s="4">
        <v>276.98</v>
      </c>
      <c r="J971" s="5">
        <v>55.98</v>
      </c>
      <c r="K971" s="5">
        <v>4.8600000000000003</v>
      </c>
      <c r="L971" s="1" t="s">
        <v>5</v>
      </c>
      <c r="M971" s="1" t="s">
        <v>38</v>
      </c>
      <c r="N971" s="1" t="s">
        <v>15</v>
      </c>
      <c r="O971" s="1" t="s">
        <v>6</v>
      </c>
      <c r="P971" s="1" t="s">
        <v>7</v>
      </c>
      <c r="Q971" s="6">
        <f>C971+7</f>
        <v>40715</v>
      </c>
    </row>
    <row r="972" spans="1:17" ht="15.75" x14ac:dyDescent="0.3">
      <c r="A972" s="1">
        <v>7387</v>
      </c>
      <c r="B972" s="2">
        <v>52645</v>
      </c>
      <c r="C972" s="3">
        <f>DATE(2012,12,31)-299</f>
        <v>40975</v>
      </c>
      <c r="D972" s="1" t="s">
        <v>16</v>
      </c>
      <c r="E972" s="2">
        <v>11</v>
      </c>
      <c r="F972" s="2">
        <v>64.34</v>
      </c>
      <c r="G972" s="2">
        <v>0.09</v>
      </c>
      <c r="H972" s="2">
        <v>0.56000000000000005</v>
      </c>
      <c r="I972" s="4">
        <v>-8.3699999999999992</v>
      </c>
      <c r="J972" s="5">
        <v>5.85</v>
      </c>
      <c r="K972" s="5">
        <v>2.27</v>
      </c>
      <c r="L972" s="1" t="s">
        <v>5</v>
      </c>
      <c r="M972" s="1" t="s">
        <v>38</v>
      </c>
      <c r="N972" s="1" t="s">
        <v>2</v>
      </c>
      <c r="O972" s="1" t="s">
        <v>6</v>
      </c>
      <c r="P972" s="1" t="s">
        <v>14</v>
      </c>
      <c r="Q972" s="6">
        <f>C972+5</f>
        <v>40980</v>
      </c>
    </row>
    <row r="973" spans="1:17" ht="15.75" x14ac:dyDescent="0.3">
      <c r="A973" s="1">
        <v>7388</v>
      </c>
      <c r="B973" s="2">
        <v>52645</v>
      </c>
      <c r="C973" s="3">
        <f>DATE(2012,12,31)-299</f>
        <v>40975</v>
      </c>
      <c r="D973" s="1" t="s">
        <v>16</v>
      </c>
      <c r="E973" s="2">
        <v>10</v>
      </c>
      <c r="F973" s="2">
        <v>693.02</v>
      </c>
      <c r="G973" s="2">
        <v>7.0000000000000007E-2</v>
      </c>
      <c r="H973" s="2">
        <v>0.59</v>
      </c>
      <c r="I973" s="4">
        <v>97.36</v>
      </c>
      <c r="J973" s="5">
        <v>70.97</v>
      </c>
      <c r="K973" s="5">
        <v>3.5</v>
      </c>
      <c r="L973" s="1" t="s">
        <v>5</v>
      </c>
      <c r="M973" s="1" t="s">
        <v>38</v>
      </c>
      <c r="N973" s="1" t="s">
        <v>2</v>
      </c>
      <c r="O973" s="1" t="s">
        <v>6</v>
      </c>
      <c r="P973" s="1" t="s">
        <v>7</v>
      </c>
      <c r="Q973" s="6">
        <f>C973+9</f>
        <v>40984</v>
      </c>
    </row>
    <row r="974" spans="1:17" ht="15.75" x14ac:dyDescent="0.3">
      <c r="A974" s="1">
        <v>7399</v>
      </c>
      <c r="B974" s="2">
        <v>52711</v>
      </c>
      <c r="C974" s="3">
        <f>DATE(2012,12,31)-465</f>
        <v>40809</v>
      </c>
      <c r="D974" s="1" t="s">
        <v>8</v>
      </c>
      <c r="E974" s="2">
        <v>37</v>
      </c>
      <c r="F974" s="2">
        <v>201.14</v>
      </c>
      <c r="G974" s="2">
        <v>0.08</v>
      </c>
      <c r="H974" s="2">
        <v>0.54</v>
      </c>
      <c r="I974" s="4">
        <v>-51.25</v>
      </c>
      <c r="J974" s="5">
        <v>5.81</v>
      </c>
      <c r="K974" s="5">
        <v>3.37</v>
      </c>
      <c r="L974" s="1" t="s">
        <v>5</v>
      </c>
      <c r="M974" s="1" t="s">
        <v>38</v>
      </c>
      <c r="N974" s="1" t="s">
        <v>15</v>
      </c>
      <c r="O974" s="1" t="s">
        <v>6</v>
      </c>
      <c r="P974" s="1" t="s">
        <v>14</v>
      </c>
      <c r="Q974" s="6">
        <f>C974+0</f>
        <v>40809</v>
      </c>
    </row>
    <row r="975" spans="1:17" ht="15.75" x14ac:dyDescent="0.3">
      <c r="A975" s="1">
        <v>7412</v>
      </c>
      <c r="B975" s="2">
        <v>52896</v>
      </c>
      <c r="C975" s="3">
        <f>DATE(2012,12,31)-801</f>
        <v>40473</v>
      </c>
      <c r="D975" s="1" t="s">
        <v>17</v>
      </c>
      <c r="E975" s="2">
        <v>9</v>
      </c>
      <c r="F975" s="2">
        <v>48.26</v>
      </c>
      <c r="G975" s="2">
        <v>0.09</v>
      </c>
      <c r="H975" s="2">
        <v>0.36</v>
      </c>
      <c r="I975" s="4">
        <v>2.76</v>
      </c>
      <c r="J975" s="5">
        <v>5.18</v>
      </c>
      <c r="K975" s="5">
        <v>2.04</v>
      </c>
      <c r="L975" s="1" t="s">
        <v>9</v>
      </c>
      <c r="M975" s="1" t="s">
        <v>38</v>
      </c>
      <c r="N975" s="1" t="s">
        <v>15</v>
      </c>
      <c r="O975" s="1" t="s">
        <v>6</v>
      </c>
      <c r="P975" s="1" t="s">
        <v>14</v>
      </c>
      <c r="Q975" s="6">
        <f>C975+2</f>
        <v>40475</v>
      </c>
    </row>
    <row r="976" spans="1:17" ht="15.75" x14ac:dyDescent="0.3">
      <c r="A976" s="1">
        <v>7413</v>
      </c>
      <c r="B976" s="2">
        <v>52896</v>
      </c>
      <c r="C976" s="3">
        <f>DATE(2012,12,31)-801</f>
        <v>40473</v>
      </c>
      <c r="D976" s="1" t="s">
        <v>17</v>
      </c>
      <c r="E976" s="2">
        <v>6</v>
      </c>
      <c r="F976" s="2">
        <v>1718.43</v>
      </c>
      <c r="G976" s="2">
        <v>0</v>
      </c>
      <c r="H976" s="2">
        <v>0.65</v>
      </c>
      <c r="I976" s="4">
        <v>-192.49199999999999</v>
      </c>
      <c r="J976" s="5">
        <v>259.70999999999998</v>
      </c>
      <c r="K976" s="5">
        <v>66.67</v>
      </c>
      <c r="L976" s="1" t="s">
        <v>1</v>
      </c>
      <c r="M976" s="1" t="s">
        <v>38</v>
      </c>
      <c r="N976" s="1" t="s">
        <v>15</v>
      </c>
      <c r="O976" s="1" t="s">
        <v>3</v>
      </c>
      <c r="P976" s="1" t="s">
        <v>19</v>
      </c>
      <c r="Q976" s="6">
        <f>C976+1</f>
        <v>40474</v>
      </c>
    </row>
    <row r="977" spans="1:17" ht="15.75" x14ac:dyDescent="0.3">
      <c r="A977" s="1">
        <v>7432</v>
      </c>
      <c r="B977" s="2">
        <v>52999</v>
      </c>
      <c r="C977" s="3">
        <f>DATE(2012,12,31)-250</f>
        <v>41024</v>
      </c>
      <c r="D977" s="1" t="s">
        <v>8</v>
      </c>
      <c r="E977" s="2">
        <v>5</v>
      </c>
      <c r="F977" s="2">
        <v>43.61</v>
      </c>
      <c r="G977" s="2">
        <v>0.04</v>
      </c>
      <c r="H977" s="2">
        <v>0.42</v>
      </c>
      <c r="I977" s="4">
        <v>22.85</v>
      </c>
      <c r="J977" s="5">
        <v>7.59</v>
      </c>
      <c r="K977" s="5">
        <v>4</v>
      </c>
      <c r="L977" s="1" t="s">
        <v>9</v>
      </c>
      <c r="M977" s="1" t="s">
        <v>38</v>
      </c>
      <c r="N977" s="1" t="s">
        <v>15</v>
      </c>
      <c r="O977" s="1" t="s">
        <v>3</v>
      </c>
      <c r="P977" s="1" t="s">
        <v>14</v>
      </c>
      <c r="Q977" s="6">
        <f>C977+2</f>
        <v>41026</v>
      </c>
    </row>
    <row r="978" spans="1:17" ht="15.75" x14ac:dyDescent="0.3">
      <c r="A978" s="1">
        <v>7433</v>
      </c>
      <c r="B978" s="2">
        <v>52999</v>
      </c>
      <c r="C978" s="3">
        <f>DATE(2012,12,31)-250</f>
        <v>41024</v>
      </c>
      <c r="D978" s="1" t="s">
        <v>8</v>
      </c>
      <c r="E978" s="2">
        <v>39</v>
      </c>
      <c r="F978" s="2">
        <v>343.05</v>
      </c>
      <c r="G978" s="2">
        <v>0.05</v>
      </c>
      <c r="H978" s="2">
        <v>0.4</v>
      </c>
      <c r="I978" s="4">
        <v>98.86</v>
      </c>
      <c r="J978" s="5">
        <v>9.11</v>
      </c>
      <c r="K978" s="5">
        <v>2.15</v>
      </c>
      <c r="L978" s="1" t="s">
        <v>5</v>
      </c>
      <c r="M978" s="1" t="s">
        <v>38</v>
      </c>
      <c r="N978" s="1" t="s">
        <v>15</v>
      </c>
      <c r="O978" s="1" t="s">
        <v>6</v>
      </c>
      <c r="P978" s="1" t="s">
        <v>14</v>
      </c>
      <c r="Q978" s="6">
        <f>C978+2</f>
        <v>41026</v>
      </c>
    </row>
    <row r="979" spans="1:17" ht="15.75" x14ac:dyDescent="0.3">
      <c r="A979" s="1">
        <v>7434</v>
      </c>
      <c r="B979" s="2">
        <v>52999</v>
      </c>
      <c r="C979" s="3">
        <f>DATE(2012,12,31)-250</f>
        <v>41024</v>
      </c>
      <c r="D979" s="1" t="s">
        <v>8</v>
      </c>
      <c r="E979" s="2">
        <v>7</v>
      </c>
      <c r="F979" s="2">
        <v>44.63</v>
      </c>
      <c r="G979" s="2">
        <v>0.1</v>
      </c>
      <c r="H979" s="2">
        <v>0.36</v>
      </c>
      <c r="I979" s="4">
        <v>-21.19</v>
      </c>
      <c r="J979" s="5">
        <v>5.78</v>
      </c>
      <c r="K979" s="5">
        <v>5.67</v>
      </c>
      <c r="L979" s="1" t="s">
        <v>5</v>
      </c>
      <c r="M979" s="1" t="s">
        <v>38</v>
      </c>
      <c r="N979" s="1" t="s">
        <v>15</v>
      </c>
      <c r="O979" s="1" t="s">
        <v>6</v>
      </c>
      <c r="P979" s="1" t="s">
        <v>7</v>
      </c>
      <c r="Q979" s="6">
        <f>C979+0</f>
        <v>41024</v>
      </c>
    </row>
    <row r="980" spans="1:17" ht="15.75" x14ac:dyDescent="0.3">
      <c r="A980" s="1">
        <v>7463</v>
      </c>
      <c r="B980" s="2">
        <v>53254</v>
      </c>
      <c r="C980" s="3">
        <f>DATE(2012,12,31)-1231</f>
        <v>40043</v>
      </c>
      <c r="D980" s="1" t="s">
        <v>12</v>
      </c>
      <c r="E980" s="2">
        <v>34</v>
      </c>
      <c r="F980" s="2">
        <v>5442.1419999999998</v>
      </c>
      <c r="G980" s="2">
        <v>0</v>
      </c>
      <c r="H980" s="2">
        <v>0.59</v>
      </c>
      <c r="I980" s="4">
        <v>1640.2950000000001</v>
      </c>
      <c r="J980" s="5">
        <v>175.99</v>
      </c>
      <c r="K980" s="5">
        <v>4.99</v>
      </c>
      <c r="L980" s="1" t="s">
        <v>5</v>
      </c>
      <c r="M980" s="1" t="s">
        <v>38</v>
      </c>
      <c r="N980" s="1" t="s">
        <v>15</v>
      </c>
      <c r="O980" s="1" t="s">
        <v>11</v>
      </c>
      <c r="P980" s="1" t="s">
        <v>7</v>
      </c>
      <c r="Q980" s="6">
        <f>C980+3</f>
        <v>40046</v>
      </c>
    </row>
    <row r="981" spans="1:17" ht="15.75" x14ac:dyDescent="0.3">
      <c r="A981" s="1">
        <v>7464</v>
      </c>
      <c r="B981" s="2">
        <v>53281</v>
      </c>
      <c r="C981" s="3">
        <f>DATE(2012,12,31)-1369</f>
        <v>39905</v>
      </c>
      <c r="D981" s="1" t="s">
        <v>0</v>
      </c>
      <c r="E981" s="2">
        <v>40</v>
      </c>
      <c r="F981" s="2">
        <v>14075.99</v>
      </c>
      <c r="G981" s="2">
        <v>0.08</v>
      </c>
      <c r="H981" s="2">
        <v>0.64</v>
      </c>
      <c r="I981" s="4">
        <v>1894.14</v>
      </c>
      <c r="J981" s="5">
        <v>355.98</v>
      </c>
      <c r="K981" s="5">
        <v>58.92</v>
      </c>
      <c r="L981" s="1" t="s">
        <v>1</v>
      </c>
      <c r="M981" s="1" t="s">
        <v>38</v>
      </c>
      <c r="N981" s="1" t="s">
        <v>2</v>
      </c>
      <c r="O981" s="1" t="s">
        <v>3</v>
      </c>
      <c r="P981" s="1" t="s">
        <v>4</v>
      </c>
      <c r="Q981" s="6">
        <f>C981+2</f>
        <v>39907</v>
      </c>
    </row>
    <row r="982" spans="1:17" ht="15.75" x14ac:dyDescent="0.3">
      <c r="A982" s="1">
        <v>7466</v>
      </c>
      <c r="B982" s="2">
        <v>53285</v>
      </c>
      <c r="C982" s="3">
        <f>DATE(2012,12,31)-221</f>
        <v>41053</v>
      </c>
      <c r="D982" s="1" t="s">
        <v>0</v>
      </c>
      <c r="E982" s="2">
        <v>6</v>
      </c>
      <c r="F982" s="2">
        <v>1042.96</v>
      </c>
      <c r="G982" s="2">
        <v>0.04</v>
      </c>
      <c r="H982" s="2">
        <v>0.4</v>
      </c>
      <c r="I982" s="4">
        <v>163.80350000000001</v>
      </c>
      <c r="J982" s="5">
        <v>165.98</v>
      </c>
      <c r="K982" s="5">
        <v>19.989999999999998</v>
      </c>
      <c r="L982" s="1" t="s">
        <v>5</v>
      </c>
      <c r="M982" s="1" t="s">
        <v>38</v>
      </c>
      <c r="N982" s="1" t="s">
        <v>15</v>
      </c>
      <c r="O982" s="1" t="s">
        <v>6</v>
      </c>
      <c r="P982" s="1" t="s">
        <v>7</v>
      </c>
      <c r="Q982" s="6">
        <f>C982+2</f>
        <v>41055</v>
      </c>
    </row>
    <row r="983" spans="1:17" ht="15.75" x14ac:dyDescent="0.3">
      <c r="A983" s="1">
        <v>7467</v>
      </c>
      <c r="B983" s="2">
        <v>53312</v>
      </c>
      <c r="C983" s="3">
        <f>DATE(2012,12,31)-1276</f>
        <v>39998</v>
      </c>
      <c r="D983" s="1" t="s">
        <v>12</v>
      </c>
      <c r="E983" s="2">
        <v>23</v>
      </c>
      <c r="F983" s="2">
        <v>8413.23</v>
      </c>
      <c r="G983" s="2">
        <v>0.05</v>
      </c>
      <c r="H983" s="2">
        <v>0.56999999999999995</v>
      </c>
      <c r="I983" s="4">
        <v>2464.75</v>
      </c>
      <c r="J983" s="5">
        <v>363.25</v>
      </c>
      <c r="K983" s="5">
        <v>19.989999999999998</v>
      </c>
      <c r="L983" s="1" t="s">
        <v>5</v>
      </c>
      <c r="M983" s="1" t="s">
        <v>38</v>
      </c>
      <c r="N983" s="1" t="s">
        <v>15</v>
      </c>
      <c r="O983" s="1" t="s">
        <v>6</v>
      </c>
      <c r="P983" s="1" t="s">
        <v>7</v>
      </c>
      <c r="Q983" s="6">
        <f>C983+2</f>
        <v>40000</v>
      </c>
    </row>
    <row r="984" spans="1:17" ht="15.75" x14ac:dyDescent="0.3">
      <c r="A984" s="1">
        <v>7468</v>
      </c>
      <c r="B984" s="2">
        <v>53312</v>
      </c>
      <c r="C984" s="3">
        <f>DATE(2012,12,31)-1276</f>
        <v>39998</v>
      </c>
      <c r="D984" s="1" t="s">
        <v>12</v>
      </c>
      <c r="E984" s="2">
        <v>30</v>
      </c>
      <c r="F984" s="2">
        <v>105.45</v>
      </c>
      <c r="G984" s="2">
        <v>0.06</v>
      </c>
      <c r="H984" s="2">
        <v>0.54</v>
      </c>
      <c r="I984" s="4">
        <v>-173.36</v>
      </c>
      <c r="J984" s="5">
        <v>3.34</v>
      </c>
      <c r="K984" s="5">
        <v>7.49</v>
      </c>
      <c r="L984" s="1" t="s">
        <v>5</v>
      </c>
      <c r="M984" s="1" t="s">
        <v>38</v>
      </c>
      <c r="N984" s="1" t="s">
        <v>15</v>
      </c>
      <c r="O984" s="1" t="s">
        <v>6</v>
      </c>
      <c r="P984" s="1" t="s">
        <v>14</v>
      </c>
      <c r="Q984" s="6">
        <f>C984+1</f>
        <v>39999</v>
      </c>
    </row>
    <row r="985" spans="1:17" ht="15.75" x14ac:dyDescent="0.3">
      <c r="A985" s="1">
        <v>7514</v>
      </c>
      <c r="B985" s="2">
        <v>53637</v>
      </c>
      <c r="C985" s="3">
        <f>DATE(2012,12,31)-655</f>
        <v>40619</v>
      </c>
      <c r="D985" s="1" t="s">
        <v>17</v>
      </c>
      <c r="E985" s="2">
        <v>12</v>
      </c>
      <c r="F985" s="2">
        <v>451.09</v>
      </c>
      <c r="G985" s="2">
        <v>0.1</v>
      </c>
      <c r="H985" s="2">
        <v>0.4</v>
      </c>
      <c r="I985" s="4">
        <v>61.27</v>
      </c>
      <c r="J985" s="5">
        <v>39.979999999999997</v>
      </c>
      <c r="K985" s="5">
        <v>9.83</v>
      </c>
      <c r="L985" s="1" t="s">
        <v>9</v>
      </c>
      <c r="M985" s="1" t="s">
        <v>38</v>
      </c>
      <c r="N985" s="1" t="s">
        <v>21</v>
      </c>
      <c r="O985" s="1" t="s">
        <v>6</v>
      </c>
      <c r="P985" s="1" t="s">
        <v>7</v>
      </c>
      <c r="Q985" s="6">
        <f>C985+1</f>
        <v>40620</v>
      </c>
    </row>
    <row r="986" spans="1:17" ht="15.75" x14ac:dyDescent="0.3">
      <c r="A986" s="1">
        <v>7521</v>
      </c>
      <c r="B986" s="2">
        <v>53698</v>
      </c>
      <c r="C986" s="3">
        <f>DATE(2012,12,31)-198</f>
        <v>41076</v>
      </c>
      <c r="D986" s="1" t="s">
        <v>12</v>
      </c>
      <c r="E986" s="2">
        <v>10</v>
      </c>
      <c r="F986" s="2">
        <v>55.33</v>
      </c>
      <c r="G986" s="2">
        <v>0</v>
      </c>
      <c r="H986" s="2">
        <v>0.52</v>
      </c>
      <c r="I986" s="4">
        <v>13.38</v>
      </c>
      <c r="J986" s="5">
        <v>4.84</v>
      </c>
      <c r="K986" s="5">
        <v>0.71</v>
      </c>
      <c r="L986" s="1" t="s">
        <v>9</v>
      </c>
      <c r="M986" s="1" t="s">
        <v>38</v>
      </c>
      <c r="N986" s="1" t="s">
        <v>21</v>
      </c>
      <c r="O986" s="1" t="s">
        <v>6</v>
      </c>
      <c r="P986" s="1" t="s">
        <v>14</v>
      </c>
      <c r="Q986" s="6">
        <f>C986+1</f>
        <v>41077</v>
      </c>
    </row>
    <row r="987" spans="1:17" ht="15.75" x14ac:dyDescent="0.3">
      <c r="A987" s="1">
        <v>7577</v>
      </c>
      <c r="B987" s="2">
        <v>54183</v>
      </c>
      <c r="C987" s="3">
        <f>DATE(2012,12,31)-260</f>
        <v>41014</v>
      </c>
      <c r="D987" s="1" t="s">
        <v>0</v>
      </c>
      <c r="E987" s="2">
        <v>32</v>
      </c>
      <c r="F987" s="2">
        <v>2773.71</v>
      </c>
      <c r="G987" s="2">
        <v>0.02</v>
      </c>
      <c r="H987" s="2">
        <v>0.44</v>
      </c>
      <c r="I987" s="4">
        <v>1097.25</v>
      </c>
      <c r="J987" s="5">
        <v>82.99</v>
      </c>
      <c r="K987" s="5">
        <v>5.5</v>
      </c>
      <c r="L987" s="1" t="s">
        <v>9</v>
      </c>
      <c r="M987" s="1" t="s">
        <v>38</v>
      </c>
      <c r="N987" s="1" t="s">
        <v>2</v>
      </c>
      <c r="O987" s="1" t="s">
        <v>11</v>
      </c>
      <c r="P987" s="1" t="s">
        <v>7</v>
      </c>
      <c r="Q987" s="6">
        <f>C987+2</f>
        <v>41016</v>
      </c>
    </row>
    <row r="988" spans="1:17" ht="15.75" x14ac:dyDescent="0.3">
      <c r="A988" s="1">
        <v>7578</v>
      </c>
      <c r="B988" s="2">
        <v>54183</v>
      </c>
      <c r="C988" s="3">
        <f>DATE(2012,12,31)-260</f>
        <v>41014</v>
      </c>
      <c r="D988" s="1" t="s">
        <v>0</v>
      </c>
      <c r="E988" s="2">
        <v>9</v>
      </c>
      <c r="F988" s="2">
        <v>113.89</v>
      </c>
      <c r="G988" s="2">
        <v>0.02</v>
      </c>
      <c r="H988" s="2">
        <v>0.59</v>
      </c>
      <c r="I988" s="4">
        <v>-52.25</v>
      </c>
      <c r="J988" s="5">
        <v>11.66</v>
      </c>
      <c r="K988" s="5">
        <v>8.99</v>
      </c>
      <c r="L988" s="1" t="s">
        <v>5</v>
      </c>
      <c r="M988" s="1" t="s">
        <v>38</v>
      </c>
      <c r="N988" s="1" t="s">
        <v>2</v>
      </c>
      <c r="O988" s="1" t="s">
        <v>6</v>
      </c>
      <c r="P988" s="1" t="s">
        <v>20</v>
      </c>
      <c r="Q988" s="6">
        <f>C988+1</f>
        <v>41015</v>
      </c>
    </row>
    <row r="989" spans="1:17" ht="15.75" x14ac:dyDescent="0.3">
      <c r="A989" s="1">
        <v>7583</v>
      </c>
      <c r="B989" s="2">
        <v>54245</v>
      </c>
      <c r="C989" s="3">
        <f>DATE(2012,12,31)-648</f>
        <v>40626</v>
      </c>
      <c r="D989" s="1" t="s">
        <v>12</v>
      </c>
      <c r="E989" s="2">
        <v>5</v>
      </c>
      <c r="F989" s="2">
        <v>83.3</v>
      </c>
      <c r="G989" s="2">
        <v>0.09</v>
      </c>
      <c r="H989" s="2">
        <v>0.81</v>
      </c>
      <c r="I989" s="4">
        <v>-114.90599999999999</v>
      </c>
      <c r="J989" s="5">
        <v>20.99</v>
      </c>
      <c r="K989" s="5">
        <v>2.5</v>
      </c>
      <c r="L989" s="1" t="s">
        <v>5</v>
      </c>
      <c r="M989" s="1" t="s">
        <v>38</v>
      </c>
      <c r="N989" s="1" t="s">
        <v>2</v>
      </c>
      <c r="O989" s="1" t="s">
        <v>11</v>
      </c>
      <c r="P989" s="1" t="s">
        <v>14</v>
      </c>
      <c r="Q989" s="6">
        <f>C989+1</f>
        <v>40627</v>
      </c>
    </row>
    <row r="990" spans="1:17" ht="15.75" x14ac:dyDescent="0.3">
      <c r="A990" s="1">
        <v>7592</v>
      </c>
      <c r="B990" s="2">
        <v>54339</v>
      </c>
      <c r="C990" s="3">
        <f>DATE(2012,12,31)-243</f>
        <v>41031</v>
      </c>
      <c r="D990" s="1" t="s">
        <v>16</v>
      </c>
      <c r="E990" s="2">
        <v>48</v>
      </c>
      <c r="F990" s="2">
        <v>3005.74</v>
      </c>
      <c r="G990" s="2">
        <v>0.02</v>
      </c>
      <c r="H990" s="2">
        <v>0.56999999999999995</v>
      </c>
      <c r="I990" s="4">
        <v>1053.21</v>
      </c>
      <c r="J990" s="5">
        <v>59.98</v>
      </c>
      <c r="K990" s="5">
        <v>3.99</v>
      </c>
      <c r="L990" s="1" t="s">
        <v>9</v>
      </c>
      <c r="M990" s="1" t="s">
        <v>38</v>
      </c>
      <c r="N990" s="1" t="s">
        <v>2</v>
      </c>
      <c r="O990" s="1" t="s">
        <v>6</v>
      </c>
      <c r="P990" s="1" t="s">
        <v>7</v>
      </c>
      <c r="Q990" s="6">
        <f>C990+7</f>
        <v>41038</v>
      </c>
    </row>
    <row r="991" spans="1:17" ht="15.75" x14ac:dyDescent="0.3">
      <c r="A991" s="1">
        <v>7593</v>
      </c>
      <c r="B991" s="2">
        <v>54339</v>
      </c>
      <c r="C991" s="3">
        <f>DATE(2012,12,31)-243</f>
        <v>41031</v>
      </c>
      <c r="D991" s="1" t="s">
        <v>16</v>
      </c>
      <c r="E991" s="2">
        <v>41</v>
      </c>
      <c r="F991" s="2">
        <v>2209.5155</v>
      </c>
      <c r="G991" s="2">
        <v>0.06</v>
      </c>
      <c r="H991" s="2">
        <v>0.56999999999999995</v>
      </c>
      <c r="I991" s="4">
        <v>458.62199999999996</v>
      </c>
      <c r="J991" s="5">
        <v>65.989999999999995</v>
      </c>
      <c r="K991" s="5">
        <v>5.31</v>
      </c>
      <c r="L991" s="1" t="s">
        <v>5</v>
      </c>
      <c r="M991" s="1" t="s">
        <v>38</v>
      </c>
      <c r="N991" s="1" t="s">
        <v>2</v>
      </c>
      <c r="O991" s="1" t="s">
        <v>11</v>
      </c>
      <c r="P991" s="1" t="s">
        <v>7</v>
      </c>
      <c r="Q991" s="6">
        <f>C991+5</f>
        <v>41036</v>
      </c>
    </row>
    <row r="992" spans="1:17" ht="15.75" x14ac:dyDescent="0.3">
      <c r="A992" s="1">
        <v>7603</v>
      </c>
      <c r="B992" s="2">
        <v>54401</v>
      </c>
      <c r="C992" s="3">
        <f>DATE(2012,12,31)-393</f>
        <v>40881</v>
      </c>
      <c r="D992" s="1" t="s">
        <v>17</v>
      </c>
      <c r="E992" s="2">
        <v>34</v>
      </c>
      <c r="F992" s="2">
        <v>670.02</v>
      </c>
      <c r="G992" s="2">
        <v>7.0000000000000007E-2</v>
      </c>
      <c r="H992" s="2">
        <v>0.35</v>
      </c>
      <c r="I992" s="4">
        <v>278.57900000000001</v>
      </c>
      <c r="J992" s="5">
        <v>20.98</v>
      </c>
      <c r="K992" s="5">
        <v>1.49</v>
      </c>
      <c r="L992" s="1" t="s">
        <v>5</v>
      </c>
      <c r="M992" s="1" t="s">
        <v>38</v>
      </c>
      <c r="N992" s="1" t="s">
        <v>15</v>
      </c>
      <c r="O992" s="1" t="s">
        <v>6</v>
      </c>
      <c r="P992" s="1" t="s">
        <v>7</v>
      </c>
      <c r="Q992" s="6">
        <f>C992+2</f>
        <v>40883</v>
      </c>
    </row>
    <row r="993" spans="1:17" ht="15.75" x14ac:dyDescent="0.3">
      <c r="A993" s="1">
        <v>7626</v>
      </c>
      <c r="B993" s="2">
        <v>54563</v>
      </c>
      <c r="C993" s="3">
        <f>DATE(2012,12,31)-819</f>
        <v>40455</v>
      </c>
      <c r="D993" s="1" t="s">
        <v>0</v>
      </c>
      <c r="E993" s="2">
        <v>24</v>
      </c>
      <c r="F993" s="2">
        <v>523.55999999999995</v>
      </c>
      <c r="G993" s="2">
        <v>0.01</v>
      </c>
      <c r="H993" s="2">
        <v>0.46</v>
      </c>
      <c r="I993" s="4">
        <v>43.87</v>
      </c>
      <c r="J993" s="5">
        <v>20.239999999999998</v>
      </c>
      <c r="K993" s="5">
        <v>8.99</v>
      </c>
      <c r="L993" s="1" t="s">
        <v>5</v>
      </c>
      <c r="M993" s="1" t="s">
        <v>38</v>
      </c>
      <c r="N993" s="1" t="s">
        <v>15</v>
      </c>
      <c r="O993" s="1" t="s">
        <v>3</v>
      </c>
      <c r="P993" s="1" t="s">
        <v>20</v>
      </c>
      <c r="Q993" s="6">
        <f>C993+2</f>
        <v>40457</v>
      </c>
    </row>
    <row r="994" spans="1:17" ht="15.75" x14ac:dyDescent="0.3">
      <c r="A994" s="1">
        <v>7639</v>
      </c>
      <c r="B994" s="2">
        <v>54694</v>
      </c>
      <c r="C994" s="3">
        <f>DATE(2012,12,31)-1199</f>
        <v>40075</v>
      </c>
      <c r="D994" s="1" t="s">
        <v>0</v>
      </c>
      <c r="E994" s="2">
        <v>43</v>
      </c>
      <c r="F994" s="2">
        <v>112.63</v>
      </c>
      <c r="G994" s="2">
        <v>0.08</v>
      </c>
      <c r="H994" s="2">
        <v>0.36</v>
      </c>
      <c r="I994" s="4">
        <v>-201.6</v>
      </c>
      <c r="J994" s="5">
        <v>2.66</v>
      </c>
      <c r="K994" s="5">
        <v>6.35</v>
      </c>
      <c r="L994" s="1" t="s">
        <v>5</v>
      </c>
      <c r="M994" s="1" t="s">
        <v>38</v>
      </c>
      <c r="N994" s="1" t="s">
        <v>21</v>
      </c>
      <c r="O994" s="1" t="s">
        <v>6</v>
      </c>
      <c r="P994" s="1" t="s">
        <v>7</v>
      </c>
      <c r="Q994" s="6">
        <f>C994+0</f>
        <v>40075</v>
      </c>
    </row>
    <row r="995" spans="1:17" ht="15.75" x14ac:dyDescent="0.3">
      <c r="A995" s="1">
        <v>7643</v>
      </c>
      <c r="B995" s="2">
        <v>54755</v>
      </c>
      <c r="C995" s="3">
        <f>DATE(2012,12,31)-1120</f>
        <v>40154</v>
      </c>
      <c r="D995" s="1" t="s">
        <v>0</v>
      </c>
      <c r="E995" s="2">
        <v>44</v>
      </c>
      <c r="F995" s="2">
        <v>3421.88</v>
      </c>
      <c r="G995" s="2">
        <v>0</v>
      </c>
      <c r="H995" s="2">
        <v>0.77</v>
      </c>
      <c r="I995" s="4">
        <v>443.52</v>
      </c>
      <c r="J995" s="5">
        <v>73.98</v>
      </c>
      <c r="K995" s="5">
        <v>4</v>
      </c>
      <c r="L995" s="1" t="s">
        <v>5</v>
      </c>
      <c r="M995" s="1" t="s">
        <v>38</v>
      </c>
      <c r="N995" s="1" t="s">
        <v>15</v>
      </c>
      <c r="O995" s="1" t="s">
        <v>11</v>
      </c>
      <c r="P995" s="1" t="s">
        <v>7</v>
      </c>
      <c r="Q995" s="6">
        <f>C995+3</f>
        <v>40157</v>
      </c>
    </row>
    <row r="996" spans="1:17" ht="15.75" x14ac:dyDescent="0.3">
      <c r="A996" s="1">
        <v>7659</v>
      </c>
      <c r="B996" s="2">
        <v>54914</v>
      </c>
      <c r="C996" s="3">
        <f>DATE(2012,12,31)-491</f>
        <v>40783</v>
      </c>
      <c r="D996" s="1" t="s">
        <v>0</v>
      </c>
      <c r="E996" s="2">
        <v>32</v>
      </c>
      <c r="F996" s="2">
        <v>197.93</v>
      </c>
      <c r="G996" s="2">
        <v>0.06</v>
      </c>
      <c r="H996" s="2">
        <v>0.36</v>
      </c>
      <c r="I996" s="4">
        <v>-57.64</v>
      </c>
      <c r="J996" s="5">
        <v>5.98</v>
      </c>
      <c r="K996" s="5">
        <v>5.46</v>
      </c>
      <c r="L996" s="1" t="s">
        <v>5</v>
      </c>
      <c r="M996" s="1" t="s">
        <v>38</v>
      </c>
      <c r="N996" s="1" t="s">
        <v>13</v>
      </c>
      <c r="O996" s="1" t="s">
        <v>6</v>
      </c>
      <c r="P996" s="1" t="s">
        <v>7</v>
      </c>
      <c r="Q996" s="6">
        <f>C996+1</f>
        <v>40784</v>
      </c>
    </row>
    <row r="997" spans="1:17" ht="15.75" x14ac:dyDescent="0.3">
      <c r="A997" s="1">
        <v>7660</v>
      </c>
      <c r="B997" s="2">
        <v>54914</v>
      </c>
      <c r="C997" s="3">
        <f>DATE(2012,12,31)-491</f>
        <v>40783</v>
      </c>
      <c r="D997" s="1" t="s">
        <v>0</v>
      </c>
      <c r="E997" s="2">
        <v>7</v>
      </c>
      <c r="F997" s="2">
        <v>90.58</v>
      </c>
      <c r="G997" s="2">
        <v>0.06</v>
      </c>
      <c r="H997" s="2">
        <v>0.56999999999999995</v>
      </c>
      <c r="I997" s="4">
        <v>-27.83</v>
      </c>
      <c r="J997" s="5">
        <v>12.44</v>
      </c>
      <c r="K997" s="5">
        <v>6.27</v>
      </c>
      <c r="L997" s="1" t="s">
        <v>5</v>
      </c>
      <c r="M997" s="1" t="s">
        <v>38</v>
      </c>
      <c r="N997" s="1" t="s">
        <v>13</v>
      </c>
      <c r="O997" s="1" t="s">
        <v>6</v>
      </c>
      <c r="P997" s="1" t="s">
        <v>18</v>
      </c>
      <c r="Q997" s="6">
        <f>C997+2</f>
        <v>40785</v>
      </c>
    </row>
    <row r="998" spans="1:17" ht="15.75" x14ac:dyDescent="0.3">
      <c r="A998" s="1">
        <v>7684</v>
      </c>
      <c r="B998" s="2">
        <v>55073</v>
      </c>
      <c r="C998" s="3">
        <f>DATE(2012,12,31)-286</f>
        <v>40988</v>
      </c>
      <c r="D998" s="1" t="s">
        <v>16</v>
      </c>
      <c r="E998" s="2">
        <v>40</v>
      </c>
      <c r="F998" s="2">
        <v>2376.7105000000001</v>
      </c>
      <c r="G998" s="2">
        <v>0.01</v>
      </c>
      <c r="H998" s="2">
        <v>0.56999999999999995</v>
      </c>
      <c r="I998" s="4">
        <v>721.80899999999997</v>
      </c>
      <c r="J998" s="5">
        <v>65.989999999999995</v>
      </c>
      <c r="K998" s="5">
        <v>3.99</v>
      </c>
      <c r="L998" s="1" t="s">
        <v>5</v>
      </c>
      <c r="M998" s="1" t="s">
        <v>38</v>
      </c>
      <c r="N998" s="1" t="s">
        <v>2</v>
      </c>
      <c r="O998" s="1" t="s">
        <v>11</v>
      </c>
      <c r="P998" s="1" t="s">
        <v>7</v>
      </c>
      <c r="Q998" s="6">
        <f>C998+0</f>
        <v>40988</v>
      </c>
    </row>
    <row r="999" spans="1:17" ht="15.75" x14ac:dyDescent="0.3">
      <c r="A999" s="1">
        <v>7712</v>
      </c>
      <c r="B999" s="2">
        <v>55270</v>
      </c>
      <c r="C999" s="3">
        <f>DATE(2012,12,31)-1074</f>
        <v>40200</v>
      </c>
      <c r="D999" s="1" t="s">
        <v>12</v>
      </c>
      <c r="E999" s="2">
        <v>1</v>
      </c>
      <c r="F999" s="2">
        <v>35.14</v>
      </c>
      <c r="G999" s="2">
        <v>0.02</v>
      </c>
      <c r="H999" s="2">
        <v>0.37</v>
      </c>
      <c r="I999" s="4">
        <v>-12.753499999999999</v>
      </c>
      <c r="J999" s="5">
        <v>29.17</v>
      </c>
      <c r="K999" s="5">
        <v>6.27</v>
      </c>
      <c r="L999" s="1" t="s">
        <v>5</v>
      </c>
      <c r="M999" s="1" t="s">
        <v>38</v>
      </c>
      <c r="N999" s="1" t="s">
        <v>15</v>
      </c>
      <c r="O999" s="1" t="s">
        <v>6</v>
      </c>
      <c r="P999" s="1" t="s">
        <v>7</v>
      </c>
      <c r="Q999" s="6">
        <f>C999+1</f>
        <v>40201</v>
      </c>
    </row>
    <row r="1000" spans="1:17" ht="15.75" x14ac:dyDescent="0.3">
      <c r="A1000" s="1">
        <v>7788</v>
      </c>
      <c r="B1000" s="2">
        <v>55716</v>
      </c>
      <c r="C1000" s="3">
        <f>DATE(2012,12,31)-70</f>
        <v>41204</v>
      </c>
      <c r="D1000" s="1" t="s">
        <v>17</v>
      </c>
      <c r="E1000" s="2">
        <v>9</v>
      </c>
      <c r="F1000" s="2">
        <v>14665.55</v>
      </c>
      <c r="G1000" s="2">
        <v>7.0000000000000007E-2</v>
      </c>
      <c r="H1000" s="2">
        <v>0.81</v>
      </c>
      <c r="I1000" s="4">
        <v>-767.51</v>
      </c>
      <c r="J1000" s="5">
        <v>1637.53</v>
      </c>
      <c r="K1000" s="5">
        <v>24.49</v>
      </c>
      <c r="L1000" s="1" t="s">
        <v>5</v>
      </c>
      <c r="M1000" s="1" t="s">
        <v>38</v>
      </c>
      <c r="N1000" s="1" t="s">
        <v>15</v>
      </c>
      <c r="O1000" s="1" t="s">
        <v>6</v>
      </c>
      <c r="P1000" s="1" t="s">
        <v>18</v>
      </c>
      <c r="Q1000" s="6">
        <f>C1000+1</f>
        <v>41205</v>
      </c>
    </row>
    <row r="1001" spans="1:17" ht="15.75" x14ac:dyDescent="0.3">
      <c r="A1001" s="1">
        <v>7795</v>
      </c>
      <c r="B1001" s="2">
        <v>55776</v>
      </c>
      <c r="C1001" s="3">
        <f>DATE(2012,12,31)-1380</f>
        <v>39894</v>
      </c>
      <c r="D1001" s="1" t="s">
        <v>8</v>
      </c>
      <c r="E1001" s="2">
        <v>32</v>
      </c>
      <c r="F1001" s="2">
        <v>4856.1000000000004</v>
      </c>
      <c r="G1001" s="2">
        <v>0.01</v>
      </c>
      <c r="H1001" s="2">
        <v>0.56000000000000005</v>
      </c>
      <c r="I1001" s="4">
        <v>1096.6400000000001</v>
      </c>
      <c r="J1001" s="5">
        <v>145.44999999999999</v>
      </c>
      <c r="K1001" s="5">
        <v>17.850000000000001</v>
      </c>
      <c r="L1001" s="1" t="s">
        <v>1</v>
      </c>
      <c r="M1001" s="1" t="s">
        <v>38</v>
      </c>
      <c r="N1001" s="1" t="s">
        <v>2</v>
      </c>
      <c r="O1001" s="1" t="s">
        <v>11</v>
      </c>
      <c r="P1001" s="1" t="s">
        <v>4</v>
      </c>
      <c r="Q1001" s="6">
        <f>C1001+1</f>
        <v>39895</v>
      </c>
    </row>
    <row r="1002" spans="1:17" ht="15.75" x14ac:dyDescent="0.3">
      <c r="A1002" s="1">
        <v>7810</v>
      </c>
      <c r="B1002" s="2">
        <v>55874</v>
      </c>
      <c r="C1002" s="3">
        <f>DATE(2012,12,31)-1414</f>
        <v>39860</v>
      </c>
      <c r="D1002" s="1" t="s">
        <v>12</v>
      </c>
      <c r="E1002" s="2">
        <v>28</v>
      </c>
      <c r="F1002" s="2">
        <v>208.83</v>
      </c>
      <c r="G1002" s="2">
        <v>0</v>
      </c>
      <c r="H1002" s="2">
        <v>0.39</v>
      </c>
      <c r="I1002" s="4">
        <v>-60.145000000000003</v>
      </c>
      <c r="J1002" s="5">
        <v>7.1</v>
      </c>
      <c r="K1002" s="5">
        <v>6.05</v>
      </c>
      <c r="L1002" s="1" t="s">
        <v>5</v>
      </c>
      <c r="M1002" s="1" t="s">
        <v>38</v>
      </c>
      <c r="N1002" s="1" t="s">
        <v>13</v>
      </c>
      <c r="O1002" s="1" t="s">
        <v>6</v>
      </c>
      <c r="P1002" s="1" t="s">
        <v>7</v>
      </c>
      <c r="Q1002" s="6">
        <f>C1002+1</f>
        <v>39861</v>
      </c>
    </row>
    <row r="1003" spans="1:17" ht="15.75" x14ac:dyDescent="0.3">
      <c r="A1003" s="1">
        <v>7811</v>
      </c>
      <c r="B1003" s="2">
        <v>55874</v>
      </c>
      <c r="C1003" s="3">
        <f>DATE(2012,12,31)-1414</f>
        <v>39860</v>
      </c>
      <c r="D1003" s="1" t="s">
        <v>12</v>
      </c>
      <c r="E1003" s="2">
        <v>41</v>
      </c>
      <c r="F1003" s="2">
        <v>228.3</v>
      </c>
      <c r="G1003" s="2">
        <v>0.01</v>
      </c>
      <c r="H1003" s="2">
        <v>0.64</v>
      </c>
      <c r="I1003" s="4">
        <v>-111.72</v>
      </c>
      <c r="J1003" s="5">
        <v>4.9800000000000004</v>
      </c>
      <c r="K1003" s="5">
        <v>4.62</v>
      </c>
      <c r="L1003" s="1" t="s">
        <v>9</v>
      </c>
      <c r="M1003" s="1" t="s">
        <v>38</v>
      </c>
      <c r="N1003" s="1" t="s">
        <v>13</v>
      </c>
      <c r="O1003" s="1" t="s">
        <v>11</v>
      </c>
      <c r="P1003" s="1" t="s">
        <v>20</v>
      </c>
      <c r="Q1003" s="6">
        <f>C1003+2</f>
        <v>39862</v>
      </c>
    </row>
    <row r="1004" spans="1:17" ht="15.75" x14ac:dyDescent="0.3">
      <c r="A1004" s="1">
        <v>7831</v>
      </c>
      <c r="B1004" s="2">
        <v>56002</v>
      </c>
      <c r="C1004" s="3">
        <f>DATE(2012,12,31)-1276</f>
        <v>39998</v>
      </c>
      <c r="D1004" s="1" t="s">
        <v>16</v>
      </c>
      <c r="E1004" s="2">
        <v>21</v>
      </c>
      <c r="F1004" s="2">
        <v>514.53</v>
      </c>
      <c r="G1004" s="2">
        <v>0.04</v>
      </c>
      <c r="H1004" s="2">
        <v>0.35</v>
      </c>
      <c r="I1004" s="4">
        <v>149.31</v>
      </c>
      <c r="J1004" s="5">
        <v>23.99</v>
      </c>
      <c r="K1004" s="5">
        <v>6.71</v>
      </c>
      <c r="L1004" s="1" t="s">
        <v>5</v>
      </c>
      <c r="M1004" s="1" t="s">
        <v>38</v>
      </c>
      <c r="N1004" s="1" t="s">
        <v>2</v>
      </c>
      <c r="O1004" s="1" t="s">
        <v>6</v>
      </c>
      <c r="P1004" s="1" t="s">
        <v>7</v>
      </c>
      <c r="Q1004" s="6">
        <f>C1004+2</f>
        <v>40000</v>
      </c>
    </row>
    <row r="1005" spans="1:17" ht="15.75" x14ac:dyDescent="0.3">
      <c r="A1005" s="1">
        <v>7832</v>
      </c>
      <c r="B1005" s="2">
        <v>56002</v>
      </c>
      <c r="C1005" s="3">
        <f>DATE(2012,12,31)-1276</f>
        <v>39998</v>
      </c>
      <c r="D1005" s="1" t="s">
        <v>16</v>
      </c>
      <c r="E1005" s="2">
        <v>14</v>
      </c>
      <c r="F1005" s="2">
        <v>748.84</v>
      </c>
      <c r="G1005" s="2">
        <v>0.09</v>
      </c>
      <c r="H1005" s="2">
        <v>0.36</v>
      </c>
      <c r="I1005" s="4">
        <v>286.7</v>
      </c>
      <c r="J1005" s="5">
        <v>55.98</v>
      </c>
      <c r="K1005" s="5">
        <v>4.8600000000000003</v>
      </c>
      <c r="L1005" s="1" t="s">
        <v>5</v>
      </c>
      <c r="M1005" s="1" t="s">
        <v>38</v>
      </c>
      <c r="N1005" s="1" t="s">
        <v>2</v>
      </c>
      <c r="O1005" s="1" t="s">
        <v>6</v>
      </c>
      <c r="P1005" s="1" t="s">
        <v>7</v>
      </c>
      <c r="Q1005" s="6">
        <f>C1005+4</f>
        <v>40002</v>
      </c>
    </row>
    <row r="1006" spans="1:17" ht="15.75" x14ac:dyDescent="0.3">
      <c r="A1006" s="1">
        <v>7833</v>
      </c>
      <c r="B1006" s="2">
        <v>56002</v>
      </c>
      <c r="C1006" s="3">
        <f>DATE(2012,12,31)-1276</f>
        <v>39998</v>
      </c>
      <c r="D1006" s="1" t="s">
        <v>16</v>
      </c>
      <c r="E1006" s="2">
        <v>9</v>
      </c>
      <c r="F1006" s="2">
        <v>1497.93</v>
      </c>
      <c r="G1006" s="2">
        <v>0.05</v>
      </c>
      <c r="H1006" s="2">
        <v>0.66</v>
      </c>
      <c r="I1006" s="4">
        <v>35.31</v>
      </c>
      <c r="J1006" s="5">
        <v>161.55000000000001</v>
      </c>
      <c r="K1006" s="5">
        <v>19.989999999999998</v>
      </c>
      <c r="L1006" s="1" t="s">
        <v>5</v>
      </c>
      <c r="M1006" s="1" t="s">
        <v>38</v>
      </c>
      <c r="N1006" s="1" t="s">
        <v>2</v>
      </c>
      <c r="O1006" s="1" t="s">
        <v>6</v>
      </c>
      <c r="P1006" s="1" t="s">
        <v>7</v>
      </c>
      <c r="Q1006" s="6">
        <f>C1006+7</f>
        <v>40005</v>
      </c>
    </row>
    <row r="1007" spans="1:17" ht="15.75" x14ac:dyDescent="0.3">
      <c r="A1007" s="1">
        <v>7834</v>
      </c>
      <c r="B1007" s="2">
        <v>56002</v>
      </c>
      <c r="C1007" s="3">
        <f>DATE(2012,12,31)-1276</f>
        <v>39998</v>
      </c>
      <c r="D1007" s="1" t="s">
        <v>16</v>
      </c>
      <c r="E1007" s="2">
        <v>14</v>
      </c>
      <c r="F1007" s="2">
        <v>3857.56</v>
      </c>
      <c r="G1007" s="2">
        <v>7.0000000000000007E-2</v>
      </c>
      <c r="H1007" s="2">
        <v>0.67</v>
      </c>
      <c r="I1007" s="4">
        <v>-377.81100000000004</v>
      </c>
      <c r="J1007" s="5">
        <v>290.98</v>
      </c>
      <c r="K1007" s="5">
        <v>69</v>
      </c>
      <c r="L1007" s="1" t="s">
        <v>5</v>
      </c>
      <c r="M1007" s="1" t="s">
        <v>38</v>
      </c>
      <c r="N1007" s="1" t="s">
        <v>2</v>
      </c>
      <c r="O1007" s="1" t="s">
        <v>3</v>
      </c>
      <c r="P1007" s="1" t="s">
        <v>10</v>
      </c>
      <c r="Q1007" s="6">
        <f>C1007+2</f>
        <v>40000</v>
      </c>
    </row>
    <row r="1008" spans="1:17" ht="15.75" x14ac:dyDescent="0.3">
      <c r="A1008" s="1">
        <v>7840</v>
      </c>
      <c r="B1008" s="2">
        <v>56039</v>
      </c>
      <c r="C1008" s="3">
        <f>DATE(2012,12,31)-402</f>
        <v>40872</v>
      </c>
      <c r="D1008" s="1" t="s">
        <v>16</v>
      </c>
      <c r="E1008" s="2">
        <v>23</v>
      </c>
      <c r="F1008" s="2">
        <v>156.66</v>
      </c>
      <c r="G1008" s="2">
        <v>7.0000000000000007E-2</v>
      </c>
      <c r="H1008" s="2">
        <v>0.37</v>
      </c>
      <c r="I1008" s="4">
        <v>-33.15</v>
      </c>
      <c r="J1008" s="5">
        <v>6.68</v>
      </c>
      <c r="K1008" s="5">
        <v>5.2</v>
      </c>
      <c r="L1008" s="1" t="s">
        <v>5</v>
      </c>
      <c r="M1008" s="1" t="s">
        <v>38</v>
      </c>
      <c r="N1008" s="1" t="s">
        <v>13</v>
      </c>
      <c r="O1008" s="1" t="s">
        <v>6</v>
      </c>
      <c r="P1008" s="1" t="s">
        <v>7</v>
      </c>
      <c r="Q1008" s="6">
        <f>C1008+5</f>
        <v>40877</v>
      </c>
    </row>
    <row r="1009" spans="1:17" ht="15.75" x14ac:dyDescent="0.3">
      <c r="A1009" s="1">
        <v>7936</v>
      </c>
      <c r="B1009" s="2">
        <v>56710</v>
      </c>
      <c r="C1009" s="3">
        <f>DATE(2012,12,31)-965</f>
        <v>40309</v>
      </c>
      <c r="D1009" s="1" t="s">
        <v>8</v>
      </c>
      <c r="E1009" s="2">
        <v>34</v>
      </c>
      <c r="F1009" s="2">
        <v>479.84</v>
      </c>
      <c r="G1009" s="2">
        <v>0.02</v>
      </c>
      <c r="H1009" s="2">
        <v>0.56999999999999995</v>
      </c>
      <c r="I1009" s="4">
        <v>5.71</v>
      </c>
      <c r="J1009" s="5">
        <v>13.43</v>
      </c>
      <c r="K1009" s="5">
        <v>5.5</v>
      </c>
      <c r="L1009" s="1" t="s">
        <v>5</v>
      </c>
      <c r="M1009" s="1" t="s">
        <v>38</v>
      </c>
      <c r="N1009" s="1" t="s">
        <v>21</v>
      </c>
      <c r="O1009" s="1" t="s">
        <v>6</v>
      </c>
      <c r="P1009" s="1" t="s">
        <v>7</v>
      </c>
      <c r="Q1009" s="6">
        <f>C1009+1</f>
        <v>40310</v>
      </c>
    </row>
    <row r="1010" spans="1:17" ht="15.75" x14ac:dyDescent="0.3">
      <c r="A1010" s="1">
        <v>7937</v>
      </c>
      <c r="B1010" s="2">
        <v>56710</v>
      </c>
      <c r="C1010" s="3">
        <f>DATE(2012,12,31)-965</f>
        <v>40309</v>
      </c>
      <c r="D1010" s="1" t="s">
        <v>8</v>
      </c>
      <c r="E1010" s="2">
        <v>16</v>
      </c>
      <c r="F1010" s="2">
        <v>833.92650000000003</v>
      </c>
      <c r="G1010" s="2">
        <v>0.08</v>
      </c>
      <c r="H1010" s="2">
        <v>0.59</v>
      </c>
      <c r="I1010" s="4">
        <v>-39.215000000000003</v>
      </c>
      <c r="J1010" s="5">
        <v>65.989999999999995</v>
      </c>
      <c r="K1010" s="5">
        <v>3.99</v>
      </c>
      <c r="L1010" s="1" t="s">
        <v>5</v>
      </c>
      <c r="M1010" s="1" t="s">
        <v>38</v>
      </c>
      <c r="N1010" s="1" t="s">
        <v>21</v>
      </c>
      <c r="O1010" s="1" t="s">
        <v>11</v>
      </c>
      <c r="P1010" s="1" t="s">
        <v>7</v>
      </c>
      <c r="Q1010" s="6">
        <f>C1010+1</f>
        <v>40310</v>
      </c>
    </row>
    <row r="1011" spans="1:17" ht="15.75" x14ac:dyDescent="0.3">
      <c r="A1011" s="1">
        <v>7938</v>
      </c>
      <c r="B1011" s="2">
        <v>56710</v>
      </c>
      <c r="C1011" s="3">
        <f>DATE(2012,12,31)-965</f>
        <v>40309</v>
      </c>
      <c r="D1011" s="1" t="s">
        <v>8</v>
      </c>
      <c r="E1011" s="2">
        <v>6</v>
      </c>
      <c r="F1011" s="2">
        <v>182.64</v>
      </c>
      <c r="G1011" s="2">
        <v>0.08</v>
      </c>
      <c r="H1011" s="2">
        <v>0.64</v>
      </c>
      <c r="I1011" s="4">
        <v>-99.24</v>
      </c>
      <c r="J1011" s="5">
        <v>30.98</v>
      </c>
      <c r="K1011" s="5">
        <v>6.5</v>
      </c>
      <c r="L1011" s="1" t="s">
        <v>5</v>
      </c>
      <c r="M1011" s="1" t="s">
        <v>38</v>
      </c>
      <c r="N1011" s="1" t="s">
        <v>21</v>
      </c>
      <c r="O1011" s="1" t="s">
        <v>11</v>
      </c>
      <c r="P1011" s="1" t="s">
        <v>7</v>
      </c>
      <c r="Q1011" s="6">
        <f>C1011+2</f>
        <v>40311</v>
      </c>
    </row>
    <row r="1012" spans="1:17" ht="15.75" x14ac:dyDescent="0.3">
      <c r="A1012" s="1">
        <v>7939</v>
      </c>
      <c r="B1012" s="2">
        <v>56710</v>
      </c>
      <c r="C1012" s="3">
        <f>DATE(2012,12,31)-965</f>
        <v>40309</v>
      </c>
      <c r="D1012" s="1" t="s">
        <v>8</v>
      </c>
      <c r="E1012" s="2">
        <v>21</v>
      </c>
      <c r="F1012" s="2">
        <v>736.17</v>
      </c>
      <c r="G1012" s="2">
        <v>0.01</v>
      </c>
      <c r="H1012" s="2">
        <v>0.43</v>
      </c>
      <c r="I1012" s="4">
        <v>232.99</v>
      </c>
      <c r="J1012" s="5">
        <v>35.409999999999997</v>
      </c>
      <c r="K1012" s="5">
        <v>1.99</v>
      </c>
      <c r="L1012" s="1" t="s">
        <v>5</v>
      </c>
      <c r="M1012" s="1" t="s">
        <v>38</v>
      </c>
      <c r="N1012" s="1" t="s">
        <v>21</v>
      </c>
      <c r="O1012" s="1" t="s">
        <v>11</v>
      </c>
      <c r="P1012" s="1" t="s">
        <v>20</v>
      </c>
      <c r="Q1012" s="6">
        <f>C1012+2</f>
        <v>40311</v>
      </c>
    </row>
    <row r="1013" spans="1:17" ht="15.75" x14ac:dyDescent="0.3">
      <c r="A1013" s="1">
        <v>7985</v>
      </c>
      <c r="B1013" s="2">
        <v>57092</v>
      </c>
      <c r="C1013" s="3">
        <f>DATE(2012,12,31)-975</f>
        <v>40299</v>
      </c>
      <c r="D1013" s="1" t="s">
        <v>0</v>
      </c>
      <c r="E1013" s="2">
        <v>29</v>
      </c>
      <c r="F1013" s="2">
        <v>2820.6994999999997</v>
      </c>
      <c r="G1013" s="2">
        <v>0.03</v>
      </c>
      <c r="H1013" s="2">
        <v>0.56999999999999995</v>
      </c>
      <c r="I1013" s="4">
        <v>601.33500000000004</v>
      </c>
      <c r="J1013" s="5">
        <v>110.99</v>
      </c>
      <c r="K1013" s="5">
        <v>8.99</v>
      </c>
      <c r="L1013" s="1" t="s">
        <v>5</v>
      </c>
      <c r="M1013" s="1" t="s">
        <v>38</v>
      </c>
      <c r="N1013" s="1" t="s">
        <v>21</v>
      </c>
      <c r="O1013" s="1" t="s">
        <v>11</v>
      </c>
      <c r="P1013" s="1" t="s">
        <v>7</v>
      </c>
      <c r="Q1013" s="6">
        <f>C1013+1</f>
        <v>40300</v>
      </c>
    </row>
    <row r="1014" spans="1:17" ht="15.75" x14ac:dyDescent="0.3">
      <c r="A1014" s="1">
        <v>8011</v>
      </c>
      <c r="B1014" s="2">
        <v>57253</v>
      </c>
      <c r="C1014" s="3">
        <f>DATE(2012,12,31)-1456</f>
        <v>39818</v>
      </c>
      <c r="D1014" s="1" t="s">
        <v>0</v>
      </c>
      <c r="E1014" s="2">
        <v>43</v>
      </c>
      <c r="F1014" s="2">
        <v>78.08</v>
      </c>
      <c r="G1014" s="2">
        <v>0.08</v>
      </c>
      <c r="H1014" s="2">
        <v>0.57999999999999996</v>
      </c>
      <c r="I1014" s="4">
        <v>1.74</v>
      </c>
      <c r="J1014" s="5">
        <v>1.81</v>
      </c>
      <c r="K1014" s="5">
        <v>0.75</v>
      </c>
      <c r="L1014" s="1" t="s">
        <v>5</v>
      </c>
      <c r="M1014" s="1" t="s">
        <v>38</v>
      </c>
      <c r="N1014" s="1" t="s">
        <v>21</v>
      </c>
      <c r="O1014" s="1" t="s">
        <v>3</v>
      </c>
      <c r="P1014" s="1" t="s">
        <v>4</v>
      </c>
      <c r="Q1014" s="6">
        <f>C1014+1</f>
        <v>39819</v>
      </c>
    </row>
    <row r="1015" spans="1:17" ht="15.75" x14ac:dyDescent="0.3">
      <c r="A1015" s="1">
        <v>8012</v>
      </c>
      <c r="B1015" s="2">
        <v>57253</v>
      </c>
      <c r="C1015" s="3">
        <f>DATE(2012,12,31)-1456</f>
        <v>39818</v>
      </c>
      <c r="D1015" s="1" t="s">
        <v>0</v>
      </c>
      <c r="E1015" s="2">
        <v>29</v>
      </c>
      <c r="F1015" s="2">
        <v>653.54</v>
      </c>
      <c r="G1015" s="2">
        <v>0.06</v>
      </c>
      <c r="H1015" s="2">
        <v>0.64</v>
      </c>
      <c r="I1015" s="4">
        <v>-1358.9</v>
      </c>
      <c r="J1015" s="5">
        <v>20.98</v>
      </c>
      <c r="K1015" s="5">
        <v>53.03</v>
      </c>
      <c r="L1015" s="1" t="s">
        <v>1</v>
      </c>
      <c r="M1015" s="1" t="s">
        <v>38</v>
      </c>
      <c r="N1015" s="1" t="s">
        <v>21</v>
      </c>
      <c r="O1015" s="1" t="s">
        <v>3</v>
      </c>
      <c r="P1015" s="1" t="s">
        <v>4</v>
      </c>
      <c r="Q1015" s="6">
        <f>C1015+2</f>
        <v>39820</v>
      </c>
    </row>
    <row r="1016" spans="1:17" ht="15.75" x14ac:dyDescent="0.3">
      <c r="A1016" s="1">
        <v>8013</v>
      </c>
      <c r="B1016" s="2">
        <v>57253</v>
      </c>
      <c r="C1016" s="3">
        <f>DATE(2012,12,31)-1456</f>
        <v>39818</v>
      </c>
      <c r="D1016" s="1" t="s">
        <v>0</v>
      </c>
      <c r="E1016" s="2">
        <v>48</v>
      </c>
      <c r="F1016" s="2">
        <v>12635.75</v>
      </c>
      <c r="G1016" s="2">
        <v>7.0000000000000007E-2</v>
      </c>
      <c r="H1016" s="2">
        <v>0.6</v>
      </c>
      <c r="I1016" s="4">
        <v>-335.24</v>
      </c>
      <c r="J1016" s="5">
        <v>279.48</v>
      </c>
      <c r="K1016" s="5">
        <v>35</v>
      </c>
      <c r="L1016" s="1" t="s">
        <v>5</v>
      </c>
      <c r="M1016" s="1" t="s">
        <v>38</v>
      </c>
      <c r="N1016" s="1" t="s">
        <v>21</v>
      </c>
      <c r="O1016" s="1" t="s">
        <v>3</v>
      </c>
      <c r="P1016" s="1" t="s">
        <v>10</v>
      </c>
      <c r="Q1016" s="6">
        <f>C1016+0</f>
        <v>39818</v>
      </c>
    </row>
    <row r="1017" spans="1:17" ht="15.75" x14ac:dyDescent="0.3">
      <c r="A1017" s="1">
        <v>8014</v>
      </c>
      <c r="B1017" s="2">
        <v>57253</v>
      </c>
      <c r="C1017" s="3">
        <f>DATE(2012,12,31)-1456</f>
        <v>39818</v>
      </c>
      <c r="D1017" s="1" t="s">
        <v>0</v>
      </c>
      <c r="E1017" s="2">
        <v>49</v>
      </c>
      <c r="F1017" s="2">
        <v>240.3</v>
      </c>
      <c r="G1017" s="2">
        <v>0.08</v>
      </c>
      <c r="H1017" s="2">
        <v>0.7</v>
      </c>
      <c r="I1017" s="4">
        <v>-139.15575000000001</v>
      </c>
      <c r="J1017" s="5">
        <v>4.91</v>
      </c>
      <c r="K1017" s="5">
        <v>5.68</v>
      </c>
      <c r="L1017" s="1" t="s">
        <v>5</v>
      </c>
      <c r="M1017" s="1" t="s">
        <v>38</v>
      </c>
      <c r="N1017" s="1" t="s">
        <v>21</v>
      </c>
      <c r="O1017" s="1" t="s">
        <v>3</v>
      </c>
      <c r="P1017" s="1" t="s">
        <v>19</v>
      </c>
      <c r="Q1017" s="6">
        <f>C1017+1</f>
        <v>39819</v>
      </c>
    </row>
    <row r="1018" spans="1:17" ht="15.75" x14ac:dyDescent="0.3">
      <c r="A1018" s="1">
        <v>8015</v>
      </c>
      <c r="B1018" s="2">
        <v>57253</v>
      </c>
      <c r="C1018" s="3">
        <f>DATE(2012,12,31)-1456</f>
        <v>39818</v>
      </c>
      <c r="D1018" s="1" t="s">
        <v>0</v>
      </c>
      <c r="E1018" s="2">
        <v>25</v>
      </c>
      <c r="F1018" s="2">
        <v>2750.107</v>
      </c>
      <c r="G1018" s="2">
        <v>0.04</v>
      </c>
      <c r="H1018" s="2">
        <v>0.55000000000000004</v>
      </c>
      <c r="I1018" s="4">
        <v>667.44900000000007</v>
      </c>
      <c r="J1018" s="5">
        <v>125.99</v>
      </c>
      <c r="K1018" s="5">
        <v>5.26</v>
      </c>
      <c r="L1018" s="1" t="s">
        <v>5</v>
      </c>
      <c r="M1018" s="1" t="s">
        <v>38</v>
      </c>
      <c r="N1018" s="1" t="s">
        <v>21</v>
      </c>
      <c r="O1018" s="1" t="s">
        <v>11</v>
      </c>
      <c r="P1018" s="1" t="s">
        <v>7</v>
      </c>
      <c r="Q1018" s="6">
        <f>C1018+0</f>
        <v>39818</v>
      </c>
    </row>
    <row r="1019" spans="1:17" ht="15.75" x14ac:dyDescent="0.3">
      <c r="A1019" s="1">
        <v>8034</v>
      </c>
      <c r="B1019" s="2">
        <v>57382</v>
      </c>
      <c r="C1019" s="3">
        <f>DATE(2012,12,31)-1379</f>
        <v>39895</v>
      </c>
      <c r="D1019" s="1" t="s">
        <v>12</v>
      </c>
      <c r="E1019" s="2">
        <v>25</v>
      </c>
      <c r="F1019" s="2">
        <v>106.04</v>
      </c>
      <c r="G1019" s="2">
        <v>0.09</v>
      </c>
      <c r="H1019" s="2">
        <v>0.35</v>
      </c>
      <c r="I1019" s="4">
        <v>16.898</v>
      </c>
      <c r="J1019" s="5">
        <v>4.55</v>
      </c>
      <c r="K1019" s="5">
        <v>1.49</v>
      </c>
      <c r="L1019" s="1" t="s">
        <v>5</v>
      </c>
      <c r="M1019" s="1" t="s">
        <v>38</v>
      </c>
      <c r="N1019" s="1" t="s">
        <v>21</v>
      </c>
      <c r="O1019" s="1" t="s">
        <v>6</v>
      </c>
      <c r="P1019" s="1" t="s">
        <v>7</v>
      </c>
      <c r="Q1019" s="6">
        <f>C1019+2</f>
        <v>39897</v>
      </c>
    </row>
    <row r="1020" spans="1:17" ht="15.75" x14ac:dyDescent="0.3">
      <c r="A1020" s="1">
        <v>8035</v>
      </c>
      <c r="B1020" s="2">
        <v>57382</v>
      </c>
      <c r="C1020" s="3">
        <f>DATE(2012,12,31)-1379</f>
        <v>39895</v>
      </c>
      <c r="D1020" s="1" t="s">
        <v>12</v>
      </c>
      <c r="E1020" s="2">
        <v>45</v>
      </c>
      <c r="F1020" s="2">
        <v>452.93</v>
      </c>
      <c r="G1020" s="2">
        <v>7.0000000000000007E-2</v>
      </c>
      <c r="H1020" s="2">
        <v>0.35</v>
      </c>
      <c r="I1020" s="4">
        <v>20.14</v>
      </c>
      <c r="J1020" s="5">
        <v>9.7799999999999994</v>
      </c>
      <c r="K1020" s="5">
        <v>5.76</v>
      </c>
      <c r="L1020" s="1" t="s">
        <v>9</v>
      </c>
      <c r="M1020" s="1" t="s">
        <v>38</v>
      </c>
      <c r="N1020" s="1" t="s">
        <v>21</v>
      </c>
      <c r="O1020" s="1" t="s">
        <v>6</v>
      </c>
      <c r="P1020" s="1" t="s">
        <v>7</v>
      </c>
      <c r="Q1020" s="6">
        <f>C1020+2</f>
        <v>39897</v>
      </c>
    </row>
    <row r="1021" spans="1:17" ht="15.75" x14ac:dyDescent="0.3">
      <c r="A1021" s="1">
        <v>8039</v>
      </c>
      <c r="B1021" s="2">
        <v>57415</v>
      </c>
      <c r="C1021" s="3">
        <f>DATE(2012,12,31)-1378</f>
        <v>39896</v>
      </c>
      <c r="D1021" s="1" t="s">
        <v>12</v>
      </c>
      <c r="E1021" s="2">
        <v>6</v>
      </c>
      <c r="F1021" s="2">
        <v>101.52</v>
      </c>
      <c r="G1021" s="2">
        <v>0.02</v>
      </c>
      <c r="H1021" s="2">
        <v>0.59</v>
      </c>
      <c r="I1021" s="4">
        <v>-16.37</v>
      </c>
      <c r="J1021" s="5">
        <v>15.42</v>
      </c>
      <c r="K1021" s="5">
        <v>5.41</v>
      </c>
      <c r="L1021" s="1" t="s">
        <v>5</v>
      </c>
      <c r="M1021" s="1" t="s">
        <v>38</v>
      </c>
      <c r="N1021" s="1" t="s">
        <v>21</v>
      </c>
      <c r="O1021" s="1" t="s">
        <v>6</v>
      </c>
      <c r="P1021" s="1" t="s">
        <v>7</v>
      </c>
      <c r="Q1021" s="6">
        <f>C1021+1</f>
        <v>39897</v>
      </c>
    </row>
    <row r="1022" spans="1:17" ht="15.75" x14ac:dyDescent="0.3">
      <c r="A1022" s="1">
        <v>8077</v>
      </c>
      <c r="B1022" s="2">
        <v>57606</v>
      </c>
      <c r="C1022" s="3">
        <f>DATE(2012,12,31)-1093</f>
        <v>40181</v>
      </c>
      <c r="D1022" s="1" t="s">
        <v>8</v>
      </c>
      <c r="E1022" s="2">
        <v>37</v>
      </c>
      <c r="F1022" s="2">
        <v>294.48</v>
      </c>
      <c r="G1022" s="2">
        <v>0.08</v>
      </c>
      <c r="H1022" s="2">
        <v>0.61</v>
      </c>
      <c r="I1022" s="4">
        <v>-64.239999999999995</v>
      </c>
      <c r="J1022" s="5">
        <v>8.4600000000000009</v>
      </c>
      <c r="K1022" s="5">
        <v>3.62</v>
      </c>
      <c r="L1022" s="1" t="s">
        <v>5</v>
      </c>
      <c r="M1022" s="1" t="s">
        <v>38</v>
      </c>
      <c r="N1022" s="1" t="s">
        <v>21</v>
      </c>
      <c r="O1022" s="1" t="s">
        <v>11</v>
      </c>
      <c r="P1022" s="1" t="s">
        <v>20</v>
      </c>
      <c r="Q1022" s="6">
        <f>C1022+1</f>
        <v>40182</v>
      </c>
    </row>
    <row r="1023" spans="1:17" ht="15.75" x14ac:dyDescent="0.3">
      <c r="A1023" s="1">
        <v>8099</v>
      </c>
      <c r="B1023" s="2">
        <v>57794</v>
      </c>
      <c r="C1023" s="3">
        <f>DATE(2012,12,31)-1254</f>
        <v>40020</v>
      </c>
      <c r="D1023" s="1" t="s">
        <v>16</v>
      </c>
      <c r="E1023" s="2">
        <v>16</v>
      </c>
      <c r="F1023" s="2">
        <v>88.84</v>
      </c>
      <c r="G1023" s="2">
        <v>0.02</v>
      </c>
      <c r="H1023" s="2">
        <v>0.36</v>
      </c>
      <c r="I1023" s="4">
        <v>-46.92</v>
      </c>
      <c r="J1023" s="5">
        <v>4.9800000000000004</v>
      </c>
      <c r="K1023" s="5">
        <v>6.07</v>
      </c>
      <c r="L1023" s="1" t="s">
        <v>5</v>
      </c>
      <c r="M1023" s="1" t="s">
        <v>38</v>
      </c>
      <c r="N1023" s="1" t="s">
        <v>15</v>
      </c>
      <c r="O1023" s="1" t="s">
        <v>6</v>
      </c>
      <c r="P1023" s="1" t="s">
        <v>7</v>
      </c>
      <c r="Q1023" s="6">
        <f>C1023+2</f>
        <v>40022</v>
      </c>
    </row>
    <row r="1024" spans="1:17" ht="15.75" x14ac:dyDescent="0.3">
      <c r="A1024" s="1">
        <v>8123</v>
      </c>
      <c r="B1024" s="2">
        <v>58054</v>
      </c>
      <c r="C1024" s="3">
        <f>DATE(2012,12,31)-727</f>
        <v>40547</v>
      </c>
      <c r="D1024" s="1" t="s">
        <v>17</v>
      </c>
      <c r="E1024" s="2">
        <v>26</v>
      </c>
      <c r="F1024" s="2">
        <v>61.4</v>
      </c>
      <c r="G1024" s="2">
        <v>0.04</v>
      </c>
      <c r="H1024" s="2">
        <v>0.43</v>
      </c>
      <c r="I1024" s="4">
        <v>-92.11</v>
      </c>
      <c r="J1024" s="5">
        <v>2.08</v>
      </c>
      <c r="K1024" s="5">
        <v>5.33</v>
      </c>
      <c r="L1024" s="1" t="s">
        <v>5</v>
      </c>
      <c r="M1024" s="1" t="s">
        <v>38</v>
      </c>
      <c r="N1024" s="1" t="s">
        <v>21</v>
      </c>
      <c r="O1024" s="1" t="s">
        <v>3</v>
      </c>
      <c r="P1024" s="1" t="s">
        <v>7</v>
      </c>
      <c r="Q1024" s="6">
        <f>C1024+0</f>
        <v>40547</v>
      </c>
    </row>
    <row r="1025" spans="1:17" ht="15.75" x14ac:dyDescent="0.3">
      <c r="A1025" s="1">
        <v>8129</v>
      </c>
      <c r="B1025" s="2">
        <v>58113</v>
      </c>
      <c r="C1025" s="3">
        <f>DATE(2012,12,31)-334</f>
        <v>40940</v>
      </c>
      <c r="D1025" s="1" t="s">
        <v>17</v>
      </c>
      <c r="E1025" s="2">
        <v>48</v>
      </c>
      <c r="F1025" s="2">
        <v>362.71</v>
      </c>
      <c r="G1025" s="2">
        <v>7.0000000000000007E-2</v>
      </c>
      <c r="H1025" s="2">
        <v>0.35</v>
      </c>
      <c r="I1025" s="4">
        <v>-88.952500000000001</v>
      </c>
      <c r="J1025" s="5">
        <v>7.68</v>
      </c>
      <c r="K1025" s="5">
        <v>6.16</v>
      </c>
      <c r="L1025" s="1" t="s">
        <v>5</v>
      </c>
      <c r="M1025" s="1" t="s">
        <v>38</v>
      </c>
      <c r="N1025" s="1" t="s">
        <v>13</v>
      </c>
      <c r="O1025" s="1" t="s">
        <v>6</v>
      </c>
      <c r="P1025" s="1" t="s">
        <v>7</v>
      </c>
      <c r="Q1025" s="6">
        <f>C1025+2</f>
        <v>40942</v>
      </c>
    </row>
    <row r="1026" spans="1:17" ht="15.75" x14ac:dyDescent="0.3">
      <c r="A1026" s="1">
        <v>8130</v>
      </c>
      <c r="B1026" s="2">
        <v>58113</v>
      </c>
      <c r="C1026" s="3">
        <f>DATE(2012,12,31)-334</f>
        <v>40940</v>
      </c>
      <c r="D1026" s="1" t="s">
        <v>17</v>
      </c>
      <c r="E1026" s="2">
        <v>12</v>
      </c>
      <c r="F1026" s="2">
        <v>2077.1875</v>
      </c>
      <c r="G1026" s="2">
        <v>0.05</v>
      </c>
      <c r="H1026" s="2">
        <v>0.59</v>
      </c>
      <c r="I1026" s="4">
        <v>-38.070999999999998</v>
      </c>
      <c r="J1026" s="5">
        <v>200.99</v>
      </c>
      <c r="K1026" s="5">
        <v>4.2</v>
      </c>
      <c r="L1026" s="1" t="s">
        <v>9</v>
      </c>
      <c r="M1026" s="1" t="s">
        <v>38</v>
      </c>
      <c r="N1026" s="1" t="s">
        <v>13</v>
      </c>
      <c r="O1026" s="1" t="s">
        <v>11</v>
      </c>
      <c r="P1026" s="1" t="s">
        <v>7</v>
      </c>
      <c r="Q1026" s="6">
        <f>C1026+2</f>
        <v>40942</v>
      </c>
    </row>
    <row r="1027" spans="1:17" ht="15.75" x14ac:dyDescent="0.3">
      <c r="A1027" s="1">
        <v>8186</v>
      </c>
      <c r="B1027" s="2">
        <v>58528</v>
      </c>
      <c r="C1027" s="3">
        <f>DATE(2012,12,31)-796</f>
        <v>40478</v>
      </c>
      <c r="D1027" s="1" t="s">
        <v>12</v>
      </c>
      <c r="E1027" s="2">
        <v>14</v>
      </c>
      <c r="F1027" s="2">
        <v>700.95</v>
      </c>
      <c r="G1027" s="2">
        <v>0</v>
      </c>
      <c r="H1027" s="2">
        <v>0.46</v>
      </c>
      <c r="I1027" s="4">
        <v>233.8</v>
      </c>
      <c r="J1027" s="5">
        <v>46.89</v>
      </c>
      <c r="K1027" s="5">
        <v>5.0999999999999996</v>
      </c>
      <c r="L1027" s="1" t="s">
        <v>5</v>
      </c>
      <c r="M1027" s="1" t="s">
        <v>38</v>
      </c>
      <c r="N1027" s="1" t="s">
        <v>2</v>
      </c>
      <c r="O1027" s="1" t="s">
        <v>6</v>
      </c>
      <c r="P1027" s="1" t="s">
        <v>18</v>
      </c>
      <c r="Q1027" s="6">
        <f>C1027+1</f>
        <v>40479</v>
      </c>
    </row>
    <row r="1028" spans="1:17" ht="15.75" x14ac:dyDescent="0.3">
      <c r="A1028" s="1">
        <v>8187</v>
      </c>
      <c r="B1028" s="2">
        <v>58528</v>
      </c>
      <c r="C1028" s="3">
        <f>DATE(2012,12,31)-796</f>
        <v>40478</v>
      </c>
      <c r="D1028" s="1" t="s">
        <v>12</v>
      </c>
      <c r="E1028" s="2">
        <v>41</v>
      </c>
      <c r="F1028" s="2">
        <v>159.74</v>
      </c>
      <c r="G1028" s="2">
        <v>0.08</v>
      </c>
      <c r="H1028" s="2">
        <v>0.39</v>
      </c>
      <c r="I1028" s="4">
        <v>-9.14</v>
      </c>
      <c r="J1028" s="5">
        <v>3.69</v>
      </c>
      <c r="K1028" s="5">
        <v>2.5</v>
      </c>
      <c r="L1028" s="1" t="s">
        <v>9</v>
      </c>
      <c r="M1028" s="1" t="s">
        <v>38</v>
      </c>
      <c r="N1028" s="1" t="s">
        <v>2</v>
      </c>
      <c r="O1028" s="1" t="s">
        <v>6</v>
      </c>
      <c r="P1028" s="1" t="s">
        <v>7</v>
      </c>
      <c r="Q1028" s="6">
        <f>C1028+1</f>
        <v>40479</v>
      </c>
    </row>
    <row r="1029" spans="1:17" ht="15.75" x14ac:dyDescent="0.3">
      <c r="A1029" s="1">
        <v>8193</v>
      </c>
      <c r="B1029" s="2">
        <v>58598</v>
      </c>
      <c r="C1029" s="3">
        <f>DATE(2012,12,31)-497</f>
        <v>40777</v>
      </c>
      <c r="D1029" s="1" t="s">
        <v>12</v>
      </c>
      <c r="E1029" s="2">
        <v>50</v>
      </c>
      <c r="F1029" s="2">
        <v>13608.83</v>
      </c>
      <c r="G1029" s="2">
        <v>0.1</v>
      </c>
      <c r="H1029" s="2">
        <v>0.56000000000000005</v>
      </c>
      <c r="I1029" s="4">
        <v>1342.93</v>
      </c>
      <c r="J1029" s="5">
        <v>300.98</v>
      </c>
      <c r="K1029" s="5">
        <v>64.73</v>
      </c>
      <c r="L1029" s="1" t="s">
        <v>1</v>
      </c>
      <c r="M1029" s="1" t="s">
        <v>38</v>
      </c>
      <c r="N1029" s="1" t="s">
        <v>15</v>
      </c>
      <c r="O1029" s="1" t="s">
        <v>3</v>
      </c>
      <c r="P1029" s="1" t="s">
        <v>4</v>
      </c>
      <c r="Q1029" s="6">
        <f>C1029+1</f>
        <v>40778</v>
      </c>
    </row>
    <row r="1030" spans="1:17" ht="15.75" x14ac:dyDescent="0.3">
      <c r="A1030" s="1">
        <v>8194</v>
      </c>
      <c r="B1030" s="2">
        <v>58598</v>
      </c>
      <c r="C1030" s="3">
        <f>DATE(2012,12,31)-497</f>
        <v>40777</v>
      </c>
      <c r="D1030" s="1" t="s">
        <v>12</v>
      </c>
      <c r="E1030" s="2">
        <v>25</v>
      </c>
      <c r="F1030" s="2">
        <v>89.32</v>
      </c>
      <c r="G1030" s="2">
        <v>0.01</v>
      </c>
      <c r="H1030" s="2">
        <v>0.37</v>
      </c>
      <c r="I1030" s="4">
        <v>33.46</v>
      </c>
      <c r="J1030" s="5">
        <v>3.41</v>
      </c>
      <c r="K1030" s="5">
        <v>0.7</v>
      </c>
      <c r="L1030" s="1" t="s">
        <v>5</v>
      </c>
      <c r="M1030" s="1" t="s">
        <v>38</v>
      </c>
      <c r="N1030" s="1" t="s">
        <v>15</v>
      </c>
      <c r="O1030" s="1" t="s">
        <v>6</v>
      </c>
      <c r="P1030" s="1" t="s">
        <v>14</v>
      </c>
      <c r="Q1030" s="6">
        <f>C1030+1</f>
        <v>40778</v>
      </c>
    </row>
    <row r="1031" spans="1:17" ht="15.75" x14ac:dyDescent="0.3">
      <c r="A1031" s="1">
        <v>8231</v>
      </c>
      <c r="B1031" s="2">
        <v>58851</v>
      </c>
      <c r="C1031" s="3">
        <f>DATE(2012,12,31)-938</f>
        <v>40336</v>
      </c>
      <c r="D1031" s="1" t="s">
        <v>16</v>
      </c>
      <c r="E1031" s="2">
        <v>3</v>
      </c>
      <c r="F1031" s="2">
        <v>23.93</v>
      </c>
      <c r="G1031" s="2">
        <v>0.1</v>
      </c>
      <c r="H1031" s="2">
        <v>0.43</v>
      </c>
      <c r="I1031" s="4">
        <v>-6.39</v>
      </c>
      <c r="J1031" s="5">
        <v>8.34</v>
      </c>
      <c r="K1031" s="5">
        <v>0.96</v>
      </c>
      <c r="L1031" s="1" t="s">
        <v>5</v>
      </c>
      <c r="M1031" s="1" t="s">
        <v>38</v>
      </c>
      <c r="N1031" s="1" t="s">
        <v>2</v>
      </c>
      <c r="O1031" s="1" t="s">
        <v>3</v>
      </c>
      <c r="P1031" s="1" t="s">
        <v>14</v>
      </c>
      <c r="Q1031" s="6">
        <f>C1031+4</f>
        <v>40340</v>
      </c>
    </row>
    <row r="1032" spans="1:17" ht="15.75" x14ac:dyDescent="0.3">
      <c r="A1032" s="1">
        <v>8232</v>
      </c>
      <c r="B1032" s="2">
        <v>58851</v>
      </c>
      <c r="C1032" s="3">
        <f>DATE(2012,12,31)-938</f>
        <v>40336</v>
      </c>
      <c r="D1032" s="1" t="s">
        <v>16</v>
      </c>
      <c r="E1032" s="2">
        <v>14</v>
      </c>
      <c r="F1032" s="2">
        <v>2027.55</v>
      </c>
      <c r="G1032" s="2">
        <v>0.04</v>
      </c>
      <c r="H1032" s="2">
        <v>0.37</v>
      </c>
      <c r="I1032" s="4">
        <v>537.4</v>
      </c>
      <c r="J1032" s="5">
        <v>140.99</v>
      </c>
      <c r="K1032" s="5">
        <v>13.99</v>
      </c>
      <c r="L1032" s="1" t="s">
        <v>5</v>
      </c>
      <c r="M1032" s="1" t="s">
        <v>38</v>
      </c>
      <c r="N1032" s="1" t="s">
        <v>2</v>
      </c>
      <c r="O1032" s="1" t="s">
        <v>11</v>
      </c>
      <c r="P1032" s="1" t="s">
        <v>18</v>
      </c>
      <c r="Q1032" s="6">
        <f>C1032+7</f>
        <v>40343</v>
      </c>
    </row>
    <row r="1033" spans="1:17" ht="15.75" x14ac:dyDescent="0.3">
      <c r="A1033" s="1">
        <v>8233</v>
      </c>
      <c r="B1033" s="2">
        <v>58853</v>
      </c>
      <c r="C1033" s="3">
        <f>DATE(2012,12,31)-232</f>
        <v>41042</v>
      </c>
      <c r="D1033" s="1" t="s">
        <v>0</v>
      </c>
      <c r="E1033" s="2">
        <v>27</v>
      </c>
      <c r="F1033" s="2">
        <v>5307.5</v>
      </c>
      <c r="G1033" s="2">
        <v>0.09</v>
      </c>
      <c r="H1033" s="2">
        <v>0.57999999999999996</v>
      </c>
      <c r="I1033" s="4">
        <v>1116.67</v>
      </c>
      <c r="J1033" s="5">
        <v>200.98</v>
      </c>
      <c r="K1033" s="5">
        <v>23.76</v>
      </c>
      <c r="L1033" s="1" t="s">
        <v>1</v>
      </c>
      <c r="M1033" s="1" t="s">
        <v>38</v>
      </c>
      <c r="N1033" s="1" t="s">
        <v>15</v>
      </c>
      <c r="O1033" s="1" t="s">
        <v>3</v>
      </c>
      <c r="P1033" s="1" t="s">
        <v>4</v>
      </c>
      <c r="Q1033" s="6">
        <f>C1033+1</f>
        <v>41043</v>
      </c>
    </row>
    <row r="1034" spans="1:17" ht="15.75" x14ac:dyDescent="0.3">
      <c r="A1034" s="1">
        <v>8252</v>
      </c>
      <c r="B1034" s="2">
        <v>59015</v>
      </c>
      <c r="C1034" s="3">
        <f>DATE(2012,12,31)-219</f>
        <v>41055</v>
      </c>
      <c r="D1034" s="1" t="s">
        <v>12</v>
      </c>
      <c r="E1034" s="2">
        <v>32</v>
      </c>
      <c r="F1034" s="2">
        <v>254.46</v>
      </c>
      <c r="G1034" s="2">
        <v>0.09</v>
      </c>
      <c r="H1034" s="2">
        <v>0.49</v>
      </c>
      <c r="I1034" s="4">
        <v>23.5</v>
      </c>
      <c r="J1034" s="5">
        <v>8.5</v>
      </c>
      <c r="K1034" s="5">
        <v>1.99</v>
      </c>
      <c r="L1034" s="1" t="s">
        <v>5</v>
      </c>
      <c r="M1034" s="1" t="s">
        <v>38</v>
      </c>
      <c r="N1034" s="1" t="s">
        <v>13</v>
      </c>
      <c r="O1034" s="1" t="s">
        <v>11</v>
      </c>
      <c r="P1034" s="1" t="s">
        <v>20</v>
      </c>
      <c r="Q1034" s="6">
        <f>C1034+1</f>
        <v>41056</v>
      </c>
    </row>
    <row r="1035" spans="1:17" ht="15.75" x14ac:dyDescent="0.3">
      <c r="A1035" s="1">
        <v>8253</v>
      </c>
      <c r="B1035" s="2">
        <v>59015</v>
      </c>
      <c r="C1035" s="3">
        <f>DATE(2012,12,31)-219</f>
        <v>41055</v>
      </c>
      <c r="D1035" s="1" t="s">
        <v>12</v>
      </c>
      <c r="E1035" s="2">
        <v>32</v>
      </c>
      <c r="F1035" s="2">
        <v>278.19</v>
      </c>
      <c r="G1035" s="2">
        <v>0.02</v>
      </c>
      <c r="H1035" s="2">
        <v>0.43</v>
      </c>
      <c r="I1035" s="4">
        <v>149.38999999999999</v>
      </c>
      <c r="J1035" s="5">
        <v>8.34</v>
      </c>
      <c r="K1035" s="5">
        <v>0.96</v>
      </c>
      <c r="L1035" s="1" t="s">
        <v>5</v>
      </c>
      <c r="M1035" s="1" t="s">
        <v>38</v>
      </c>
      <c r="N1035" s="1" t="s">
        <v>13</v>
      </c>
      <c r="O1035" s="1" t="s">
        <v>3</v>
      </c>
      <c r="P1035" s="1" t="s">
        <v>14</v>
      </c>
      <c r="Q1035" s="6">
        <f>C1035+1</f>
        <v>41056</v>
      </c>
    </row>
    <row r="1036" spans="1:17" ht="15.75" x14ac:dyDescent="0.3">
      <c r="A1036" s="1">
        <v>8254</v>
      </c>
      <c r="B1036" s="2">
        <v>59015</v>
      </c>
      <c r="C1036" s="3">
        <f>DATE(2012,12,31)-219</f>
        <v>41055</v>
      </c>
      <c r="D1036" s="1" t="s">
        <v>12</v>
      </c>
      <c r="E1036" s="2">
        <v>32</v>
      </c>
      <c r="F1036" s="2">
        <v>1662.33</v>
      </c>
      <c r="G1036" s="2">
        <v>0.02</v>
      </c>
      <c r="H1036" s="2">
        <v>0.38</v>
      </c>
      <c r="I1036" s="4">
        <v>783.84</v>
      </c>
      <c r="J1036" s="5">
        <v>48.91</v>
      </c>
      <c r="K1036" s="5">
        <v>5.81</v>
      </c>
      <c r="L1036" s="1" t="s">
        <v>5</v>
      </c>
      <c r="M1036" s="1" t="s">
        <v>38</v>
      </c>
      <c r="N1036" s="1" t="s">
        <v>13</v>
      </c>
      <c r="O1036" s="1" t="s">
        <v>6</v>
      </c>
      <c r="P1036" s="1" t="s">
        <v>7</v>
      </c>
      <c r="Q1036" s="6">
        <f>C1036+2</f>
        <v>41057</v>
      </c>
    </row>
    <row r="1037" spans="1:17" ht="15.75" x14ac:dyDescent="0.3">
      <c r="A1037" s="1">
        <v>8264</v>
      </c>
      <c r="B1037" s="2">
        <v>59075</v>
      </c>
      <c r="C1037" s="3">
        <f>DATE(2012,12,31)-309</f>
        <v>40965</v>
      </c>
      <c r="D1037" s="1" t="s">
        <v>16</v>
      </c>
      <c r="E1037" s="2">
        <v>38</v>
      </c>
      <c r="F1037" s="2">
        <v>425.91</v>
      </c>
      <c r="G1037" s="2">
        <v>0.02</v>
      </c>
      <c r="H1037" s="2">
        <v>0.37</v>
      </c>
      <c r="I1037" s="4">
        <v>55.06</v>
      </c>
      <c r="J1037" s="5">
        <v>11.19</v>
      </c>
      <c r="K1037" s="5">
        <v>5.03</v>
      </c>
      <c r="L1037" s="1" t="s">
        <v>5</v>
      </c>
      <c r="M1037" s="1" t="s">
        <v>38</v>
      </c>
      <c r="N1037" s="1" t="s">
        <v>13</v>
      </c>
      <c r="O1037" s="1" t="s">
        <v>6</v>
      </c>
      <c r="P1037" s="1" t="s">
        <v>7</v>
      </c>
      <c r="Q1037" s="6">
        <f>C1037+3</f>
        <v>40968</v>
      </c>
    </row>
    <row r="1038" spans="1:17" ht="15.75" x14ac:dyDescent="0.3">
      <c r="A1038" s="1">
        <v>8269</v>
      </c>
      <c r="B1038" s="2">
        <v>59108</v>
      </c>
      <c r="C1038" s="3">
        <f>DATE(2012,12,31)-451</f>
        <v>40823</v>
      </c>
      <c r="D1038" s="1" t="s">
        <v>16</v>
      </c>
      <c r="E1038" s="2">
        <v>21</v>
      </c>
      <c r="F1038" s="2">
        <v>68.53</v>
      </c>
      <c r="G1038" s="2">
        <v>0.09</v>
      </c>
      <c r="H1038" s="2">
        <v>0.56000000000000005</v>
      </c>
      <c r="I1038" s="4">
        <v>-59.97</v>
      </c>
      <c r="J1038" s="5">
        <v>3.28</v>
      </c>
      <c r="K1038" s="5">
        <v>3.97</v>
      </c>
      <c r="L1038" s="1" t="s">
        <v>5</v>
      </c>
      <c r="M1038" s="1" t="s">
        <v>38</v>
      </c>
      <c r="N1038" s="1" t="s">
        <v>2</v>
      </c>
      <c r="O1038" s="1" t="s">
        <v>6</v>
      </c>
      <c r="P1038" s="1" t="s">
        <v>14</v>
      </c>
      <c r="Q1038" s="6">
        <f>C1038+5</f>
        <v>40828</v>
      </c>
    </row>
    <row r="1039" spans="1:17" ht="15.75" x14ac:dyDescent="0.3">
      <c r="A1039" s="1">
        <v>8270</v>
      </c>
      <c r="B1039" s="2">
        <v>59108</v>
      </c>
      <c r="C1039" s="3">
        <f>DATE(2012,12,31)-451</f>
        <v>40823</v>
      </c>
      <c r="D1039" s="1" t="s">
        <v>16</v>
      </c>
      <c r="E1039" s="2">
        <v>39</v>
      </c>
      <c r="F1039" s="2">
        <v>4215.83</v>
      </c>
      <c r="G1039" s="2">
        <v>0.02</v>
      </c>
      <c r="H1039" s="2">
        <v>0.59</v>
      </c>
      <c r="I1039" s="4">
        <v>972.18900000000008</v>
      </c>
      <c r="J1039" s="5">
        <v>125.99</v>
      </c>
      <c r="K1039" s="5">
        <v>8.99</v>
      </c>
      <c r="L1039" s="1" t="s">
        <v>5</v>
      </c>
      <c r="M1039" s="1" t="s">
        <v>38</v>
      </c>
      <c r="N1039" s="1" t="s">
        <v>2</v>
      </c>
      <c r="O1039" s="1" t="s">
        <v>11</v>
      </c>
      <c r="P1039" s="1" t="s">
        <v>7</v>
      </c>
      <c r="Q1039" s="6">
        <f>C1039+9</f>
        <v>40832</v>
      </c>
    </row>
    <row r="1040" spans="1:17" ht="15.75" x14ac:dyDescent="0.3">
      <c r="A1040" s="1">
        <v>8339</v>
      </c>
      <c r="B1040" s="2">
        <v>59589</v>
      </c>
      <c r="C1040" s="3">
        <f>DATE(2012,12,31)-264</f>
        <v>41010</v>
      </c>
      <c r="D1040" s="1" t="s">
        <v>12</v>
      </c>
      <c r="E1040" s="2">
        <v>25</v>
      </c>
      <c r="F1040" s="2">
        <v>1610.26</v>
      </c>
      <c r="G1040" s="2">
        <v>0.06</v>
      </c>
      <c r="H1040" s="2">
        <v>0.73</v>
      </c>
      <c r="I1040" s="4">
        <v>122.42</v>
      </c>
      <c r="J1040" s="5">
        <v>64.98</v>
      </c>
      <c r="K1040" s="5">
        <v>6.88</v>
      </c>
      <c r="L1040" s="1" t="s">
        <v>5</v>
      </c>
      <c r="M1040" s="1" t="s">
        <v>38</v>
      </c>
      <c r="N1040" s="1" t="s">
        <v>15</v>
      </c>
      <c r="O1040" s="1" t="s">
        <v>6</v>
      </c>
      <c r="P1040" s="1" t="s">
        <v>7</v>
      </c>
      <c r="Q1040" s="6">
        <f>C1040+0</f>
        <v>41010</v>
      </c>
    </row>
    <row r="1041" spans="1:17" ht="15.75" x14ac:dyDescent="0.3">
      <c r="A1041" s="1">
        <v>8354</v>
      </c>
      <c r="B1041" s="2">
        <v>59685</v>
      </c>
      <c r="C1041" s="3">
        <f>DATE(2012,12,31)-21</f>
        <v>41253</v>
      </c>
      <c r="D1041" s="1" t="s">
        <v>0</v>
      </c>
      <c r="E1041" s="2">
        <v>12</v>
      </c>
      <c r="F1041" s="2">
        <v>505.2</v>
      </c>
      <c r="G1041" s="2">
        <v>0.05</v>
      </c>
      <c r="H1041" s="2">
        <v>0.56999999999999995</v>
      </c>
      <c r="I1041" s="4">
        <v>78.98</v>
      </c>
      <c r="J1041" s="5">
        <v>40.98</v>
      </c>
      <c r="K1041" s="5">
        <v>5.33</v>
      </c>
      <c r="L1041" s="1" t="s">
        <v>5</v>
      </c>
      <c r="M1041" s="1" t="s">
        <v>38</v>
      </c>
      <c r="N1041" s="1" t="s">
        <v>21</v>
      </c>
      <c r="O1041" s="1" t="s">
        <v>6</v>
      </c>
      <c r="P1041" s="1" t="s">
        <v>7</v>
      </c>
      <c r="Q1041" s="6">
        <f>C1041+2</f>
        <v>41255</v>
      </c>
    </row>
    <row r="1042" spans="1:17" ht="15.75" x14ac:dyDescent="0.3">
      <c r="A1042" s="1">
        <v>8355</v>
      </c>
      <c r="B1042" s="2">
        <v>59685</v>
      </c>
      <c r="C1042" s="3">
        <f>DATE(2012,12,31)-21</f>
        <v>41253</v>
      </c>
      <c r="D1042" s="1" t="s">
        <v>0</v>
      </c>
      <c r="E1042" s="2">
        <v>46</v>
      </c>
      <c r="F1042" s="2">
        <v>562.91</v>
      </c>
      <c r="G1042" s="2">
        <v>0.1</v>
      </c>
      <c r="H1042" s="2">
        <v>0.73</v>
      </c>
      <c r="I1042" s="4">
        <v>-560.29</v>
      </c>
      <c r="J1042" s="5">
        <v>12.99</v>
      </c>
      <c r="K1042" s="5">
        <v>14.37</v>
      </c>
      <c r="L1042" s="1" t="s">
        <v>5</v>
      </c>
      <c r="M1042" s="1" t="s">
        <v>38</v>
      </c>
      <c r="N1042" s="1" t="s">
        <v>21</v>
      </c>
      <c r="O1042" s="1" t="s">
        <v>3</v>
      </c>
      <c r="P1042" s="1" t="s">
        <v>10</v>
      </c>
      <c r="Q1042" s="6">
        <f>C1042+1</f>
        <v>41254</v>
      </c>
    </row>
    <row r="1043" spans="1:17" ht="15.75" x14ac:dyDescent="0.3">
      <c r="A1043" s="1">
        <v>8377</v>
      </c>
      <c r="B1043" s="2">
        <v>59845</v>
      </c>
      <c r="C1043" s="3">
        <f>DATE(2012,12,31)-1105</f>
        <v>40169</v>
      </c>
      <c r="D1043" s="1" t="s">
        <v>16</v>
      </c>
      <c r="E1043" s="2">
        <v>42</v>
      </c>
      <c r="F1043" s="2">
        <v>200.1</v>
      </c>
      <c r="G1043" s="2">
        <v>0.04</v>
      </c>
      <c r="H1043" s="2">
        <v>0.8</v>
      </c>
      <c r="I1043" s="4">
        <v>3.02</v>
      </c>
      <c r="J1043" s="5">
        <v>4.71</v>
      </c>
      <c r="K1043" s="5">
        <v>0.7</v>
      </c>
      <c r="L1043" s="1" t="s">
        <v>5</v>
      </c>
      <c r="M1043" s="1" t="s">
        <v>38</v>
      </c>
      <c r="N1043" s="1" t="s">
        <v>21</v>
      </c>
      <c r="O1043" s="1" t="s">
        <v>6</v>
      </c>
      <c r="P1043" s="1" t="s">
        <v>14</v>
      </c>
      <c r="Q1043" s="6">
        <f>C1043+4</f>
        <v>40173</v>
      </c>
    </row>
    <row r="1044" spans="1:17" ht="15.75" x14ac:dyDescent="0.3">
      <c r="A1044" s="1">
        <v>8378</v>
      </c>
      <c r="B1044" s="2">
        <v>59845</v>
      </c>
      <c r="C1044" s="3">
        <f>DATE(2012,12,31)-1105</f>
        <v>40169</v>
      </c>
      <c r="D1044" s="1" t="s">
        <v>16</v>
      </c>
      <c r="E1044" s="2">
        <v>28</v>
      </c>
      <c r="F1044" s="2">
        <v>120.54</v>
      </c>
      <c r="G1044" s="2">
        <v>0.06</v>
      </c>
      <c r="H1044" s="2">
        <v>0.36</v>
      </c>
      <c r="I1044" s="4">
        <v>6.52</v>
      </c>
      <c r="J1044" s="5">
        <v>4.2</v>
      </c>
      <c r="K1044" s="5">
        <v>2.2599999999999998</v>
      </c>
      <c r="L1044" s="1" t="s">
        <v>5</v>
      </c>
      <c r="M1044" s="1" t="s">
        <v>38</v>
      </c>
      <c r="N1044" s="1" t="s">
        <v>21</v>
      </c>
      <c r="O1044" s="1" t="s">
        <v>6</v>
      </c>
      <c r="P1044" s="1" t="s">
        <v>14</v>
      </c>
      <c r="Q1044" s="6">
        <f>C1044+5</f>
        <v>40174</v>
      </c>
    </row>
    <row r="1045" spans="1:17" ht="15.75" x14ac:dyDescent="0.3">
      <c r="A1045" s="1">
        <v>24</v>
      </c>
      <c r="B1045" s="2">
        <v>134</v>
      </c>
      <c r="C1045" s="3">
        <f>DATE(2012,12,31)-245</f>
        <v>41029</v>
      </c>
      <c r="D1045" s="1" t="s">
        <v>8</v>
      </c>
      <c r="E1045" s="2">
        <v>11</v>
      </c>
      <c r="F1045" s="2">
        <v>1132.5999999999999</v>
      </c>
      <c r="G1045" s="2">
        <v>0.01</v>
      </c>
      <c r="H1045" s="2"/>
      <c r="I1045" s="4">
        <v>-310.20999999999998</v>
      </c>
      <c r="J1045" s="5">
        <v>95.99</v>
      </c>
      <c r="K1045" s="5">
        <v>35</v>
      </c>
      <c r="L1045" s="1" t="s">
        <v>5</v>
      </c>
      <c r="M1045" s="1" t="s">
        <v>38</v>
      </c>
      <c r="N1045" s="1" t="s">
        <v>15</v>
      </c>
      <c r="O1045" s="1" t="s">
        <v>6</v>
      </c>
      <c r="P1045" s="1" t="s">
        <v>10</v>
      </c>
      <c r="Q1045" s="6">
        <f>C1045+2</f>
        <v>41031</v>
      </c>
    </row>
    <row r="1046" spans="1:17" ht="15.75" x14ac:dyDescent="0.3">
      <c r="A1046" s="1">
        <v>114</v>
      </c>
      <c r="B1046" s="2">
        <v>740</v>
      </c>
      <c r="C1046" s="3">
        <f>DATE(2012,12,31)-535</f>
        <v>40739</v>
      </c>
      <c r="D1046" s="1" t="s">
        <v>12</v>
      </c>
      <c r="E1046" s="2">
        <v>6</v>
      </c>
      <c r="F1046" s="2">
        <v>28.01</v>
      </c>
      <c r="G1046" s="2">
        <v>0.09</v>
      </c>
      <c r="H1046" s="2">
        <v>0.39</v>
      </c>
      <c r="I1046" s="4">
        <v>3.46</v>
      </c>
      <c r="J1046" s="5">
        <v>4.9800000000000004</v>
      </c>
      <c r="K1046" s="5">
        <v>0.49</v>
      </c>
      <c r="L1046" s="1" t="s">
        <v>5</v>
      </c>
      <c r="M1046" s="1" t="s">
        <v>38</v>
      </c>
      <c r="N1046" s="1" t="s">
        <v>2</v>
      </c>
      <c r="O1046" s="1" t="s">
        <v>6</v>
      </c>
      <c r="P1046" s="1" t="s">
        <v>7</v>
      </c>
      <c r="Q1046" s="6">
        <f>C1046+0</f>
        <v>40739</v>
      </c>
    </row>
    <row r="1047" spans="1:17" ht="15.75" x14ac:dyDescent="0.3">
      <c r="A1047" s="1">
        <v>130</v>
      </c>
      <c r="B1047" s="2">
        <v>833</v>
      </c>
      <c r="C1047" s="3">
        <f>DATE(2012,12,31)-1418</f>
        <v>39856</v>
      </c>
      <c r="D1047" s="1" t="s">
        <v>12</v>
      </c>
      <c r="E1047" s="2">
        <v>1</v>
      </c>
      <c r="F1047" s="2">
        <v>19.32</v>
      </c>
      <c r="G1047" s="2">
        <v>0.03</v>
      </c>
      <c r="H1047" s="2">
        <v>0.38</v>
      </c>
      <c r="I1047" s="4">
        <v>-20.320500000000003</v>
      </c>
      <c r="J1047" s="5">
        <v>12.53</v>
      </c>
      <c r="K1047" s="5">
        <v>7.17</v>
      </c>
      <c r="L1047" s="1" t="s">
        <v>5</v>
      </c>
      <c r="M1047" s="1" t="s">
        <v>38</v>
      </c>
      <c r="N1047" s="1" t="s">
        <v>15</v>
      </c>
      <c r="O1047" s="1" t="s">
        <v>6</v>
      </c>
      <c r="P1047" s="1" t="s">
        <v>7</v>
      </c>
      <c r="Q1047" s="6">
        <f>C1047+1</f>
        <v>39857</v>
      </c>
    </row>
    <row r="1048" spans="1:17" ht="15.75" x14ac:dyDescent="0.3">
      <c r="A1048" s="1">
        <v>234</v>
      </c>
      <c r="B1048" s="2">
        <v>1573</v>
      </c>
      <c r="C1048" s="3">
        <f>DATE(2012,12,31)-4</f>
        <v>41270</v>
      </c>
      <c r="D1048" s="1" t="s">
        <v>17</v>
      </c>
      <c r="E1048" s="2">
        <v>13</v>
      </c>
      <c r="F1048" s="2">
        <v>759.94</v>
      </c>
      <c r="G1048" s="2">
        <v>0.09</v>
      </c>
      <c r="H1048" s="2">
        <v>0.56000000000000005</v>
      </c>
      <c r="I1048" s="4">
        <v>-226.45</v>
      </c>
      <c r="J1048" s="5">
        <v>60.89</v>
      </c>
      <c r="K1048" s="5">
        <v>32.409999999999997</v>
      </c>
      <c r="L1048" s="1" t="s">
        <v>1</v>
      </c>
      <c r="M1048" s="1" t="s">
        <v>38</v>
      </c>
      <c r="N1048" s="1" t="s">
        <v>13</v>
      </c>
      <c r="O1048" s="1" t="s">
        <v>3</v>
      </c>
      <c r="P1048" s="1" t="s">
        <v>4</v>
      </c>
      <c r="Q1048" s="6">
        <f>C1048+2</f>
        <v>41272</v>
      </c>
    </row>
    <row r="1049" spans="1:17" ht="15.75" x14ac:dyDescent="0.3">
      <c r="A1049" s="1">
        <v>243</v>
      </c>
      <c r="B1049" s="2">
        <v>1639</v>
      </c>
      <c r="C1049" s="3">
        <f>DATE(2012,12,31)-500</f>
        <v>40774</v>
      </c>
      <c r="D1049" s="1" t="s">
        <v>8</v>
      </c>
      <c r="E1049" s="2">
        <v>24</v>
      </c>
      <c r="F1049" s="2">
        <v>163.13999999999999</v>
      </c>
      <c r="G1049" s="2">
        <v>0.09</v>
      </c>
      <c r="H1049" s="2">
        <v>0.39</v>
      </c>
      <c r="I1049" s="4">
        <v>-62.2</v>
      </c>
      <c r="J1049" s="5">
        <v>6.78</v>
      </c>
      <c r="K1049" s="5">
        <v>6.18</v>
      </c>
      <c r="L1049" s="1" t="s">
        <v>5</v>
      </c>
      <c r="M1049" s="1" t="s">
        <v>38</v>
      </c>
      <c r="N1049" s="1" t="s">
        <v>15</v>
      </c>
      <c r="O1049" s="1" t="s">
        <v>6</v>
      </c>
      <c r="P1049" s="1" t="s">
        <v>7</v>
      </c>
      <c r="Q1049" s="6">
        <f>C1049+1</f>
        <v>40775</v>
      </c>
    </row>
    <row r="1050" spans="1:17" ht="15.75" x14ac:dyDescent="0.3">
      <c r="A1050" s="1">
        <v>297</v>
      </c>
      <c r="B1050" s="2">
        <v>2053</v>
      </c>
      <c r="C1050" s="3">
        <f>DATE(2012,12,31)-694</f>
        <v>40580</v>
      </c>
      <c r="D1050" s="1" t="s">
        <v>0</v>
      </c>
      <c r="E1050" s="2">
        <v>39</v>
      </c>
      <c r="F1050" s="2">
        <v>19342.84</v>
      </c>
      <c r="G1050" s="2">
        <v>0.01</v>
      </c>
      <c r="H1050" s="2">
        <v>0.6</v>
      </c>
      <c r="I1050" s="4">
        <v>5603.95</v>
      </c>
      <c r="J1050" s="5">
        <v>500.98</v>
      </c>
      <c r="K1050" s="5">
        <v>126</v>
      </c>
      <c r="L1050" s="1" t="s">
        <v>1</v>
      </c>
      <c r="M1050" s="1" t="s">
        <v>38</v>
      </c>
      <c r="N1050" s="1" t="s">
        <v>21</v>
      </c>
      <c r="O1050" s="1" t="s">
        <v>3</v>
      </c>
      <c r="P1050" s="1" t="s">
        <v>4</v>
      </c>
      <c r="Q1050" s="6">
        <f>C1050+1</f>
        <v>40581</v>
      </c>
    </row>
    <row r="1051" spans="1:17" ht="15.75" x14ac:dyDescent="0.3">
      <c r="A1051" s="1">
        <v>298</v>
      </c>
      <c r="B1051" s="2">
        <v>2053</v>
      </c>
      <c r="C1051" s="3">
        <f>DATE(2012,12,31)-694</f>
        <v>40580</v>
      </c>
      <c r="D1051" s="1" t="s">
        <v>0</v>
      </c>
      <c r="E1051" s="2">
        <v>7</v>
      </c>
      <c r="F1051" s="2">
        <v>771.78300000000002</v>
      </c>
      <c r="G1051" s="2">
        <v>0.08</v>
      </c>
      <c r="H1051" s="2">
        <v>0.59</v>
      </c>
      <c r="I1051" s="4">
        <v>-449.52600000000001</v>
      </c>
      <c r="J1051" s="5">
        <v>140.99</v>
      </c>
      <c r="K1051" s="5">
        <v>4.2</v>
      </c>
      <c r="L1051" s="1" t="s">
        <v>5</v>
      </c>
      <c r="M1051" s="1" t="s">
        <v>38</v>
      </c>
      <c r="N1051" s="1" t="s">
        <v>21</v>
      </c>
      <c r="O1051" s="1" t="s">
        <v>11</v>
      </c>
      <c r="P1051" s="1" t="s">
        <v>7</v>
      </c>
      <c r="Q1051" s="6">
        <f>C1051+2</f>
        <v>40582</v>
      </c>
    </row>
    <row r="1052" spans="1:17" ht="15.75" x14ac:dyDescent="0.3">
      <c r="A1052" s="1">
        <v>307</v>
      </c>
      <c r="B1052" s="2">
        <v>2146</v>
      </c>
      <c r="C1052" s="3">
        <f>DATE(2012,12,31)-109</f>
        <v>41165</v>
      </c>
      <c r="D1052" s="1" t="s">
        <v>8</v>
      </c>
      <c r="E1052" s="2">
        <v>41</v>
      </c>
      <c r="F1052" s="2">
        <v>6111.1684999999998</v>
      </c>
      <c r="G1052" s="2">
        <v>0.06</v>
      </c>
      <c r="H1052" s="2">
        <v>0.59</v>
      </c>
      <c r="I1052" s="4">
        <v>1663.0829999999999</v>
      </c>
      <c r="J1052" s="5">
        <v>175.99</v>
      </c>
      <c r="K1052" s="5">
        <v>4.99</v>
      </c>
      <c r="L1052" s="1" t="s">
        <v>5</v>
      </c>
      <c r="M1052" s="1" t="s">
        <v>38</v>
      </c>
      <c r="N1052" s="1" t="s">
        <v>13</v>
      </c>
      <c r="O1052" s="1" t="s">
        <v>11</v>
      </c>
      <c r="P1052" s="1" t="s">
        <v>7</v>
      </c>
      <c r="Q1052" s="6">
        <f>C1052+1</f>
        <v>41166</v>
      </c>
    </row>
    <row r="1053" spans="1:17" ht="15.75" x14ac:dyDescent="0.3">
      <c r="A1053" s="1">
        <v>308</v>
      </c>
      <c r="B1053" s="2">
        <v>2146</v>
      </c>
      <c r="C1053" s="3">
        <f>DATE(2012,12,31)-109</f>
        <v>41165</v>
      </c>
      <c r="D1053" s="1" t="s">
        <v>8</v>
      </c>
      <c r="E1053" s="2">
        <v>44</v>
      </c>
      <c r="F1053" s="2">
        <v>113.71</v>
      </c>
      <c r="G1053" s="2">
        <v>7.0000000000000007E-2</v>
      </c>
      <c r="H1053" s="2">
        <v>0.39</v>
      </c>
      <c r="I1053" s="4">
        <v>41.7</v>
      </c>
      <c r="J1053" s="5">
        <v>2.61</v>
      </c>
      <c r="K1053" s="5">
        <v>0.5</v>
      </c>
      <c r="L1053" s="1" t="s">
        <v>5</v>
      </c>
      <c r="M1053" s="1" t="s">
        <v>38</v>
      </c>
      <c r="N1053" s="1" t="s">
        <v>13</v>
      </c>
      <c r="O1053" s="1" t="s">
        <v>6</v>
      </c>
      <c r="P1053" s="1" t="s">
        <v>7</v>
      </c>
      <c r="Q1053" s="6">
        <f>C1053+2</f>
        <v>41167</v>
      </c>
    </row>
    <row r="1054" spans="1:17" ht="15.75" x14ac:dyDescent="0.3">
      <c r="A1054" s="1">
        <v>396</v>
      </c>
      <c r="B1054" s="2">
        <v>2752</v>
      </c>
      <c r="C1054" s="3">
        <f>DATE(2012,12,31)-774</f>
        <v>40500</v>
      </c>
      <c r="D1054" s="1" t="s">
        <v>17</v>
      </c>
      <c r="E1054" s="2">
        <v>30</v>
      </c>
      <c r="F1054" s="2">
        <v>695.47</v>
      </c>
      <c r="G1054" s="2">
        <v>0.03</v>
      </c>
      <c r="H1054" s="2">
        <v>0.46</v>
      </c>
      <c r="I1054" s="4">
        <v>226.73</v>
      </c>
      <c r="J1054" s="5">
        <v>22.98</v>
      </c>
      <c r="K1054" s="5">
        <v>1.99</v>
      </c>
      <c r="L1054" s="1" t="s">
        <v>5</v>
      </c>
      <c r="M1054" s="1" t="s">
        <v>38</v>
      </c>
      <c r="N1054" s="1" t="s">
        <v>13</v>
      </c>
      <c r="O1054" s="1" t="s">
        <v>11</v>
      </c>
      <c r="P1054" s="1" t="s">
        <v>20</v>
      </c>
      <c r="Q1054" s="6">
        <f>C1054+2</f>
        <v>40502</v>
      </c>
    </row>
    <row r="1055" spans="1:17" ht="15.75" x14ac:dyDescent="0.3">
      <c r="A1055" s="1">
        <v>397</v>
      </c>
      <c r="B1055" s="2">
        <v>2752</v>
      </c>
      <c r="C1055" s="3">
        <f>DATE(2012,12,31)-774</f>
        <v>40500</v>
      </c>
      <c r="D1055" s="1" t="s">
        <v>17</v>
      </c>
      <c r="E1055" s="2">
        <v>41</v>
      </c>
      <c r="F1055" s="2">
        <v>152.59</v>
      </c>
      <c r="G1055" s="2">
        <v>0.02</v>
      </c>
      <c r="H1055" s="2">
        <v>0.39</v>
      </c>
      <c r="I1055" s="4">
        <v>55.48</v>
      </c>
      <c r="J1055" s="5">
        <v>3.78</v>
      </c>
      <c r="K1055" s="5">
        <v>0.71</v>
      </c>
      <c r="L1055" s="1" t="s">
        <v>5</v>
      </c>
      <c r="M1055" s="1" t="s">
        <v>38</v>
      </c>
      <c r="N1055" s="1" t="s">
        <v>13</v>
      </c>
      <c r="O1055" s="1" t="s">
        <v>6</v>
      </c>
      <c r="P1055" s="1" t="s">
        <v>14</v>
      </c>
      <c r="Q1055" s="6">
        <f>C1055+2</f>
        <v>40502</v>
      </c>
    </row>
    <row r="1056" spans="1:17" ht="15.75" x14ac:dyDescent="0.3">
      <c r="A1056" s="1">
        <v>398</v>
      </c>
      <c r="B1056" s="2">
        <v>2752</v>
      </c>
      <c r="C1056" s="3">
        <f>DATE(2012,12,31)-774</f>
        <v>40500</v>
      </c>
      <c r="D1056" s="1" t="s">
        <v>17</v>
      </c>
      <c r="E1056" s="2">
        <v>10</v>
      </c>
      <c r="F1056" s="2">
        <v>365.62</v>
      </c>
      <c r="G1056" s="2">
        <v>0.03</v>
      </c>
      <c r="H1056" s="2">
        <v>0.56999999999999995</v>
      </c>
      <c r="I1056" s="4">
        <v>15.77</v>
      </c>
      <c r="J1056" s="5">
        <v>34.76</v>
      </c>
      <c r="K1056" s="5">
        <v>8.2200000000000006</v>
      </c>
      <c r="L1056" s="1" t="s">
        <v>5</v>
      </c>
      <c r="M1056" s="1" t="s">
        <v>38</v>
      </c>
      <c r="N1056" s="1" t="s">
        <v>13</v>
      </c>
      <c r="O1056" s="1" t="s">
        <v>6</v>
      </c>
      <c r="P1056" s="1" t="s">
        <v>7</v>
      </c>
      <c r="Q1056" s="6">
        <f>C1056+0</f>
        <v>40500</v>
      </c>
    </row>
    <row r="1057" spans="1:17" ht="15.75" x14ac:dyDescent="0.3">
      <c r="A1057" s="1">
        <v>399</v>
      </c>
      <c r="B1057" s="2">
        <v>2752</v>
      </c>
      <c r="C1057" s="3">
        <f>DATE(2012,12,31)-774</f>
        <v>40500</v>
      </c>
      <c r="D1057" s="1" t="s">
        <v>17</v>
      </c>
      <c r="E1057" s="2">
        <v>10</v>
      </c>
      <c r="F1057" s="2">
        <v>575.56899999999996</v>
      </c>
      <c r="G1057" s="2">
        <v>0.04</v>
      </c>
      <c r="H1057" s="2">
        <v>0.56000000000000005</v>
      </c>
      <c r="I1057" s="4">
        <v>-86.515000000000001</v>
      </c>
      <c r="J1057" s="5">
        <v>65.989999999999995</v>
      </c>
      <c r="K1057" s="5">
        <v>5.63</v>
      </c>
      <c r="L1057" s="1" t="s">
        <v>5</v>
      </c>
      <c r="M1057" s="1" t="s">
        <v>38</v>
      </c>
      <c r="N1057" s="1" t="s">
        <v>13</v>
      </c>
      <c r="O1057" s="1" t="s">
        <v>11</v>
      </c>
      <c r="P1057" s="1" t="s">
        <v>7</v>
      </c>
      <c r="Q1057" s="6">
        <f>C1057+2</f>
        <v>40502</v>
      </c>
    </row>
    <row r="1058" spans="1:17" ht="15.75" x14ac:dyDescent="0.3">
      <c r="A1058" s="1">
        <v>760</v>
      </c>
      <c r="B1058" s="2">
        <v>5445</v>
      </c>
      <c r="C1058" s="3">
        <f>DATE(2012,12,31)-890</f>
        <v>40384</v>
      </c>
      <c r="D1058" s="1" t="s">
        <v>16</v>
      </c>
      <c r="E1058" s="2">
        <v>4</v>
      </c>
      <c r="F1058" s="2">
        <v>29.42</v>
      </c>
      <c r="G1058" s="2">
        <v>0.06</v>
      </c>
      <c r="H1058" s="2">
        <v>0.38</v>
      </c>
      <c r="I1058" s="4">
        <v>14.43</v>
      </c>
      <c r="J1058" s="5">
        <v>3.69</v>
      </c>
      <c r="K1058" s="5">
        <v>0.5</v>
      </c>
      <c r="L1058" s="1" t="s">
        <v>9</v>
      </c>
      <c r="M1058" s="1" t="s">
        <v>38</v>
      </c>
      <c r="N1058" s="1" t="s">
        <v>15</v>
      </c>
      <c r="O1058" s="1" t="s">
        <v>6</v>
      </c>
      <c r="P1058" s="1" t="s">
        <v>7</v>
      </c>
      <c r="Q1058" s="6">
        <f>C1058+5</f>
        <v>40389</v>
      </c>
    </row>
    <row r="1059" spans="1:17" ht="15.75" x14ac:dyDescent="0.3">
      <c r="A1059" s="1">
        <v>761</v>
      </c>
      <c r="B1059" s="2">
        <v>5445</v>
      </c>
      <c r="C1059" s="3">
        <f>DATE(2012,12,31)-890</f>
        <v>40384</v>
      </c>
      <c r="D1059" s="1" t="s">
        <v>16</v>
      </c>
      <c r="E1059" s="2">
        <v>9</v>
      </c>
      <c r="F1059" s="2">
        <v>46.48</v>
      </c>
      <c r="G1059" s="2">
        <v>0.01</v>
      </c>
      <c r="H1059" s="2">
        <v>0.52</v>
      </c>
      <c r="I1059" s="4">
        <v>-1.82</v>
      </c>
      <c r="J1059" s="5">
        <v>4.63</v>
      </c>
      <c r="K1059" s="5">
        <v>1.93</v>
      </c>
      <c r="L1059" s="1" t="s">
        <v>5</v>
      </c>
      <c r="M1059" s="1" t="s">
        <v>38</v>
      </c>
      <c r="N1059" s="1" t="s">
        <v>15</v>
      </c>
      <c r="O1059" s="1" t="s">
        <v>6</v>
      </c>
      <c r="P1059" s="1" t="s">
        <v>14</v>
      </c>
      <c r="Q1059" s="6">
        <f>C1059+7</f>
        <v>40391</v>
      </c>
    </row>
    <row r="1060" spans="1:17" ht="15.75" x14ac:dyDescent="0.3">
      <c r="A1060" s="1">
        <v>797</v>
      </c>
      <c r="B1060" s="2">
        <v>5699</v>
      </c>
      <c r="C1060" s="3">
        <f>DATE(2012,12,31)-155</f>
        <v>41119</v>
      </c>
      <c r="D1060" s="1" t="s">
        <v>16</v>
      </c>
      <c r="E1060" s="2">
        <v>2</v>
      </c>
      <c r="F1060" s="2">
        <v>9.25</v>
      </c>
      <c r="G1060" s="2">
        <v>0.01</v>
      </c>
      <c r="H1060" s="2">
        <v>0.39</v>
      </c>
      <c r="I1060" s="4">
        <v>-4.21</v>
      </c>
      <c r="J1060" s="5">
        <v>4.13</v>
      </c>
      <c r="K1060" s="5">
        <v>0.99</v>
      </c>
      <c r="L1060" s="1" t="s">
        <v>5</v>
      </c>
      <c r="M1060" s="1" t="s">
        <v>38</v>
      </c>
      <c r="N1060" s="1" t="s">
        <v>13</v>
      </c>
      <c r="O1060" s="1" t="s">
        <v>6</v>
      </c>
      <c r="P1060" s="1" t="s">
        <v>7</v>
      </c>
      <c r="Q1060" s="6">
        <f>C1060+5</f>
        <v>41124</v>
      </c>
    </row>
    <row r="1061" spans="1:17" ht="15.75" x14ac:dyDescent="0.3">
      <c r="A1061" s="1">
        <v>798</v>
      </c>
      <c r="B1061" s="2">
        <v>5699</v>
      </c>
      <c r="C1061" s="3">
        <f>DATE(2012,12,31)-155</f>
        <v>41119</v>
      </c>
      <c r="D1061" s="1" t="s">
        <v>16</v>
      </c>
      <c r="E1061" s="2">
        <v>41</v>
      </c>
      <c r="F1061" s="2">
        <v>573.89</v>
      </c>
      <c r="G1061" s="2">
        <v>0.09</v>
      </c>
      <c r="H1061" s="2">
        <v>0.56999999999999995</v>
      </c>
      <c r="I1061" s="4">
        <v>-121.44</v>
      </c>
      <c r="J1061" s="5">
        <v>14.98</v>
      </c>
      <c r="K1061" s="5">
        <v>7.69</v>
      </c>
      <c r="L1061" s="1" t="s">
        <v>9</v>
      </c>
      <c r="M1061" s="1" t="s">
        <v>38</v>
      </c>
      <c r="N1061" s="1" t="s">
        <v>13</v>
      </c>
      <c r="O1061" s="1" t="s">
        <v>6</v>
      </c>
      <c r="P1061" s="1" t="s">
        <v>7</v>
      </c>
      <c r="Q1061" s="6">
        <f>C1061+5</f>
        <v>41124</v>
      </c>
    </row>
    <row r="1062" spans="1:17" ht="15.75" x14ac:dyDescent="0.3">
      <c r="A1062" s="1">
        <v>940</v>
      </c>
      <c r="B1062" s="2">
        <v>6823</v>
      </c>
      <c r="C1062" s="3">
        <f>DATE(2012,12,31)-1259</f>
        <v>40015</v>
      </c>
      <c r="D1062" s="1" t="s">
        <v>8</v>
      </c>
      <c r="E1062" s="2">
        <v>50</v>
      </c>
      <c r="F1062" s="2">
        <v>1262.72</v>
      </c>
      <c r="G1062" s="2">
        <v>0.01</v>
      </c>
      <c r="H1062" s="2">
        <v>0.39</v>
      </c>
      <c r="I1062" s="4">
        <v>490.28</v>
      </c>
      <c r="J1062" s="5">
        <v>24.95</v>
      </c>
      <c r="K1062" s="5">
        <v>2.99</v>
      </c>
      <c r="L1062" s="1" t="s">
        <v>5</v>
      </c>
      <c r="M1062" s="1" t="s">
        <v>38</v>
      </c>
      <c r="N1062" s="1" t="s">
        <v>13</v>
      </c>
      <c r="O1062" s="1" t="s">
        <v>6</v>
      </c>
      <c r="P1062" s="1" t="s">
        <v>7</v>
      </c>
      <c r="Q1062" s="6">
        <f>C1062+1</f>
        <v>40016</v>
      </c>
    </row>
    <row r="1063" spans="1:17" ht="15.75" x14ac:dyDescent="0.3">
      <c r="A1063" s="1">
        <v>941</v>
      </c>
      <c r="B1063" s="2">
        <v>6823</v>
      </c>
      <c r="C1063" s="3">
        <f>DATE(2012,12,31)-1259</f>
        <v>40015</v>
      </c>
      <c r="D1063" s="1" t="s">
        <v>8</v>
      </c>
      <c r="E1063" s="2">
        <v>31</v>
      </c>
      <c r="F1063" s="2">
        <v>524.19000000000005</v>
      </c>
      <c r="G1063" s="2">
        <v>0</v>
      </c>
      <c r="H1063" s="2">
        <v>0.64</v>
      </c>
      <c r="I1063" s="4">
        <v>-135.46</v>
      </c>
      <c r="J1063" s="5">
        <v>15.98</v>
      </c>
      <c r="K1063" s="5">
        <v>8.99</v>
      </c>
      <c r="L1063" s="1" t="s">
        <v>5</v>
      </c>
      <c r="M1063" s="1" t="s">
        <v>38</v>
      </c>
      <c r="N1063" s="1" t="s">
        <v>13</v>
      </c>
      <c r="O1063" s="1" t="s">
        <v>11</v>
      </c>
      <c r="P1063" s="1" t="s">
        <v>20</v>
      </c>
      <c r="Q1063" s="6">
        <f>C1063+2</f>
        <v>40017</v>
      </c>
    </row>
    <row r="1064" spans="1:17" ht="15.75" x14ac:dyDescent="0.3">
      <c r="A1064" s="1">
        <v>959</v>
      </c>
      <c r="B1064" s="2">
        <v>6948</v>
      </c>
      <c r="C1064" s="3">
        <f>DATE(2012,12,31)-753</f>
        <v>40521</v>
      </c>
      <c r="D1064" s="1" t="s">
        <v>8</v>
      </c>
      <c r="E1064" s="2">
        <v>15</v>
      </c>
      <c r="F1064" s="2">
        <v>1143.8800000000001</v>
      </c>
      <c r="G1064" s="2">
        <v>0.04</v>
      </c>
      <c r="H1064" s="2">
        <v>0.79</v>
      </c>
      <c r="I1064" s="4">
        <v>-88.7</v>
      </c>
      <c r="J1064" s="5">
        <v>73.98</v>
      </c>
      <c r="K1064" s="5">
        <v>4</v>
      </c>
      <c r="L1064" s="1" t="s">
        <v>5</v>
      </c>
      <c r="M1064" s="1" t="s">
        <v>38</v>
      </c>
      <c r="N1064" s="1" t="s">
        <v>2</v>
      </c>
      <c r="O1064" s="1" t="s">
        <v>11</v>
      </c>
      <c r="P1064" s="1" t="s">
        <v>7</v>
      </c>
      <c r="Q1064" s="6">
        <f>C1064+1</f>
        <v>40522</v>
      </c>
    </row>
    <row r="1065" spans="1:17" ht="15.75" x14ac:dyDescent="0.3">
      <c r="A1065" s="1">
        <v>1027</v>
      </c>
      <c r="B1065" s="2">
        <v>7462</v>
      </c>
      <c r="C1065" s="3">
        <f>DATE(2012,12,31)-680</f>
        <v>40594</v>
      </c>
      <c r="D1065" s="1" t="s">
        <v>17</v>
      </c>
      <c r="E1065" s="2">
        <v>3</v>
      </c>
      <c r="F1065" s="2">
        <v>72.63</v>
      </c>
      <c r="G1065" s="2">
        <v>7.0000000000000007E-2</v>
      </c>
      <c r="H1065" s="2">
        <v>0.59</v>
      </c>
      <c r="I1065" s="4">
        <v>-26.94</v>
      </c>
      <c r="J1065" s="5">
        <v>22.01</v>
      </c>
      <c r="K1065" s="5">
        <v>5.53</v>
      </c>
      <c r="L1065" s="1" t="s">
        <v>9</v>
      </c>
      <c r="M1065" s="1" t="s">
        <v>38</v>
      </c>
      <c r="N1065" s="1" t="s">
        <v>13</v>
      </c>
      <c r="O1065" s="1" t="s">
        <v>6</v>
      </c>
      <c r="P1065" s="1" t="s">
        <v>20</v>
      </c>
      <c r="Q1065" s="6">
        <f>C1065+1</f>
        <v>40595</v>
      </c>
    </row>
    <row r="1066" spans="1:17" ht="15.75" x14ac:dyDescent="0.3">
      <c r="A1066" s="1">
        <v>1062</v>
      </c>
      <c r="B1066" s="2">
        <v>7845</v>
      </c>
      <c r="C1066" s="3">
        <f>DATE(2012,12,31)-1114</f>
        <v>40160</v>
      </c>
      <c r="D1066" s="1" t="s">
        <v>0</v>
      </c>
      <c r="E1066" s="2">
        <v>22</v>
      </c>
      <c r="F1066" s="2">
        <v>118.56</v>
      </c>
      <c r="G1066" s="2">
        <v>0.06</v>
      </c>
      <c r="H1066" s="2">
        <v>0.36</v>
      </c>
      <c r="I1066" s="4">
        <v>-63.3765</v>
      </c>
      <c r="J1066" s="5">
        <v>4.91</v>
      </c>
      <c r="K1066" s="5">
        <v>5.68</v>
      </c>
      <c r="L1066" s="1" t="s">
        <v>9</v>
      </c>
      <c r="M1066" s="1" t="s">
        <v>38</v>
      </c>
      <c r="N1066" s="1" t="s">
        <v>13</v>
      </c>
      <c r="O1066" s="1" t="s">
        <v>6</v>
      </c>
      <c r="P1066" s="1" t="s">
        <v>7</v>
      </c>
      <c r="Q1066" s="6">
        <f>C1066+0</f>
        <v>40160</v>
      </c>
    </row>
    <row r="1067" spans="1:17" ht="15.75" x14ac:dyDescent="0.3">
      <c r="A1067" s="1">
        <v>1063</v>
      </c>
      <c r="B1067" s="2">
        <v>7845</v>
      </c>
      <c r="C1067" s="3">
        <f>DATE(2012,12,31)-1114</f>
        <v>40160</v>
      </c>
      <c r="D1067" s="1" t="s">
        <v>0</v>
      </c>
      <c r="E1067" s="2">
        <v>45</v>
      </c>
      <c r="F1067" s="2">
        <v>2145.0500000000002</v>
      </c>
      <c r="G1067" s="2">
        <v>7.0000000000000007E-2</v>
      </c>
      <c r="H1067" s="2">
        <v>0.35</v>
      </c>
      <c r="I1067" s="4">
        <v>1012.67</v>
      </c>
      <c r="J1067" s="5">
        <v>48.94</v>
      </c>
      <c r="K1067" s="5">
        <v>5.86</v>
      </c>
      <c r="L1067" s="1" t="s">
        <v>9</v>
      </c>
      <c r="M1067" s="1" t="s">
        <v>38</v>
      </c>
      <c r="N1067" s="1" t="s">
        <v>13</v>
      </c>
      <c r="O1067" s="1" t="s">
        <v>6</v>
      </c>
      <c r="P1067" s="1" t="s">
        <v>7</v>
      </c>
      <c r="Q1067" s="6">
        <f>C1067+1</f>
        <v>40161</v>
      </c>
    </row>
    <row r="1068" spans="1:17" ht="15.75" x14ac:dyDescent="0.3">
      <c r="A1068" s="1">
        <v>1092</v>
      </c>
      <c r="B1068" s="2">
        <v>8033</v>
      </c>
      <c r="C1068" s="3">
        <f>DATE(2012,12,31)-251</f>
        <v>41023</v>
      </c>
      <c r="D1068" s="1" t="s">
        <v>17</v>
      </c>
      <c r="E1068" s="2">
        <v>27</v>
      </c>
      <c r="F1068" s="2">
        <v>118.18</v>
      </c>
      <c r="G1068" s="2">
        <v>0.06</v>
      </c>
      <c r="H1068" s="2">
        <v>0.6</v>
      </c>
      <c r="I1068" s="4">
        <v>-133.62</v>
      </c>
      <c r="J1068" s="5">
        <v>4.0599999999999996</v>
      </c>
      <c r="K1068" s="5">
        <v>6.89</v>
      </c>
      <c r="L1068" s="1" t="s">
        <v>5</v>
      </c>
      <c r="M1068" s="1" t="s">
        <v>38</v>
      </c>
      <c r="N1068" s="1" t="s">
        <v>13</v>
      </c>
      <c r="O1068" s="1" t="s">
        <v>6</v>
      </c>
      <c r="P1068" s="1" t="s">
        <v>7</v>
      </c>
      <c r="Q1068" s="6">
        <f>C1068+1</f>
        <v>41024</v>
      </c>
    </row>
    <row r="1069" spans="1:17" ht="15.75" x14ac:dyDescent="0.3">
      <c r="A1069" s="1">
        <v>1150</v>
      </c>
      <c r="B1069" s="2">
        <v>8388</v>
      </c>
      <c r="C1069" s="3">
        <f>DATE(2012,12,31)-312</f>
        <v>40962</v>
      </c>
      <c r="D1069" s="1" t="s">
        <v>16</v>
      </c>
      <c r="E1069" s="2">
        <v>39</v>
      </c>
      <c r="F1069" s="2">
        <v>290.3</v>
      </c>
      <c r="G1069" s="2">
        <v>7.0000000000000007E-2</v>
      </c>
      <c r="H1069" s="2">
        <v>0.42</v>
      </c>
      <c r="I1069" s="4">
        <v>25.16</v>
      </c>
      <c r="J1069" s="5">
        <v>7.59</v>
      </c>
      <c r="K1069" s="5">
        <v>4</v>
      </c>
      <c r="L1069" s="1" t="s">
        <v>5</v>
      </c>
      <c r="M1069" s="1" t="s">
        <v>38</v>
      </c>
      <c r="N1069" s="1" t="s">
        <v>15</v>
      </c>
      <c r="O1069" s="1" t="s">
        <v>3</v>
      </c>
      <c r="P1069" s="1" t="s">
        <v>14</v>
      </c>
      <c r="Q1069" s="6">
        <f>C1069+2</f>
        <v>40964</v>
      </c>
    </row>
    <row r="1070" spans="1:17" ht="15.75" x14ac:dyDescent="0.3">
      <c r="A1070" s="1">
        <v>1151</v>
      </c>
      <c r="B1070" s="2">
        <v>8388</v>
      </c>
      <c r="C1070" s="3">
        <f>DATE(2012,12,31)-312</f>
        <v>40962</v>
      </c>
      <c r="D1070" s="1" t="s">
        <v>16</v>
      </c>
      <c r="E1070" s="2">
        <v>37</v>
      </c>
      <c r="F1070" s="2">
        <v>434.11</v>
      </c>
      <c r="G1070" s="2">
        <v>0.02</v>
      </c>
      <c r="H1070" s="2">
        <v>0.4</v>
      </c>
      <c r="I1070" s="4">
        <v>24.853999999999999</v>
      </c>
      <c r="J1070" s="5">
        <v>11.7</v>
      </c>
      <c r="K1070" s="5">
        <v>5.63</v>
      </c>
      <c r="L1070" s="1" t="s">
        <v>5</v>
      </c>
      <c r="M1070" s="1" t="s">
        <v>38</v>
      </c>
      <c r="N1070" s="1" t="s">
        <v>15</v>
      </c>
      <c r="O1070" s="1" t="s">
        <v>6</v>
      </c>
      <c r="P1070" s="1" t="s">
        <v>7</v>
      </c>
      <c r="Q1070" s="6">
        <f>C1070+2</f>
        <v>40964</v>
      </c>
    </row>
    <row r="1071" spans="1:17" ht="15.75" x14ac:dyDescent="0.3">
      <c r="A1071" s="1">
        <v>1152</v>
      </c>
      <c r="B1071" s="2">
        <v>8388</v>
      </c>
      <c r="C1071" s="3">
        <f>DATE(2012,12,31)-312</f>
        <v>40962</v>
      </c>
      <c r="D1071" s="1" t="s">
        <v>16</v>
      </c>
      <c r="E1071" s="2">
        <v>42</v>
      </c>
      <c r="F1071" s="2">
        <v>288.89999999999998</v>
      </c>
      <c r="G1071" s="2">
        <v>0.02</v>
      </c>
      <c r="H1071" s="2">
        <v>0.38</v>
      </c>
      <c r="I1071" s="4">
        <v>96.34</v>
      </c>
      <c r="J1071" s="5">
        <v>6.98</v>
      </c>
      <c r="K1071" s="5">
        <v>1.6</v>
      </c>
      <c r="L1071" s="1" t="s">
        <v>5</v>
      </c>
      <c r="M1071" s="1" t="s">
        <v>38</v>
      </c>
      <c r="N1071" s="1" t="s">
        <v>15</v>
      </c>
      <c r="O1071" s="1" t="s">
        <v>6</v>
      </c>
      <c r="P1071" s="1" t="s">
        <v>14</v>
      </c>
      <c r="Q1071" s="6">
        <f>C1071+2</f>
        <v>40964</v>
      </c>
    </row>
    <row r="1072" spans="1:17" ht="15.75" x14ac:dyDescent="0.3">
      <c r="A1072" s="1">
        <v>1334</v>
      </c>
      <c r="B1072" s="2">
        <v>9761</v>
      </c>
      <c r="C1072" s="3">
        <f>DATE(2012,12,31)-344</f>
        <v>40930</v>
      </c>
      <c r="D1072" s="1" t="s">
        <v>8</v>
      </c>
      <c r="E1072" s="2">
        <v>2</v>
      </c>
      <c r="F1072" s="2">
        <v>202.64</v>
      </c>
      <c r="G1072" s="2">
        <v>0.04</v>
      </c>
      <c r="H1072" s="2">
        <v>0.36</v>
      </c>
      <c r="I1072" s="4">
        <v>-221.62380000000002</v>
      </c>
      <c r="J1072" s="5">
        <v>90.97</v>
      </c>
      <c r="K1072" s="5">
        <v>14</v>
      </c>
      <c r="L1072" s="1" t="s">
        <v>1</v>
      </c>
      <c r="M1072" s="1" t="s">
        <v>38</v>
      </c>
      <c r="N1072" s="1" t="s">
        <v>13</v>
      </c>
      <c r="O1072" s="1" t="s">
        <v>11</v>
      </c>
      <c r="P1072" s="1" t="s">
        <v>4</v>
      </c>
      <c r="Q1072" s="6">
        <f>C1072+1</f>
        <v>40931</v>
      </c>
    </row>
    <row r="1073" spans="1:17" ht="15.75" x14ac:dyDescent="0.3">
      <c r="A1073" s="1">
        <v>1335</v>
      </c>
      <c r="B1073" s="2">
        <v>9761</v>
      </c>
      <c r="C1073" s="3">
        <f>DATE(2012,12,31)-344</f>
        <v>40930</v>
      </c>
      <c r="D1073" s="1" t="s">
        <v>8</v>
      </c>
      <c r="E1073" s="2">
        <v>23</v>
      </c>
      <c r="F1073" s="2">
        <v>133.69</v>
      </c>
      <c r="G1073" s="2">
        <v>0.08</v>
      </c>
      <c r="H1073" s="2">
        <v>0.36</v>
      </c>
      <c r="I1073" s="4">
        <v>-92.23</v>
      </c>
      <c r="J1073" s="5">
        <v>5.98</v>
      </c>
      <c r="K1073" s="5">
        <v>7.15</v>
      </c>
      <c r="L1073" s="1" t="s">
        <v>5</v>
      </c>
      <c r="M1073" s="1" t="s">
        <v>38</v>
      </c>
      <c r="N1073" s="1" t="s">
        <v>13</v>
      </c>
      <c r="O1073" s="1" t="s">
        <v>6</v>
      </c>
      <c r="P1073" s="1" t="s">
        <v>7</v>
      </c>
      <c r="Q1073" s="6">
        <f>C1073+2</f>
        <v>40932</v>
      </c>
    </row>
    <row r="1074" spans="1:17" ht="15.75" x14ac:dyDescent="0.3">
      <c r="A1074" s="1">
        <v>1354</v>
      </c>
      <c r="B1074" s="2">
        <v>9863</v>
      </c>
      <c r="C1074" s="3">
        <f>DATE(2012,12,31)-484</f>
        <v>40790</v>
      </c>
      <c r="D1074" s="1" t="s">
        <v>0</v>
      </c>
      <c r="E1074" s="2">
        <v>18</v>
      </c>
      <c r="F1074" s="2">
        <v>33.96</v>
      </c>
      <c r="G1074" s="2">
        <v>0</v>
      </c>
      <c r="H1074" s="2">
        <v>0.56000000000000005</v>
      </c>
      <c r="I1074" s="4">
        <v>0.1</v>
      </c>
      <c r="J1074" s="5">
        <v>1.76</v>
      </c>
      <c r="K1074" s="5">
        <v>0.7</v>
      </c>
      <c r="L1074" s="1" t="s">
        <v>5</v>
      </c>
      <c r="M1074" s="1" t="s">
        <v>38</v>
      </c>
      <c r="N1074" s="1" t="s">
        <v>15</v>
      </c>
      <c r="O1074" s="1" t="s">
        <v>6</v>
      </c>
      <c r="P1074" s="1" t="s">
        <v>14</v>
      </c>
      <c r="Q1074" s="6">
        <f>C1074+2</f>
        <v>40792</v>
      </c>
    </row>
    <row r="1075" spans="1:17" ht="15.75" x14ac:dyDescent="0.3">
      <c r="A1075" s="1">
        <v>1432</v>
      </c>
      <c r="B1075" s="2">
        <v>10342</v>
      </c>
      <c r="C1075" s="3">
        <f>DATE(2012,12,31)-405</f>
        <v>40869</v>
      </c>
      <c r="D1075" s="1" t="s">
        <v>12</v>
      </c>
      <c r="E1075" s="2">
        <v>45</v>
      </c>
      <c r="F1075" s="2">
        <v>5181.08</v>
      </c>
      <c r="G1075" s="2">
        <v>0.01</v>
      </c>
      <c r="H1075" s="2">
        <v>0.76</v>
      </c>
      <c r="I1075" s="4">
        <v>-1623.6</v>
      </c>
      <c r="J1075" s="5">
        <v>114.98</v>
      </c>
      <c r="K1075" s="5">
        <v>58.72</v>
      </c>
      <c r="L1075" s="1" t="s">
        <v>1</v>
      </c>
      <c r="M1075" s="1" t="s">
        <v>38</v>
      </c>
      <c r="N1075" s="1" t="s">
        <v>21</v>
      </c>
      <c r="O1075" s="1" t="s">
        <v>3</v>
      </c>
      <c r="P1075" s="1" t="s">
        <v>19</v>
      </c>
      <c r="Q1075" s="6">
        <f>C1075+2</f>
        <v>40871</v>
      </c>
    </row>
    <row r="1076" spans="1:17" ht="15.75" x14ac:dyDescent="0.3">
      <c r="A1076" s="1">
        <v>1433</v>
      </c>
      <c r="B1076" s="2">
        <v>10342</v>
      </c>
      <c r="C1076" s="3">
        <f>DATE(2012,12,31)-405</f>
        <v>40869</v>
      </c>
      <c r="D1076" s="1" t="s">
        <v>12</v>
      </c>
      <c r="E1076" s="2">
        <v>38</v>
      </c>
      <c r="F1076" s="2">
        <v>10567.45</v>
      </c>
      <c r="G1076" s="2">
        <v>0.1</v>
      </c>
      <c r="H1076" s="2">
        <v>0.5</v>
      </c>
      <c r="I1076" s="4">
        <v>2925.37</v>
      </c>
      <c r="J1076" s="5">
        <v>299.99</v>
      </c>
      <c r="K1076" s="5">
        <v>11.64</v>
      </c>
      <c r="L1076" s="1" t="s">
        <v>5</v>
      </c>
      <c r="M1076" s="1" t="s">
        <v>38</v>
      </c>
      <c r="N1076" s="1" t="s">
        <v>21</v>
      </c>
      <c r="O1076" s="1" t="s">
        <v>11</v>
      </c>
      <c r="P1076" s="1" t="s">
        <v>10</v>
      </c>
      <c r="Q1076" s="6">
        <f>C1076+1</f>
        <v>40870</v>
      </c>
    </row>
    <row r="1077" spans="1:17" ht="15.75" x14ac:dyDescent="0.3">
      <c r="A1077" s="1">
        <v>1434</v>
      </c>
      <c r="B1077" s="2">
        <v>10342</v>
      </c>
      <c r="C1077" s="3">
        <f>DATE(2012,12,31)-405</f>
        <v>40869</v>
      </c>
      <c r="D1077" s="1" t="s">
        <v>12</v>
      </c>
      <c r="E1077" s="2">
        <v>38</v>
      </c>
      <c r="F1077" s="2">
        <v>1679.04</v>
      </c>
      <c r="G1077" s="2">
        <v>0.01</v>
      </c>
      <c r="H1077" s="2">
        <v>0.56999999999999995</v>
      </c>
      <c r="I1077" s="4">
        <v>324.47000000000003</v>
      </c>
      <c r="J1077" s="5">
        <v>40.97</v>
      </c>
      <c r="K1077" s="5">
        <v>14.45</v>
      </c>
      <c r="L1077" s="1" t="s">
        <v>5</v>
      </c>
      <c r="M1077" s="1" t="s">
        <v>38</v>
      </c>
      <c r="N1077" s="1" t="s">
        <v>21</v>
      </c>
      <c r="O1077" s="1" t="s">
        <v>3</v>
      </c>
      <c r="P1077" s="1" t="s">
        <v>10</v>
      </c>
      <c r="Q1077" s="6">
        <f>C1077+2</f>
        <v>40871</v>
      </c>
    </row>
    <row r="1078" spans="1:17" ht="15.75" x14ac:dyDescent="0.3">
      <c r="A1078" s="1">
        <v>1435</v>
      </c>
      <c r="B1078" s="2">
        <v>10342</v>
      </c>
      <c r="C1078" s="3">
        <f>DATE(2012,12,31)-405</f>
        <v>40869</v>
      </c>
      <c r="D1078" s="1" t="s">
        <v>12</v>
      </c>
      <c r="E1078" s="2">
        <v>2</v>
      </c>
      <c r="F1078" s="2">
        <v>2055.9699999999998</v>
      </c>
      <c r="G1078" s="2">
        <v>0.05</v>
      </c>
      <c r="H1078" s="2">
        <v>0.36</v>
      </c>
      <c r="I1078" s="4">
        <v>-2342.0052000000001</v>
      </c>
      <c r="J1078" s="5">
        <v>999.99</v>
      </c>
      <c r="K1078" s="5">
        <v>13.99</v>
      </c>
      <c r="L1078" s="1" t="s">
        <v>9</v>
      </c>
      <c r="M1078" s="1" t="s">
        <v>38</v>
      </c>
      <c r="N1078" s="1" t="s">
        <v>21</v>
      </c>
      <c r="O1078" s="1" t="s">
        <v>11</v>
      </c>
      <c r="P1078" s="1" t="s">
        <v>18</v>
      </c>
      <c r="Q1078" s="6">
        <f>C1078+2</f>
        <v>40871</v>
      </c>
    </row>
    <row r="1079" spans="1:17" ht="15.75" x14ac:dyDescent="0.3">
      <c r="A1079" s="1">
        <v>1441</v>
      </c>
      <c r="B1079" s="2">
        <v>10434</v>
      </c>
      <c r="C1079" s="3">
        <f>DATE(2012,12,31)-1104</f>
        <v>40170</v>
      </c>
      <c r="D1079" s="1" t="s">
        <v>17</v>
      </c>
      <c r="E1079" s="2">
        <v>2</v>
      </c>
      <c r="F1079" s="2">
        <v>383.45</v>
      </c>
      <c r="G1079" s="2">
        <v>0.06</v>
      </c>
      <c r="H1079" s="2">
        <v>0.59</v>
      </c>
      <c r="I1079" s="4">
        <v>-244.47</v>
      </c>
      <c r="J1079" s="5">
        <v>180.98</v>
      </c>
      <c r="K1079" s="5">
        <v>26.2</v>
      </c>
      <c r="L1079" s="1" t="s">
        <v>1</v>
      </c>
      <c r="M1079" s="1" t="s">
        <v>38</v>
      </c>
      <c r="N1079" s="1" t="s">
        <v>13</v>
      </c>
      <c r="O1079" s="1" t="s">
        <v>3</v>
      </c>
      <c r="P1079" s="1" t="s">
        <v>4</v>
      </c>
      <c r="Q1079" s="6">
        <f>C1079+1</f>
        <v>40171</v>
      </c>
    </row>
    <row r="1080" spans="1:17" ht="15.75" x14ac:dyDescent="0.3">
      <c r="A1080" s="1">
        <v>1532</v>
      </c>
      <c r="B1080" s="2">
        <v>11040</v>
      </c>
      <c r="C1080" s="3">
        <f>DATE(2012,12,31)-435</f>
        <v>40839</v>
      </c>
      <c r="D1080" s="1" t="s">
        <v>8</v>
      </c>
      <c r="E1080" s="2">
        <v>44</v>
      </c>
      <c r="F1080" s="2">
        <v>1102.28</v>
      </c>
      <c r="G1080" s="2">
        <v>0.03</v>
      </c>
      <c r="H1080" s="2">
        <v>0.35</v>
      </c>
      <c r="I1080" s="4">
        <v>389.61</v>
      </c>
      <c r="J1080" s="5">
        <v>23.99</v>
      </c>
      <c r="K1080" s="5">
        <v>6.71</v>
      </c>
      <c r="L1080" s="1" t="s">
        <v>5</v>
      </c>
      <c r="M1080" s="1" t="s">
        <v>38</v>
      </c>
      <c r="N1080" s="1" t="s">
        <v>2</v>
      </c>
      <c r="O1080" s="1" t="s">
        <v>6</v>
      </c>
      <c r="P1080" s="1" t="s">
        <v>7</v>
      </c>
      <c r="Q1080" s="6">
        <f>C1080+0</f>
        <v>40839</v>
      </c>
    </row>
    <row r="1081" spans="1:17" ht="15.75" x14ac:dyDescent="0.3">
      <c r="A1081" s="1">
        <v>1566</v>
      </c>
      <c r="B1081" s="2">
        <v>11302</v>
      </c>
      <c r="C1081" s="3">
        <f>DATE(2012,12,31)-1401</f>
        <v>39873</v>
      </c>
      <c r="D1081" s="1" t="s">
        <v>16</v>
      </c>
      <c r="E1081" s="2">
        <v>10</v>
      </c>
      <c r="F1081" s="2">
        <v>866.66</v>
      </c>
      <c r="G1081" s="2">
        <v>0.09</v>
      </c>
      <c r="H1081" s="2">
        <v>0.36</v>
      </c>
      <c r="I1081" s="4">
        <v>35.290000000000049</v>
      </c>
      <c r="J1081" s="5">
        <v>90.97</v>
      </c>
      <c r="K1081" s="5">
        <v>14</v>
      </c>
      <c r="L1081" s="1" t="s">
        <v>1</v>
      </c>
      <c r="M1081" s="1" t="s">
        <v>38</v>
      </c>
      <c r="N1081" s="1" t="s">
        <v>15</v>
      </c>
      <c r="O1081" s="1" t="s">
        <v>11</v>
      </c>
      <c r="P1081" s="1" t="s">
        <v>4</v>
      </c>
      <c r="Q1081" s="6">
        <f>C1081+2</f>
        <v>39875</v>
      </c>
    </row>
    <row r="1082" spans="1:17" ht="15.75" x14ac:dyDescent="0.3">
      <c r="A1082" s="1">
        <v>1577</v>
      </c>
      <c r="B1082" s="2">
        <v>11398</v>
      </c>
      <c r="C1082" s="3">
        <f>DATE(2012,12,31)-147</f>
        <v>41127</v>
      </c>
      <c r="D1082" s="1" t="s">
        <v>17</v>
      </c>
      <c r="E1082" s="2">
        <v>16</v>
      </c>
      <c r="F1082" s="2">
        <v>109.7</v>
      </c>
      <c r="G1082" s="2">
        <v>0.03</v>
      </c>
      <c r="H1082" s="2">
        <v>0.4</v>
      </c>
      <c r="I1082" s="4">
        <v>-106.77</v>
      </c>
      <c r="J1082" s="5">
        <v>5.98</v>
      </c>
      <c r="K1082" s="5">
        <v>10.39</v>
      </c>
      <c r="L1082" s="1" t="s">
        <v>5</v>
      </c>
      <c r="M1082" s="1" t="s">
        <v>38</v>
      </c>
      <c r="N1082" s="1" t="s">
        <v>15</v>
      </c>
      <c r="O1082" s="1" t="s">
        <v>6</v>
      </c>
      <c r="P1082" s="1" t="s">
        <v>7</v>
      </c>
      <c r="Q1082" s="6">
        <f>C1082+1</f>
        <v>41128</v>
      </c>
    </row>
    <row r="1083" spans="1:17" ht="15.75" x14ac:dyDescent="0.3">
      <c r="A1083" s="1">
        <v>1578</v>
      </c>
      <c r="B1083" s="2">
        <v>11398</v>
      </c>
      <c r="C1083" s="3">
        <f>DATE(2012,12,31)-147</f>
        <v>41127</v>
      </c>
      <c r="D1083" s="1" t="s">
        <v>17</v>
      </c>
      <c r="E1083" s="2">
        <v>26</v>
      </c>
      <c r="F1083" s="2">
        <v>80.89</v>
      </c>
      <c r="G1083" s="2">
        <v>0.03</v>
      </c>
      <c r="H1083" s="2">
        <v>0.4</v>
      </c>
      <c r="I1083" s="4">
        <v>23.37</v>
      </c>
      <c r="J1083" s="5">
        <v>2.94</v>
      </c>
      <c r="K1083" s="5">
        <v>0.81</v>
      </c>
      <c r="L1083" s="1" t="s">
        <v>5</v>
      </c>
      <c r="M1083" s="1" t="s">
        <v>38</v>
      </c>
      <c r="N1083" s="1" t="s">
        <v>15</v>
      </c>
      <c r="O1083" s="1" t="s">
        <v>6</v>
      </c>
      <c r="P1083" s="1" t="s">
        <v>14</v>
      </c>
      <c r="Q1083" s="6">
        <f>C1083+2</f>
        <v>41129</v>
      </c>
    </row>
    <row r="1084" spans="1:17" ht="15.75" x14ac:dyDescent="0.3">
      <c r="A1084" s="1">
        <v>1599</v>
      </c>
      <c r="B1084" s="2">
        <v>11584</v>
      </c>
      <c r="C1084" s="3">
        <f>DATE(2012,12,31)-1135</f>
        <v>40139</v>
      </c>
      <c r="D1084" s="1" t="s">
        <v>12</v>
      </c>
      <c r="E1084" s="2">
        <v>48</v>
      </c>
      <c r="F1084" s="2">
        <v>1497.3174999999999</v>
      </c>
      <c r="G1084" s="2">
        <v>0.01</v>
      </c>
      <c r="H1084" s="2">
        <v>0.35</v>
      </c>
      <c r="I1084" s="4">
        <v>836.505</v>
      </c>
      <c r="J1084" s="5">
        <v>35.99</v>
      </c>
      <c r="K1084" s="5">
        <v>0.99</v>
      </c>
      <c r="L1084" s="1" t="s">
        <v>5</v>
      </c>
      <c r="M1084" s="1" t="s">
        <v>38</v>
      </c>
      <c r="N1084" s="1" t="s">
        <v>13</v>
      </c>
      <c r="O1084" s="1" t="s">
        <v>11</v>
      </c>
      <c r="P1084" s="1" t="s">
        <v>20</v>
      </c>
      <c r="Q1084" s="6">
        <f>C1084+1</f>
        <v>40140</v>
      </c>
    </row>
    <row r="1085" spans="1:17" ht="15.75" x14ac:dyDescent="0.3">
      <c r="A1085" s="1">
        <v>1607</v>
      </c>
      <c r="B1085" s="2">
        <v>11652</v>
      </c>
      <c r="C1085" s="3">
        <f>DATE(2012,12,31)-417</f>
        <v>40857</v>
      </c>
      <c r="D1085" s="1" t="s">
        <v>8</v>
      </c>
      <c r="E1085" s="2">
        <v>35</v>
      </c>
      <c r="F1085" s="2">
        <v>1154.1400000000001</v>
      </c>
      <c r="G1085" s="2">
        <v>7.0000000000000007E-2</v>
      </c>
      <c r="H1085" s="2">
        <v>0.75</v>
      </c>
      <c r="I1085" s="4">
        <v>-36</v>
      </c>
      <c r="J1085" s="5">
        <v>32.979999999999997</v>
      </c>
      <c r="K1085" s="5">
        <v>5.5</v>
      </c>
      <c r="L1085" s="1" t="s">
        <v>5</v>
      </c>
      <c r="M1085" s="1" t="s">
        <v>38</v>
      </c>
      <c r="N1085" s="1" t="s">
        <v>15</v>
      </c>
      <c r="O1085" s="1" t="s">
        <v>11</v>
      </c>
      <c r="P1085" s="1" t="s">
        <v>7</v>
      </c>
      <c r="Q1085" s="6">
        <f>C1085+1</f>
        <v>40858</v>
      </c>
    </row>
    <row r="1086" spans="1:17" ht="15.75" x14ac:dyDescent="0.3">
      <c r="A1086" s="1">
        <v>1608</v>
      </c>
      <c r="B1086" s="2">
        <v>11652</v>
      </c>
      <c r="C1086" s="3">
        <f>DATE(2012,12,31)-417</f>
        <v>40857</v>
      </c>
      <c r="D1086" s="1" t="s">
        <v>8</v>
      </c>
      <c r="E1086" s="2">
        <v>37</v>
      </c>
      <c r="F1086" s="2">
        <v>223.82</v>
      </c>
      <c r="G1086" s="2">
        <v>0.09</v>
      </c>
      <c r="H1086" s="2">
        <v>0.4</v>
      </c>
      <c r="I1086" s="4">
        <v>-249.11</v>
      </c>
      <c r="J1086" s="5">
        <v>5.98</v>
      </c>
      <c r="K1086" s="5">
        <v>10.39</v>
      </c>
      <c r="L1086" s="1" t="s">
        <v>5</v>
      </c>
      <c r="M1086" s="1" t="s">
        <v>38</v>
      </c>
      <c r="N1086" s="1" t="s">
        <v>15</v>
      </c>
      <c r="O1086" s="1" t="s">
        <v>6</v>
      </c>
      <c r="P1086" s="1" t="s">
        <v>7</v>
      </c>
      <c r="Q1086" s="6">
        <f>C1086+1</f>
        <v>40858</v>
      </c>
    </row>
    <row r="1087" spans="1:17" ht="15.75" x14ac:dyDescent="0.3">
      <c r="A1087" s="1">
        <v>1609</v>
      </c>
      <c r="B1087" s="2">
        <v>11652</v>
      </c>
      <c r="C1087" s="3">
        <f>DATE(2012,12,31)-417</f>
        <v>40857</v>
      </c>
      <c r="D1087" s="1" t="s">
        <v>8</v>
      </c>
      <c r="E1087" s="2">
        <v>1</v>
      </c>
      <c r="F1087" s="2">
        <v>61.463500000000003</v>
      </c>
      <c r="G1087" s="2">
        <v>0.05</v>
      </c>
      <c r="H1087" s="2">
        <v>0.56000000000000005</v>
      </c>
      <c r="I1087" s="4">
        <v>-261.34899999999999</v>
      </c>
      <c r="J1087" s="5">
        <v>65.989999999999995</v>
      </c>
      <c r="K1087" s="5">
        <v>8.99</v>
      </c>
      <c r="L1087" s="1" t="s">
        <v>5</v>
      </c>
      <c r="M1087" s="1" t="s">
        <v>38</v>
      </c>
      <c r="N1087" s="1" t="s">
        <v>15</v>
      </c>
      <c r="O1087" s="1" t="s">
        <v>11</v>
      </c>
      <c r="P1087" s="1" t="s">
        <v>7</v>
      </c>
      <c r="Q1087" s="6">
        <f>C1087+2</f>
        <v>40859</v>
      </c>
    </row>
    <row r="1088" spans="1:17" ht="15.75" x14ac:dyDescent="0.3">
      <c r="A1088" s="1">
        <v>1610</v>
      </c>
      <c r="B1088" s="2">
        <v>11652</v>
      </c>
      <c r="C1088" s="3">
        <f>DATE(2012,12,31)-417</f>
        <v>40857</v>
      </c>
      <c r="D1088" s="1" t="s">
        <v>8</v>
      </c>
      <c r="E1088" s="2">
        <v>25</v>
      </c>
      <c r="F1088" s="2">
        <v>122.09</v>
      </c>
      <c r="G1088" s="2">
        <v>0.1</v>
      </c>
      <c r="H1088" s="2">
        <v>0.36</v>
      </c>
      <c r="I1088" s="4">
        <v>14.11</v>
      </c>
      <c r="J1088" s="5">
        <v>5.18</v>
      </c>
      <c r="K1088" s="5">
        <v>2.04</v>
      </c>
      <c r="L1088" s="1" t="s">
        <v>5</v>
      </c>
      <c r="M1088" s="1" t="s">
        <v>38</v>
      </c>
      <c r="N1088" s="1" t="s">
        <v>15</v>
      </c>
      <c r="O1088" s="1" t="s">
        <v>6</v>
      </c>
      <c r="P1088" s="1" t="s">
        <v>14</v>
      </c>
      <c r="Q1088" s="6">
        <f>C1088+2</f>
        <v>40859</v>
      </c>
    </row>
    <row r="1089" spans="1:17" ht="15.75" x14ac:dyDescent="0.3">
      <c r="A1089" s="1">
        <v>1615</v>
      </c>
      <c r="B1089" s="2">
        <v>11686</v>
      </c>
      <c r="C1089" s="3">
        <f>DATE(2012,12,31)-1434</f>
        <v>39840</v>
      </c>
      <c r="D1089" s="1" t="s">
        <v>8</v>
      </c>
      <c r="E1089" s="2">
        <v>38</v>
      </c>
      <c r="F1089" s="2">
        <v>6121.1984999999995</v>
      </c>
      <c r="G1089" s="2">
        <v>0.08</v>
      </c>
      <c r="H1089" s="2">
        <v>0.59</v>
      </c>
      <c r="I1089" s="4">
        <v>1312.3440000000001</v>
      </c>
      <c r="J1089" s="5">
        <v>205.99</v>
      </c>
      <c r="K1089" s="5">
        <v>2.5</v>
      </c>
      <c r="L1089" s="1" t="s">
        <v>5</v>
      </c>
      <c r="M1089" s="1" t="s">
        <v>38</v>
      </c>
      <c r="N1089" s="1" t="s">
        <v>15</v>
      </c>
      <c r="O1089" s="1" t="s">
        <v>11</v>
      </c>
      <c r="P1089" s="1" t="s">
        <v>7</v>
      </c>
      <c r="Q1089" s="6">
        <f>C1089+1</f>
        <v>39841</v>
      </c>
    </row>
    <row r="1090" spans="1:17" ht="15.75" x14ac:dyDescent="0.3">
      <c r="A1090" s="1">
        <v>1940</v>
      </c>
      <c r="B1090" s="2">
        <v>13895</v>
      </c>
      <c r="C1090" s="3">
        <f>DATE(2012,12,31)-772</f>
        <v>40502</v>
      </c>
      <c r="D1090" s="1" t="s">
        <v>17</v>
      </c>
      <c r="E1090" s="2">
        <v>44</v>
      </c>
      <c r="F1090" s="2">
        <v>614.34</v>
      </c>
      <c r="G1090" s="2">
        <v>0.02</v>
      </c>
      <c r="H1090" s="2">
        <v>0.56000000000000005</v>
      </c>
      <c r="I1090" s="4">
        <v>-171.7</v>
      </c>
      <c r="J1090" s="5">
        <v>14.03</v>
      </c>
      <c r="K1090" s="5">
        <v>9.3699999999999992</v>
      </c>
      <c r="L1090" s="1" t="s">
        <v>5</v>
      </c>
      <c r="M1090" s="1" t="s">
        <v>38</v>
      </c>
      <c r="N1090" s="1" t="s">
        <v>13</v>
      </c>
      <c r="O1090" s="1" t="s">
        <v>6</v>
      </c>
      <c r="P1090" s="1" t="s">
        <v>7</v>
      </c>
      <c r="Q1090" s="6">
        <f>C1090+0</f>
        <v>40502</v>
      </c>
    </row>
    <row r="1091" spans="1:17" ht="15.75" x14ac:dyDescent="0.3">
      <c r="A1091" s="1">
        <v>2072</v>
      </c>
      <c r="B1091" s="2">
        <v>14820</v>
      </c>
      <c r="C1091" s="3">
        <f>DATE(2012,12,31)-357</f>
        <v>40917</v>
      </c>
      <c r="D1091" s="1" t="s">
        <v>17</v>
      </c>
      <c r="E1091" s="2">
        <v>39</v>
      </c>
      <c r="F1091" s="2">
        <v>278.90199999999999</v>
      </c>
      <c r="G1091" s="2">
        <v>0.04</v>
      </c>
      <c r="H1091" s="2">
        <v>0.6</v>
      </c>
      <c r="I1091" s="4">
        <v>-104.467</v>
      </c>
      <c r="J1091" s="5">
        <v>7.99</v>
      </c>
      <c r="K1091" s="5">
        <v>5.03</v>
      </c>
      <c r="L1091" s="1" t="s">
        <v>9</v>
      </c>
      <c r="M1091" s="1" t="s">
        <v>38</v>
      </c>
      <c r="N1091" s="1" t="s">
        <v>15</v>
      </c>
      <c r="O1091" s="1" t="s">
        <v>11</v>
      </c>
      <c r="P1091" s="1" t="s">
        <v>18</v>
      </c>
      <c r="Q1091" s="6">
        <f>C1091+2</f>
        <v>40919</v>
      </c>
    </row>
    <row r="1092" spans="1:17" ht="15.75" x14ac:dyDescent="0.3">
      <c r="A1092" s="1">
        <v>2127</v>
      </c>
      <c r="B1092" s="2">
        <v>15170</v>
      </c>
      <c r="C1092" s="3">
        <f>DATE(2012,12,31)-1384</f>
        <v>39890</v>
      </c>
      <c r="D1092" s="1" t="s">
        <v>0</v>
      </c>
      <c r="E1092" s="2">
        <v>19</v>
      </c>
      <c r="F1092" s="2">
        <v>356.46449999999999</v>
      </c>
      <c r="G1092" s="2">
        <v>0.01</v>
      </c>
      <c r="H1092" s="2">
        <v>0.57999999999999996</v>
      </c>
      <c r="I1092" s="4">
        <v>-9.1079999999999988</v>
      </c>
      <c r="J1092" s="5">
        <v>20.99</v>
      </c>
      <c r="K1092" s="5">
        <v>4.8099999999999996</v>
      </c>
      <c r="L1092" s="1" t="s">
        <v>5</v>
      </c>
      <c r="M1092" s="1" t="s">
        <v>38</v>
      </c>
      <c r="N1092" s="1" t="s">
        <v>2</v>
      </c>
      <c r="O1092" s="1" t="s">
        <v>11</v>
      </c>
      <c r="P1092" s="1" t="s">
        <v>18</v>
      </c>
      <c r="Q1092" s="6">
        <f>C1092+0</f>
        <v>39890</v>
      </c>
    </row>
    <row r="1093" spans="1:17" ht="15.75" x14ac:dyDescent="0.3">
      <c r="A1093" s="1">
        <v>2190</v>
      </c>
      <c r="B1093" s="2">
        <v>15780</v>
      </c>
      <c r="C1093" s="3">
        <f>DATE(2012,12,31)-628</f>
        <v>40646</v>
      </c>
      <c r="D1093" s="1" t="s">
        <v>0</v>
      </c>
      <c r="E1093" s="2">
        <v>19</v>
      </c>
      <c r="F1093" s="2">
        <v>71.77</v>
      </c>
      <c r="G1093" s="2">
        <v>0.03</v>
      </c>
      <c r="H1093" s="2">
        <v>0.39</v>
      </c>
      <c r="I1093" s="4">
        <v>22.71</v>
      </c>
      <c r="J1093" s="5">
        <v>3.78</v>
      </c>
      <c r="K1093" s="5">
        <v>0.71</v>
      </c>
      <c r="L1093" s="1" t="s">
        <v>5</v>
      </c>
      <c r="M1093" s="1" t="s">
        <v>38</v>
      </c>
      <c r="N1093" s="1" t="s">
        <v>2</v>
      </c>
      <c r="O1093" s="1" t="s">
        <v>6</v>
      </c>
      <c r="P1093" s="1" t="s">
        <v>14</v>
      </c>
      <c r="Q1093" s="6">
        <f>C1093+2</f>
        <v>40648</v>
      </c>
    </row>
    <row r="1094" spans="1:17" ht="15.75" x14ac:dyDescent="0.3">
      <c r="A1094" s="1">
        <v>2225</v>
      </c>
      <c r="B1094" s="2">
        <v>16098</v>
      </c>
      <c r="C1094" s="3">
        <f>DATE(2012,12,31)-163</f>
        <v>41111</v>
      </c>
      <c r="D1094" s="1" t="s">
        <v>16</v>
      </c>
      <c r="E1094" s="2">
        <v>31</v>
      </c>
      <c r="F1094" s="2">
        <v>480.43</v>
      </c>
      <c r="G1094" s="2">
        <v>0.06</v>
      </c>
      <c r="H1094" s="2">
        <v>0.39</v>
      </c>
      <c r="I1094" s="4">
        <v>50.59</v>
      </c>
      <c r="J1094" s="5">
        <v>14.98</v>
      </c>
      <c r="K1094" s="5">
        <v>8.99</v>
      </c>
      <c r="L1094" s="1" t="s">
        <v>5</v>
      </c>
      <c r="M1094" s="1" t="s">
        <v>38</v>
      </c>
      <c r="N1094" s="1" t="s">
        <v>15</v>
      </c>
      <c r="O1094" s="1" t="s">
        <v>3</v>
      </c>
      <c r="P1094" s="1" t="s">
        <v>20</v>
      </c>
      <c r="Q1094" s="6">
        <f>C1094+4</f>
        <v>41115</v>
      </c>
    </row>
    <row r="1095" spans="1:17" ht="15.75" x14ac:dyDescent="0.3">
      <c r="A1095" s="1">
        <v>2229</v>
      </c>
      <c r="B1095" s="2">
        <v>16103</v>
      </c>
      <c r="C1095" s="3">
        <f>DATE(2012,12,31)-169</f>
        <v>41105</v>
      </c>
      <c r="D1095" s="1" t="s">
        <v>8</v>
      </c>
      <c r="E1095" s="2">
        <v>31</v>
      </c>
      <c r="F1095" s="2">
        <v>217.14</v>
      </c>
      <c r="G1095" s="2">
        <v>0</v>
      </c>
      <c r="H1095" s="2">
        <v>0.37</v>
      </c>
      <c r="I1095" s="4">
        <v>-62.97</v>
      </c>
      <c r="J1095" s="5">
        <v>6.48</v>
      </c>
      <c r="K1095" s="5">
        <v>6.22</v>
      </c>
      <c r="L1095" s="1" t="s">
        <v>5</v>
      </c>
      <c r="M1095" s="1" t="s">
        <v>38</v>
      </c>
      <c r="N1095" s="1" t="s">
        <v>2</v>
      </c>
      <c r="O1095" s="1" t="s">
        <v>6</v>
      </c>
      <c r="P1095" s="1" t="s">
        <v>7</v>
      </c>
      <c r="Q1095" s="6">
        <f>C1095+2</f>
        <v>41107</v>
      </c>
    </row>
    <row r="1096" spans="1:17" ht="15.75" x14ac:dyDescent="0.3">
      <c r="A1096" s="1">
        <v>2303</v>
      </c>
      <c r="B1096" s="2">
        <v>16610</v>
      </c>
      <c r="C1096" s="3">
        <f>DATE(2012,12,31)-1178</f>
        <v>40096</v>
      </c>
      <c r="D1096" s="1" t="s">
        <v>17</v>
      </c>
      <c r="E1096" s="2">
        <v>19</v>
      </c>
      <c r="F1096" s="2">
        <v>659.13</v>
      </c>
      <c r="G1096" s="2">
        <v>0.09</v>
      </c>
      <c r="H1096" s="2">
        <v>0.4</v>
      </c>
      <c r="I1096" s="4">
        <v>187.57</v>
      </c>
      <c r="J1096" s="5">
        <v>35.94</v>
      </c>
      <c r="K1096" s="5">
        <v>6.66</v>
      </c>
      <c r="L1096" s="1" t="s">
        <v>5</v>
      </c>
      <c r="M1096" s="1" t="s">
        <v>38</v>
      </c>
      <c r="N1096" s="1" t="s">
        <v>2</v>
      </c>
      <c r="O1096" s="1" t="s">
        <v>6</v>
      </c>
      <c r="P1096" s="1" t="s">
        <v>7</v>
      </c>
      <c r="Q1096" s="6">
        <f>C1096+2</f>
        <v>40098</v>
      </c>
    </row>
    <row r="1097" spans="1:17" ht="15.75" x14ac:dyDescent="0.3">
      <c r="A1097" s="1">
        <v>2596</v>
      </c>
      <c r="B1097" s="2">
        <v>18757</v>
      </c>
      <c r="C1097" s="3">
        <f>DATE(2012,12,31)-223</f>
        <v>41051</v>
      </c>
      <c r="D1097" s="1" t="s">
        <v>16</v>
      </c>
      <c r="E1097" s="2">
        <v>9</v>
      </c>
      <c r="F1097" s="2">
        <v>222.2</v>
      </c>
      <c r="G1097" s="2">
        <v>0.03</v>
      </c>
      <c r="H1097" s="2">
        <v>0.38</v>
      </c>
      <c r="I1097" s="4">
        <v>-40.25</v>
      </c>
      <c r="J1097" s="5">
        <v>22.38</v>
      </c>
      <c r="K1097" s="5">
        <v>15.1</v>
      </c>
      <c r="L1097" s="1" t="s">
        <v>5</v>
      </c>
      <c r="M1097" s="1" t="s">
        <v>38</v>
      </c>
      <c r="N1097" s="1" t="s">
        <v>21</v>
      </c>
      <c r="O1097" s="1" t="s">
        <v>6</v>
      </c>
      <c r="P1097" s="1" t="s">
        <v>7</v>
      </c>
      <c r="Q1097" s="6">
        <f>C1097+2</f>
        <v>41053</v>
      </c>
    </row>
    <row r="1098" spans="1:17" ht="15.75" x14ac:dyDescent="0.3">
      <c r="A1098" s="1">
        <v>2597</v>
      </c>
      <c r="B1098" s="2">
        <v>18757</v>
      </c>
      <c r="C1098" s="3">
        <f>DATE(2012,12,31)-223</f>
        <v>41051</v>
      </c>
      <c r="D1098" s="1" t="s">
        <v>16</v>
      </c>
      <c r="E1098" s="2">
        <v>5</v>
      </c>
      <c r="F1098" s="2">
        <v>39.9</v>
      </c>
      <c r="G1098" s="2">
        <v>0.02</v>
      </c>
      <c r="H1098" s="2">
        <v>0.38</v>
      </c>
      <c r="I1098" s="4">
        <v>-37.8005</v>
      </c>
      <c r="J1098" s="5">
        <v>5.94</v>
      </c>
      <c r="K1098" s="5">
        <v>9.92</v>
      </c>
      <c r="L1098" s="1" t="s">
        <v>5</v>
      </c>
      <c r="M1098" s="1" t="s">
        <v>38</v>
      </c>
      <c r="N1098" s="1" t="s">
        <v>21</v>
      </c>
      <c r="O1098" s="1" t="s">
        <v>6</v>
      </c>
      <c r="P1098" s="1" t="s">
        <v>7</v>
      </c>
      <c r="Q1098" s="6">
        <f>C1098+5</f>
        <v>41056</v>
      </c>
    </row>
    <row r="1099" spans="1:17" ht="15.75" x14ac:dyDescent="0.3">
      <c r="A1099" s="1">
        <v>2687</v>
      </c>
      <c r="B1099" s="2">
        <v>19431</v>
      </c>
      <c r="C1099" s="3">
        <f>DATE(2012,12,31)-1318</f>
        <v>39956</v>
      </c>
      <c r="D1099" s="1" t="s">
        <v>8</v>
      </c>
      <c r="E1099" s="2">
        <v>4</v>
      </c>
      <c r="F1099" s="2">
        <v>16.82</v>
      </c>
      <c r="G1099" s="2">
        <v>0.08</v>
      </c>
      <c r="H1099" s="2">
        <v>0.56999999999999995</v>
      </c>
      <c r="I1099" s="4">
        <v>-5.54</v>
      </c>
      <c r="J1099" s="5">
        <v>4.13</v>
      </c>
      <c r="K1099" s="5">
        <v>1.17</v>
      </c>
      <c r="L1099" s="1" t="s">
        <v>5</v>
      </c>
      <c r="M1099" s="1" t="s">
        <v>38</v>
      </c>
      <c r="N1099" s="1" t="s">
        <v>15</v>
      </c>
      <c r="O1099" s="1" t="s">
        <v>6</v>
      </c>
      <c r="P1099" s="1" t="s">
        <v>14</v>
      </c>
      <c r="Q1099" s="6">
        <f>C1099+2</f>
        <v>39958</v>
      </c>
    </row>
    <row r="1100" spans="1:17" ht="15.75" x14ac:dyDescent="0.3">
      <c r="A1100" s="1">
        <v>2712</v>
      </c>
      <c r="B1100" s="2">
        <v>19584</v>
      </c>
      <c r="C1100" s="3">
        <f>DATE(2012,12,31)-1355</f>
        <v>39919</v>
      </c>
      <c r="D1100" s="1" t="s">
        <v>0</v>
      </c>
      <c r="E1100" s="2">
        <v>6</v>
      </c>
      <c r="F1100" s="2">
        <v>14535.8</v>
      </c>
      <c r="G1100" s="2">
        <v>0.05</v>
      </c>
      <c r="H1100" s="2">
        <v>0.56999999999999995</v>
      </c>
      <c r="I1100" s="4">
        <v>-3971.0627999999997</v>
      </c>
      <c r="J1100" s="5">
        <v>2550.14</v>
      </c>
      <c r="K1100" s="5">
        <v>29.7</v>
      </c>
      <c r="L1100" s="1" t="s">
        <v>1</v>
      </c>
      <c r="M1100" s="1" t="s">
        <v>38</v>
      </c>
      <c r="N1100" s="1" t="s">
        <v>2</v>
      </c>
      <c r="O1100" s="1" t="s">
        <v>11</v>
      </c>
      <c r="P1100" s="1" t="s">
        <v>4</v>
      </c>
      <c r="Q1100" s="6">
        <f>C1100+1</f>
        <v>39920</v>
      </c>
    </row>
    <row r="1101" spans="1:17" ht="15.75" x14ac:dyDescent="0.3">
      <c r="A1101" s="1">
        <v>2810</v>
      </c>
      <c r="B1101" s="2">
        <v>20262</v>
      </c>
      <c r="C1101" s="3">
        <f>DATE(2012,12,31)-1101</f>
        <v>40173</v>
      </c>
      <c r="D1101" s="1" t="s">
        <v>8</v>
      </c>
      <c r="E1101" s="2">
        <v>27</v>
      </c>
      <c r="F1101" s="2">
        <v>652.24</v>
      </c>
      <c r="G1101" s="2">
        <v>0.02</v>
      </c>
      <c r="H1101" s="2">
        <v>0.44</v>
      </c>
      <c r="I1101" s="4">
        <v>185.04</v>
      </c>
      <c r="J1101" s="5">
        <v>22.72</v>
      </c>
      <c r="K1101" s="5">
        <v>8.99</v>
      </c>
      <c r="L1101" s="1" t="s">
        <v>5</v>
      </c>
      <c r="M1101" s="1" t="s">
        <v>38</v>
      </c>
      <c r="N1101" s="1" t="s">
        <v>15</v>
      </c>
      <c r="O1101" s="1" t="s">
        <v>3</v>
      </c>
      <c r="P1101" s="1" t="s">
        <v>20</v>
      </c>
      <c r="Q1101" s="6">
        <f>C1101+0</f>
        <v>40173</v>
      </c>
    </row>
    <row r="1102" spans="1:17" ht="15.75" x14ac:dyDescent="0.3">
      <c r="A1102" s="1">
        <v>2852</v>
      </c>
      <c r="B1102" s="2">
        <v>20545</v>
      </c>
      <c r="C1102" s="3">
        <f>DATE(2012,12,31)-814</f>
        <v>40460</v>
      </c>
      <c r="D1102" s="1" t="s">
        <v>8</v>
      </c>
      <c r="E1102" s="2">
        <v>1</v>
      </c>
      <c r="F1102" s="2">
        <v>361.94</v>
      </c>
      <c r="G1102" s="2">
        <v>0.05</v>
      </c>
      <c r="H1102" s="2">
        <v>0.6</v>
      </c>
      <c r="I1102" s="4">
        <v>-163.58000000000001</v>
      </c>
      <c r="J1102" s="5">
        <v>284.98</v>
      </c>
      <c r="K1102" s="5">
        <v>69.55</v>
      </c>
      <c r="L1102" s="1" t="s">
        <v>1</v>
      </c>
      <c r="M1102" s="1" t="s">
        <v>38</v>
      </c>
      <c r="N1102" s="1" t="s">
        <v>13</v>
      </c>
      <c r="O1102" s="1" t="s">
        <v>3</v>
      </c>
      <c r="P1102" s="1" t="s">
        <v>4</v>
      </c>
      <c r="Q1102" s="6">
        <f>C1102+1</f>
        <v>40461</v>
      </c>
    </row>
    <row r="1103" spans="1:17" ht="15.75" x14ac:dyDescent="0.3">
      <c r="A1103" s="1">
        <v>2853</v>
      </c>
      <c r="B1103" s="2">
        <v>20545</v>
      </c>
      <c r="C1103" s="3">
        <f>DATE(2012,12,31)-814</f>
        <v>40460</v>
      </c>
      <c r="D1103" s="1" t="s">
        <v>8</v>
      </c>
      <c r="E1103" s="2">
        <v>31</v>
      </c>
      <c r="F1103" s="2">
        <v>1276.04</v>
      </c>
      <c r="G1103" s="2">
        <v>0.02</v>
      </c>
      <c r="H1103" s="2">
        <v>0.36</v>
      </c>
      <c r="I1103" s="4">
        <v>554.95000000000005</v>
      </c>
      <c r="J1103" s="5">
        <v>40.99</v>
      </c>
      <c r="K1103" s="5">
        <v>5.86</v>
      </c>
      <c r="L1103" s="1" t="s">
        <v>5</v>
      </c>
      <c r="M1103" s="1" t="s">
        <v>38</v>
      </c>
      <c r="N1103" s="1" t="s">
        <v>13</v>
      </c>
      <c r="O1103" s="1" t="s">
        <v>6</v>
      </c>
      <c r="P1103" s="1" t="s">
        <v>7</v>
      </c>
      <c r="Q1103" s="6">
        <f>C1103+2</f>
        <v>40462</v>
      </c>
    </row>
    <row r="1104" spans="1:17" ht="15.75" x14ac:dyDescent="0.3">
      <c r="A1104" s="1">
        <v>2854</v>
      </c>
      <c r="B1104" s="2">
        <v>20545</v>
      </c>
      <c r="C1104" s="3">
        <f>DATE(2012,12,31)-814</f>
        <v>40460</v>
      </c>
      <c r="D1104" s="1" t="s">
        <v>8</v>
      </c>
      <c r="E1104" s="2">
        <v>40</v>
      </c>
      <c r="F1104" s="2">
        <v>2894.68</v>
      </c>
      <c r="G1104" s="2">
        <v>0.02</v>
      </c>
      <c r="H1104" s="2">
        <v>0.68</v>
      </c>
      <c r="I1104" s="4">
        <v>-1754.3879999999999</v>
      </c>
      <c r="J1104" s="5">
        <v>71.37</v>
      </c>
      <c r="K1104" s="5">
        <v>69</v>
      </c>
      <c r="L1104" s="1" t="s">
        <v>5</v>
      </c>
      <c r="M1104" s="1" t="s">
        <v>38</v>
      </c>
      <c r="N1104" s="1" t="s">
        <v>13</v>
      </c>
      <c r="O1104" s="1" t="s">
        <v>3</v>
      </c>
      <c r="P1104" s="1" t="s">
        <v>10</v>
      </c>
      <c r="Q1104" s="6">
        <f>C1104+2</f>
        <v>40462</v>
      </c>
    </row>
    <row r="1105" spans="1:17" ht="15.75" x14ac:dyDescent="0.3">
      <c r="A1105" s="1">
        <v>2856</v>
      </c>
      <c r="B1105" s="2">
        <v>20577</v>
      </c>
      <c r="C1105" s="3">
        <f>DATE(2012,12,31)-1056</f>
        <v>40218</v>
      </c>
      <c r="D1105" s="1" t="s">
        <v>0</v>
      </c>
      <c r="E1105" s="2">
        <v>15</v>
      </c>
      <c r="F1105" s="2">
        <v>611.67999999999995</v>
      </c>
      <c r="G1105" s="2">
        <v>0.05</v>
      </c>
      <c r="H1105" s="2">
        <v>0.37</v>
      </c>
      <c r="I1105" s="4">
        <v>134.75049999999999</v>
      </c>
      <c r="J1105" s="5">
        <v>39.06</v>
      </c>
      <c r="K1105" s="5">
        <v>10.55</v>
      </c>
      <c r="L1105" s="1" t="s">
        <v>5</v>
      </c>
      <c r="M1105" s="1" t="s">
        <v>38</v>
      </c>
      <c r="N1105" s="1" t="s">
        <v>15</v>
      </c>
      <c r="O1105" s="1" t="s">
        <v>6</v>
      </c>
      <c r="P1105" s="1" t="s">
        <v>7</v>
      </c>
      <c r="Q1105" s="6">
        <f>C1105+2</f>
        <v>40220</v>
      </c>
    </row>
    <row r="1106" spans="1:17" ht="15.75" x14ac:dyDescent="0.3">
      <c r="A1106" s="1">
        <v>5624</v>
      </c>
      <c r="B1106" s="2">
        <v>39842</v>
      </c>
      <c r="C1106" s="3">
        <f>DATE(2012,12,31)-743</f>
        <v>40531</v>
      </c>
      <c r="D1106" s="1" t="s">
        <v>12</v>
      </c>
      <c r="E1106" s="2">
        <v>38</v>
      </c>
      <c r="F1106" s="2">
        <v>1554.21</v>
      </c>
      <c r="G1106" s="2">
        <v>0.08</v>
      </c>
      <c r="H1106" s="2">
        <v>0.76</v>
      </c>
      <c r="I1106" s="4">
        <v>114.45</v>
      </c>
      <c r="J1106" s="5">
        <v>41.32</v>
      </c>
      <c r="K1106" s="5">
        <v>8.66</v>
      </c>
      <c r="L1106" s="1" t="s">
        <v>9</v>
      </c>
      <c r="M1106" s="1" t="s">
        <v>38</v>
      </c>
      <c r="N1106" s="1" t="s">
        <v>21</v>
      </c>
      <c r="O1106" s="1" t="s">
        <v>3</v>
      </c>
      <c r="P1106" s="1" t="s">
        <v>18</v>
      </c>
      <c r="Q1106" s="6">
        <f>C1106+0</f>
        <v>40531</v>
      </c>
    </row>
    <row r="1107" spans="1:17" ht="15.75" x14ac:dyDescent="0.3">
      <c r="A1107" s="1">
        <v>5888</v>
      </c>
      <c r="B1107" s="2">
        <v>41766</v>
      </c>
      <c r="C1107" s="3">
        <f>DATE(2012,12,31)-111</f>
        <v>41163</v>
      </c>
      <c r="D1107" s="1" t="s">
        <v>0</v>
      </c>
      <c r="E1107" s="2">
        <v>7</v>
      </c>
      <c r="F1107" s="2">
        <v>273.42</v>
      </c>
      <c r="G1107" s="2">
        <v>0</v>
      </c>
      <c r="H1107" s="2">
        <v>0.37</v>
      </c>
      <c r="I1107" s="4">
        <v>10.064</v>
      </c>
      <c r="J1107" s="5">
        <v>34.54</v>
      </c>
      <c r="K1107" s="5">
        <v>14.72</v>
      </c>
      <c r="L1107" s="1" t="s">
        <v>5</v>
      </c>
      <c r="M1107" s="1" t="s">
        <v>38</v>
      </c>
      <c r="N1107" s="1" t="s">
        <v>2</v>
      </c>
      <c r="O1107" s="1" t="s">
        <v>6</v>
      </c>
      <c r="P1107" s="1" t="s">
        <v>7</v>
      </c>
      <c r="Q1107" s="6">
        <f>C1107+1</f>
        <v>41164</v>
      </c>
    </row>
    <row r="1108" spans="1:17" ht="15.75" x14ac:dyDescent="0.3">
      <c r="A1108" s="1">
        <v>5960</v>
      </c>
      <c r="B1108" s="2">
        <v>42306</v>
      </c>
      <c r="C1108" s="3">
        <f>DATE(2012,12,31)-108</f>
        <v>41166</v>
      </c>
      <c r="D1108" s="1" t="s">
        <v>17</v>
      </c>
      <c r="E1108" s="2">
        <v>19</v>
      </c>
      <c r="F1108" s="2">
        <v>773.83</v>
      </c>
      <c r="G1108" s="2">
        <v>0.06</v>
      </c>
      <c r="H1108" s="2">
        <v>0.56999999999999995</v>
      </c>
      <c r="I1108" s="4">
        <v>146.79</v>
      </c>
      <c r="J1108" s="5">
        <v>40.98</v>
      </c>
      <c r="K1108" s="5">
        <v>5.33</v>
      </c>
      <c r="L1108" s="1" t="s">
        <v>5</v>
      </c>
      <c r="M1108" s="1" t="s">
        <v>38</v>
      </c>
      <c r="N1108" s="1" t="s">
        <v>21</v>
      </c>
      <c r="O1108" s="1" t="s">
        <v>6</v>
      </c>
      <c r="P1108" s="1" t="s">
        <v>7</v>
      </c>
      <c r="Q1108" s="6">
        <f>C1108+2</f>
        <v>41168</v>
      </c>
    </row>
    <row r="1109" spans="1:17" ht="15.75" x14ac:dyDescent="0.3">
      <c r="A1109" s="1">
        <v>5999</v>
      </c>
      <c r="B1109" s="2">
        <v>42528</v>
      </c>
      <c r="C1109" s="3">
        <f>DATE(2012,12,31)-1042</f>
        <v>40232</v>
      </c>
      <c r="D1109" s="1" t="s">
        <v>12</v>
      </c>
      <c r="E1109" s="2">
        <v>37</v>
      </c>
      <c r="F1109" s="2">
        <v>1356.45</v>
      </c>
      <c r="G1109" s="2">
        <v>0.02</v>
      </c>
      <c r="H1109" s="2">
        <v>0.38</v>
      </c>
      <c r="I1109" s="4">
        <v>47.65</v>
      </c>
      <c r="J1109" s="5">
        <v>35.44</v>
      </c>
      <c r="K1109" s="5">
        <v>19.989999999999998</v>
      </c>
      <c r="L1109" s="1" t="s">
        <v>5</v>
      </c>
      <c r="M1109" s="1" t="s">
        <v>38</v>
      </c>
      <c r="N1109" s="1" t="s">
        <v>21</v>
      </c>
      <c r="O1109" s="1" t="s">
        <v>6</v>
      </c>
      <c r="P1109" s="1" t="s">
        <v>7</v>
      </c>
      <c r="Q1109" s="6">
        <f>C1109+2</f>
        <v>40234</v>
      </c>
    </row>
    <row r="1110" spans="1:17" ht="15.75" x14ac:dyDescent="0.3">
      <c r="A1110" s="1">
        <v>6000</v>
      </c>
      <c r="B1110" s="2">
        <v>42528</v>
      </c>
      <c r="C1110" s="3">
        <f>DATE(2012,12,31)-1042</f>
        <v>40232</v>
      </c>
      <c r="D1110" s="1" t="s">
        <v>12</v>
      </c>
      <c r="E1110" s="2">
        <v>13</v>
      </c>
      <c r="F1110" s="2">
        <v>250.75</v>
      </c>
      <c r="G1110" s="2">
        <v>0.02</v>
      </c>
      <c r="H1110" s="2">
        <v>0.59</v>
      </c>
      <c r="I1110" s="4">
        <v>-43.52</v>
      </c>
      <c r="J1110" s="5">
        <v>17.7</v>
      </c>
      <c r="K1110" s="5">
        <v>9.4700000000000006</v>
      </c>
      <c r="L1110" s="1" t="s">
        <v>5</v>
      </c>
      <c r="M1110" s="1" t="s">
        <v>38</v>
      </c>
      <c r="N1110" s="1" t="s">
        <v>21</v>
      </c>
      <c r="O1110" s="1" t="s">
        <v>6</v>
      </c>
      <c r="P1110" s="1" t="s">
        <v>7</v>
      </c>
      <c r="Q1110" s="6">
        <f>C1110+1</f>
        <v>40233</v>
      </c>
    </row>
    <row r="1111" spans="1:17" ht="15.75" x14ac:dyDescent="0.3">
      <c r="A1111" s="1">
        <v>6001</v>
      </c>
      <c r="B1111" s="2">
        <v>42528</v>
      </c>
      <c r="C1111" s="3">
        <f>DATE(2012,12,31)-1042</f>
        <v>40232</v>
      </c>
      <c r="D1111" s="1" t="s">
        <v>12</v>
      </c>
      <c r="E1111" s="2">
        <v>31</v>
      </c>
      <c r="F1111" s="2">
        <v>313.05</v>
      </c>
      <c r="G1111" s="2">
        <v>0.02</v>
      </c>
      <c r="H1111" s="2">
        <v>0.43</v>
      </c>
      <c r="I1111" s="4">
        <v>81.87</v>
      </c>
      <c r="J1111" s="5">
        <v>9.7799999999999994</v>
      </c>
      <c r="K1111" s="5">
        <v>1.99</v>
      </c>
      <c r="L1111" s="1" t="s">
        <v>9</v>
      </c>
      <c r="M1111" s="1" t="s">
        <v>38</v>
      </c>
      <c r="N1111" s="1" t="s">
        <v>21</v>
      </c>
      <c r="O1111" s="1" t="s">
        <v>11</v>
      </c>
      <c r="P1111" s="1" t="s">
        <v>20</v>
      </c>
      <c r="Q1111" s="6">
        <f>C1111+1</f>
        <v>40233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Sule Isinsu Ozmen</dc:creator>
  <cp:lastModifiedBy>Gaurav Mishra</cp:lastModifiedBy>
  <dcterms:created xsi:type="dcterms:W3CDTF">2020-04-10T11:12:08Z</dcterms:created>
  <dcterms:modified xsi:type="dcterms:W3CDTF">2021-02-02T16:28:30Z</dcterms:modified>
</cp:coreProperties>
</file>