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28800" windowHeight="13050" activeTab="1"/>
  </bookViews>
  <sheets>
    <sheet name="Pivot" sheetId="7" r:id="rId1"/>
    <sheet name="Details" sheetId="1" r:id="rId2"/>
    <sheet name="Sheet3" sheetId="3" r:id="rId3"/>
    <sheet name="Sheet2" sheetId="8" r:id="rId4"/>
    <sheet name="Sheet4" sheetId="4" r:id="rId5"/>
  </sheets>
  <definedNames>
    <definedName name="_xlnm._FilterDatabase" localSheetId="1" hidden="1">Details!$A$1:$U$81</definedName>
  </definedNames>
  <calcPr calcId="144525"/>
  <pivotCaches>
    <pivotCache cacheId="0" r:id="rId6"/>
  </pivotCaches>
</workbook>
</file>

<file path=xl/calcChain.xml><?xml version="1.0" encoding="utf-8"?>
<calcChain xmlns="http://schemas.openxmlformats.org/spreadsheetml/2006/main">
  <c r="K84" i="1" l="1"/>
  <c r="Q80" i="1"/>
  <c r="O80" i="1"/>
  <c r="N80" i="1"/>
  <c r="M80" i="1"/>
  <c r="K80" i="1"/>
  <c r="P80" i="1" s="1"/>
  <c r="K81" i="1"/>
  <c r="M81" i="1" l="1"/>
  <c r="N81" i="1"/>
  <c r="O81" i="1"/>
  <c r="O39" i="4"/>
  <c r="N39" i="4"/>
  <c r="K39" i="4"/>
  <c r="M39" i="4" s="1"/>
  <c r="Q39" i="4" s="1"/>
  <c r="K38" i="4"/>
  <c r="M38" i="4" s="1"/>
  <c r="K37" i="4"/>
  <c r="L37" i="4" s="1"/>
  <c r="O37" i="4"/>
  <c r="K36" i="4"/>
  <c r="M36" i="4" s="1"/>
  <c r="K35" i="4"/>
  <c r="O35" i="4" s="1"/>
  <c r="K34" i="4"/>
  <c r="N34" i="4" s="1"/>
  <c r="K33" i="4"/>
  <c r="N33" i="4" s="1"/>
  <c r="K32" i="4"/>
  <c r="O32" i="4" s="1"/>
  <c r="K31" i="4"/>
  <c r="N31" i="4" s="1"/>
  <c r="Q81" i="1" l="1"/>
  <c r="P81" i="1"/>
  <c r="N38" i="4"/>
  <c r="P39" i="4"/>
  <c r="Q38" i="4"/>
  <c r="O38" i="4"/>
  <c r="P38" i="4" s="1"/>
  <c r="O31" i="4"/>
  <c r="Q37" i="4"/>
  <c r="P37" i="4"/>
  <c r="M35" i="4"/>
  <c r="N35" i="4"/>
  <c r="P35" i="4" s="1"/>
  <c r="O36" i="4"/>
  <c r="N32" i="4"/>
  <c r="M34" i="4"/>
  <c r="Q34" i="4" s="1"/>
  <c r="N36" i="4"/>
  <c r="Q36" i="4" s="1"/>
  <c r="M32" i="4"/>
  <c r="O33" i="4"/>
  <c r="O34" i="4"/>
  <c r="M31" i="4"/>
  <c r="Q31" i="4" s="1"/>
  <c r="M33" i="4"/>
  <c r="Q33" i="4" s="1"/>
  <c r="I80" i="1"/>
  <c r="Q32" i="4" l="1"/>
  <c r="P36" i="4"/>
  <c r="Q35" i="4"/>
  <c r="P34" i="4"/>
  <c r="P32" i="4"/>
  <c r="P33" i="4"/>
  <c r="P31" i="4"/>
  <c r="K65" i="1" l="1"/>
  <c r="M65" i="1" s="1"/>
  <c r="K79" i="1"/>
  <c r="K54" i="1"/>
  <c r="M54" i="1" s="1"/>
  <c r="M46" i="1"/>
  <c r="N46" i="1"/>
  <c r="O46" i="1"/>
  <c r="M79" i="1" l="1"/>
  <c r="O79" i="1"/>
  <c r="O65" i="1"/>
  <c r="N65" i="1"/>
  <c r="Q65" i="1" s="1"/>
  <c r="N79" i="1"/>
  <c r="Q79" i="1" s="1"/>
  <c r="N54" i="1"/>
  <c r="Q54" i="1"/>
  <c r="O54" i="1"/>
  <c r="Q46" i="1"/>
  <c r="P46" i="1"/>
  <c r="P79" i="1" l="1"/>
  <c r="P54" i="1"/>
  <c r="P65" i="1"/>
  <c r="E27" i="4" l="1"/>
  <c r="E26" i="4"/>
  <c r="D25" i="4"/>
  <c r="E25" i="4" s="1"/>
  <c r="E24" i="4"/>
  <c r="E23" i="4"/>
  <c r="D22" i="4"/>
  <c r="E22" i="4" s="1"/>
  <c r="E21" i="4"/>
  <c r="D20" i="4"/>
  <c r="E20" i="4" s="1"/>
  <c r="D19" i="4"/>
  <c r="E19" i="4" s="1"/>
  <c r="F5" i="8" l="1"/>
  <c r="E5" i="8"/>
  <c r="D5" i="8"/>
  <c r="G5" i="8" s="1"/>
  <c r="F4" i="8"/>
  <c r="E4" i="8"/>
  <c r="D4" i="8"/>
  <c r="G4" i="8" s="1"/>
  <c r="F3" i="8"/>
  <c r="E3" i="8"/>
  <c r="D3" i="8"/>
  <c r="G3" i="8" s="1"/>
  <c r="F2" i="8"/>
  <c r="E2" i="8"/>
  <c r="D2" i="8"/>
  <c r="G2" i="8" s="1"/>
  <c r="F1" i="8"/>
  <c r="E1" i="8"/>
  <c r="D1" i="8"/>
  <c r="G1" i="8" s="1"/>
  <c r="C15" i="4"/>
  <c r="D18" i="4" s="1"/>
  <c r="E18" i="4" s="1"/>
  <c r="E2" i="4"/>
  <c r="K75" i="1" l="1"/>
  <c r="N75" i="1" s="1"/>
  <c r="K76" i="1"/>
  <c r="N76" i="1" s="1"/>
  <c r="K77" i="1"/>
  <c r="O77" i="1" s="1"/>
  <c r="K78" i="1"/>
  <c r="M78" i="1" s="1"/>
  <c r="K74" i="1"/>
  <c r="M74" i="1" s="1"/>
  <c r="N74" i="1" l="1"/>
  <c r="Q74" i="1" s="1"/>
  <c r="M76" i="1"/>
  <c r="Q76" i="1" s="1"/>
  <c r="O76" i="1"/>
  <c r="O75" i="1"/>
  <c r="N78" i="1"/>
  <c r="Q78" i="1" s="1"/>
  <c r="M75" i="1"/>
  <c r="M77" i="1"/>
  <c r="O78" i="1"/>
  <c r="N77" i="1"/>
  <c r="O74" i="1"/>
  <c r="P76" i="1" l="1"/>
  <c r="P74" i="1"/>
  <c r="P75" i="1"/>
  <c r="P78" i="1"/>
  <c r="P77" i="1"/>
  <c r="Q75" i="1"/>
  <c r="Q77" i="1"/>
  <c r="K73" i="1" l="1"/>
  <c r="M73" i="1" s="1"/>
  <c r="K72" i="1"/>
  <c r="M72" i="1" s="1"/>
  <c r="O73" i="1" l="1"/>
  <c r="N73" i="1"/>
  <c r="Q73" i="1" s="1"/>
  <c r="O72" i="1"/>
  <c r="N72" i="1"/>
  <c r="K6" i="1"/>
  <c r="P73" i="1" l="1"/>
  <c r="P72" i="1"/>
  <c r="Q72" i="1"/>
  <c r="K69" i="1"/>
  <c r="M69" i="1" s="1"/>
  <c r="K71" i="1"/>
  <c r="O71" i="1" s="1"/>
  <c r="K70" i="1"/>
  <c r="N70" i="1" s="1"/>
  <c r="M70" i="1" l="1"/>
  <c r="Q70" i="1" s="1"/>
  <c r="N71" i="1"/>
  <c r="O69" i="1"/>
  <c r="O70" i="1"/>
  <c r="M71" i="1"/>
  <c r="N69" i="1"/>
  <c r="Q69" i="1" s="1"/>
  <c r="K68" i="1"/>
  <c r="L68" i="1" s="1"/>
  <c r="K67" i="1"/>
  <c r="O67" i="1" s="1"/>
  <c r="K66" i="1"/>
  <c r="O66" i="1" s="1"/>
  <c r="K64" i="1"/>
  <c r="M64" i="1" s="1"/>
  <c r="B46" i="7"/>
  <c r="B45" i="7"/>
  <c r="C43" i="7"/>
  <c r="C45" i="7"/>
  <c r="B43" i="7"/>
  <c r="C44" i="7"/>
  <c r="C46" i="7"/>
  <c r="B44" i="7"/>
  <c r="C39" i="7" l="1"/>
  <c r="P69" i="1"/>
  <c r="P70" i="1"/>
  <c r="Q71" i="1"/>
  <c r="O64" i="1"/>
  <c r="P71" i="1"/>
  <c r="N67" i="1"/>
  <c r="M67" i="1"/>
  <c r="B48" i="7"/>
  <c r="C48" i="7"/>
  <c r="L66" i="1"/>
  <c r="Q66" i="1" s="1"/>
  <c r="O68" i="1"/>
  <c r="Q68" i="1"/>
  <c r="N64" i="1"/>
  <c r="Q64" i="1" s="1"/>
  <c r="Q67" i="1" l="1"/>
  <c r="P68" i="1"/>
  <c r="P66" i="1"/>
  <c r="P67" i="1"/>
  <c r="P64" i="1"/>
  <c r="Q51" i="1" l="1"/>
  <c r="P27" i="3" l="1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Q78" i="3" l="1"/>
  <c r="O78" i="3"/>
  <c r="N78" i="3"/>
  <c r="M78" i="3"/>
  <c r="L78" i="3"/>
  <c r="K78" i="3"/>
  <c r="I78" i="3"/>
  <c r="I76" i="3"/>
  <c r="I58" i="3"/>
  <c r="I27" i="3"/>
  <c r="M8" i="3"/>
  <c r="M27" i="3" s="1"/>
  <c r="M7" i="3"/>
  <c r="M6" i="3"/>
  <c r="L24" i="3"/>
  <c r="L19" i="3"/>
  <c r="L18" i="3"/>
  <c r="L17" i="3"/>
  <c r="L13" i="3"/>
  <c r="L11" i="3"/>
  <c r="L9" i="3"/>
  <c r="L5" i="3"/>
  <c r="L4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Q76" i="3"/>
  <c r="O76" i="3"/>
  <c r="N76" i="3"/>
  <c r="M76" i="3"/>
  <c r="L76" i="3"/>
  <c r="K76" i="3"/>
  <c r="Q58" i="3"/>
  <c r="O58" i="3"/>
  <c r="N58" i="3"/>
  <c r="M58" i="3"/>
  <c r="L58" i="3"/>
  <c r="K58" i="3"/>
  <c r="Q27" i="3"/>
  <c r="O27" i="3"/>
  <c r="N27" i="3"/>
  <c r="K27" i="3"/>
  <c r="K8" i="1"/>
  <c r="L8" i="1" s="1"/>
  <c r="K3" i="1"/>
  <c r="O3" i="1" s="1"/>
  <c r="L27" i="3" l="1"/>
  <c r="O8" i="1"/>
  <c r="L3" i="1"/>
  <c r="K63" i="1"/>
  <c r="M63" i="1" s="1"/>
  <c r="P8" i="1" l="1"/>
  <c r="P3" i="1"/>
  <c r="Q3" i="1"/>
  <c r="Q8" i="1"/>
  <c r="O63" i="1"/>
  <c r="N63" i="1"/>
  <c r="Q63" i="1" s="1"/>
  <c r="K62" i="1"/>
  <c r="M62" i="1" s="1"/>
  <c r="K61" i="1"/>
  <c r="K60" i="1"/>
  <c r="O60" i="1" s="1"/>
  <c r="P63" i="1" l="1"/>
  <c r="N62" i="1"/>
  <c r="Q62" i="1" s="1"/>
  <c r="N60" i="1"/>
  <c r="M60" i="1"/>
  <c r="O62" i="1"/>
  <c r="N61" i="1"/>
  <c r="O61" i="1"/>
  <c r="M61" i="1"/>
  <c r="Q61" i="1" l="1"/>
  <c r="P60" i="1"/>
  <c r="Q60" i="1"/>
  <c r="P62" i="1"/>
  <c r="P61" i="1"/>
  <c r="K59" i="1" l="1"/>
  <c r="M59" i="1" s="1"/>
  <c r="O59" i="1" l="1"/>
  <c r="N59" i="1"/>
  <c r="K58" i="1"/>
  <c r="O58" i="1" s="1"/>
  <c r="K57" i="1"/>
  <c r="K56" i="1"/>
  <c r="K55" i="1"/>
  <c r="M55" i="1" s="1"/>
  <c r="K53" i="1"/>
  <c r="K52" i="1"/>
  <c r="K51" i="1"/>
  <c r="P51" i="1" s="1"/>
  <c r="K50" i="1"/>
  <c r="K49" i="1"/>
  <c r="K48" i="1"/>
  <c r="K47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6" i="1"/>
  <c r="K25" i="1"/>
  <c r="K24" i="1"/>
  <c r="K23" i="1"/>
  <c r="K22" i="1"/>
  <c r="K21" i="1"/>
  <c r="K20" i="1"/>
  <c r="K16" i="1"/>
  <c r="K15" i="1"/>
  <c r="K14" i="1"/>
  <c r="K13" i="1"/>
  <c r="K12" i="1"/>
  <c r="K11" i="1"/>
  <c r="K9" i="1"/>
  <c r="K7" i="1"/>
  <c r="K5" i="1"/>
  <c r="K4" i="1"/>
  <c r="K2" i="1"/>
  <c r="P59" i="1" l="1"/>
  <c r="Q59" i="1"/>
  <c r="L2" i="1"/>
  <c r="N56" i="1"/>
  <c r="L57" i="1"/>
  <c r="Q57" i="1" s="1"/>
  <c r="M56" i="1"/>
  <c r="N55" i="1"/>
  <c r="Q55" i="1" s="1"/>
  <c r="M58" i="1"/>
  <c r="O55" i="1"/>
  <c r="N58" i="1"/>
  <c r="O57" i="1"/>
  <c r="O56" i="1"/>
  <c r="Q2" i="1" l="1"/>
  <c r="Q56" i="1"/>
  <c r="Q58" i="1"/>
  <c r="P55" i="1"/>
  <c r="P58" i="1"/>
  <c r="P57" i="1"/>
  <c r="P56" i="1"/>
  <c r="N52" i="1" l="1"/>
  <c r="M52" i="1"/>
  <c r="O52" i="1"/>
  <c r="L53" i="1"/>
  <c r="Q53" i="1" s="1"/>
  <c r="M50" i="1"/>
  <c r="O49" i="1"/>
  <c r="L48" i="1"/>
  <c r="Q48" i="1" s="1"/>
  <c r="N47" i="1"/>
  <c r="M47" i="1"/>
  <c r="O47" i="1"/>
  <c r="O27" i="1"/>
  <c r="O45" i="1"/>
  <c r="M43" i="1"/>
  <c r="M44" i="1"/>
  <c r="M42" i="1"/>
  <c r="O41" i="1"/>
  <c r="N41" i="1"/>
  <c r="N40" i="1"/>
  <c r="Q52" i="1" l="1"/>
  <c r="Q47" i="1"/>
  <c r="P52" i="1"/>
  <c r="P47" i="1"/>
  <c r="N44" i="1"/>
  <c r="Q44" i="1" s="1"/>
  <c r="N45" i="1"/>
  <c r="M27" i="1"/>
  <c r="M40" i="1"/>
  <c r="M41" i="1"/>
  <c r="M45" i="1"/>
  <c r="O53" i="1"/>
  <c r="P53" i="1" s="1"/>
  <c r="O50" i="1"/>
  <c r="O42" i="1"/>
  <c r="N50" i="1"/>
  <c r="Q50" i="1" s="1"/>
  <c r="O40" i="1"/>
  <c r="N42" i="1"/>
  <c r="Q42" i="1" s="1"/>
  <c r="N27" i="1"/>
  <c r="M49" i="1"/>
  <c r="O44" i="1"/>
  <c r="N49" i="1"/>
  <c r="O48" i="1"/>
  <c r="P48" i="1" s="1"/>
  <c r="O43" i="1"/>
  <c r="N43" i="1"/>
  <c r="Q43" i="1" s="1"/>
  <c r="P41" i="1" l="1"/>
  <c r="Q41" i="1"/>
  <c r="P40" i="1"/>
  <c r="Q40" i="1"/>
  <c r="Q27" i="1"/>
  <c r="Q49" i="1"/>
  <c r="P45" i="1"/>
  <c r="Q45" i="1"/>
  <c r="P42" i="1"/>
  <c r="P50" i="1"/>
  <c r="P43" i="1"/>
  <c r="P44" i="1"/>
  <c r="P27" i="1"/>
  <c r="P49" i="1"/>
  <c r="O16" i="1" l="1"/>
  <c r="N16" i="1" l="1"/>
  <c r="M16" i="1"/>
  <c r="L38" i="1"/>
  <c r="Q38" i="1" s="1"/>
  <c r="O33" i="1"/>
  <c r="O31" i="1"/>
  <c r="L29" i="1"/>
  <c r="Q29" i="1" s="1"/>
  <c r="L26" i="1"/>
  <c r="Q26" i="1" s="1"/>
  <c r="L20" i="1"/>
  <c r="Q20" i="1" s="1"/>
  <c r="L15" i="1"/>
  <c r="Q15" i="1" s="1"/>
  <c r="P16" i="1" l="1"/>
  <c r="Q16" i="1"/>
  <c r="N17" i="1"/>
  <c r="M17" i="1"/>
  <c r="O21" i="1"/>
  <c r="M21" i="1"/>
  <c r="N21" i="1"/>
  <c r="O25" i="1"/>
  <c r="M25" i="1"/>
  <c r="N25" i="1"/>
  <c r="N32" i="1"/>
  <c r="M32" i="1"/>
  <c r="N35" i="1"/>
  <c r="M35" i="1"/>
  <c r="M18" i="1"/>
  <c r="N18" i="1"/>
  <c r="N22" i="1"/>
  <c r="M22" i="1"/>
  <c r="O26" i="1"/>
  <c r="P26" i="1" s="1"/>
  <c r="O36" i="1"/>
  <c r="M36" i="1"/>
  <c r="N36" i="1"/>
  <c r="O24" i="1"/>
  <c r="M24" i="1"/>
  <c r="N24" i="1"/>
  <c r="N34" i="1"/>
  <c r="M34" i="1"/>
  <c r="M28" i="1"/>
  <c r="N28" i="1"/>
  <c r="O39" i="1"/>
  <c r="N39" i="1"/>
  <c r="M39" i="1"/>
  <c r="M19" i="1"/>
  <c r="N19" i="1"/>
  <c r="M23" i="1"/>
  <c r="N23" i="1"/>
  <c r="M30" i="1"/>
  <c r="N30" i="1"/>
  <c r="O34" i="1"/>
  <c r="N37" i="1"/>
  <c r="M37" i="1"/>
  <c r="O37" i="1"/>
  <c r="O38" i="1"/>
  <c r="P38" i="1" s="1"/>
  <c r="O35" i="1"/>
  <c r="L33" i="1"/>
  <c r="O32" i="1"/>
  <c r="L31" i="1"/>
  <c r="O30" i="1"/>
  <c r="O29" i="1"/>
  <c r="P29" i="1" s="1"/>
  <c r="O28" i="1"/>
  <c r="O23" i="1"/>
  <c r="O22" i="1"/>
  <c r="O20" i="1"/>
  <c r="P20" i="1" s="1"/>
  <c r="O19" i="1"/>
  <c r="O18" i="1"/>
  <c r="O17" i="1"/>
  <c r="O15" i="1"/>
  <c r="P15" i="1" s="1"/>
  <c r="O14" i="1"/>
  <c r="O13" i="1"/>
  <c r="L9" i="1"/>
  <c r="Q9" i="1" s="1"/>
  <c r="O2" i="1"/>
  <c r="Q39" i="1" l="1"/>
  <c r="Q22" i="1"/>
  <c r="Q35" i="1"/>
  <c r="Q37" i="1"/>
  <c r="Q32" i="1"/>
  <c r="Q17" i="1"/>
  <c r="P33" i="1"/>
  <c r="Q33" i="1"/>
  <c r="Q30" i="1"/>
  <c r="Q19" i="1"/>
  <c r="Q18" i="1"/>
  <c r="P31" i="1"/>
  <c r="Q31" i="1"/>
  <c r="Q28" i="1"/>
  <c r="Q24" i="1"/>
  <c r="Q21" i="1"/>
  <c r="Q23" i="1"/>
  <c r="Q34" i="1"/>
  <c r="Q36" i="1"/>
  <c r="Q25" i="1"/>
  <c r="P23" i="1"/>
  <c r="P36" i="1"/>
  <c r="P25" i="1"/>
  <c r="P17" i="1"/>
  <c r="P34" i="1"/>
  <c r="P32" i="1"/>
  <c r="P37" i="1"/>
  <c r="P30" i="1"/>
  <c r="P19" i="1"/>
  <c r="P18" i="1"/>
  <c r="P39" i="1"/>
  <c r="P28" i="1"/>
  <c r="P24" i="1"/>
  <c r="P22" i="1"/>
  <c r="P35" i="1"/>
  <c r="P21" i="1"/>
  <c r="O12" i="1"/>
  <c r="L14" i="1"/>
  <c r="O7" i="1"/>
  <c r="N7" i="1"/>
  <c r="M7" i="1"/>
  <c r="N4" i="1"/>
  <c r="M4" i="1"/>
  <c r="O5" i="1"/>
  <c r="N5" i="1"/>
  <c r="M5" i="1"/>
  <c r="N6" i="1"/>
  <c r="M6" i="1"/>
  <c r="N10" i="1"/>
  <c r="M10" i="1"/>
  <c r="N11" i="1"/>
  <c r="M11" i="1"/>
  <c r="N12" i="1"/>
  <c r="M12" i="1"/>
  <c r="P2" i="1"/>
  <c r="O6" i="1"/>
  <c r="L13" i="1"/>
  <c r="O11" i="1"/>
  <c r="O10" i="1"/>
  <c r="O9" i="1"/>
  <c r="P9" i="1" s="1"/>
  <c r="O4" i="1"/>
  <c r="Q4" i="1" l="1"/>
  <c r="Q11" i="1"/>
  <c r="Q12" i="1"/>
  <c r="Q10" i="1"/>
  <c r="Q6" i="1"/>
  <c r="Q7" i="1"/>
  <c r="P13" i="1"/>
  <c r="Q13" i="1"/>
  <c r="Q5" i="1"/>
  <c r="P14" i="1"/>
  <c r="Q14" i="1"/>
  <c r="P11" i="1"/>
  <c r="P4" i="1"/>
  <c r="P5" i="1"/>
  <c r="P12" i="1"/>
  <c r="P10" i="1"/>
  <c r="P6" i="1"/>
  <c r="P7" i="1"/>
</calcChain>
</file>

<file path=xl/comments1.xml><?xml version="1.0" encoding="utf-8"?>
<comments xmlns="http://schemas.openxmlformats.org/spreadsheetml/2006/main">
  <authors>
    <author>Author</author>
  </authors>
  <commentList>
    <comment ref="L26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Mumbai GST
</t>
        </r>
      </text>
    </comment>
    <comment ref="L29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Mumbai GST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L3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Mumbai GST
</t>
        </r>
      </text>
    </comment>
    <comment ref="L36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Mumbai GST
</t>
        </r>
      </text>
    </comment>
  </commentList>
</comments>
</file>

<file path=xl/sharedStrings.xml><?xml version="1.0" encoding="utf-8"?>
<sst xmlns="http://schemas.openxmlformats.org/spreadsheetml/2006/main" count="1148" uniqueCount="329">
  <si>
    <t>Sr. No.</t>
  </si>
  <si>
    <t>Date</t>
  </si>
  <si>
    <t>Invoice No.</t>
  </si>
  <si>
    <t>Client Name</t>
  </si>
  <si>
    <t xml:space="preserve">Developers Name </t>
  </si>
  <si>
    <t>Project Name</t>
  </si>
  <si>
    <t>Brokerage Rate</t>
  </si>
  <si>
    <t>Unit Cost</t>
  </si>
  <si>
    <t>Gross Amount</t>
  </si>
  <si>
    <t>TDS</t>
  </si>
  <si>
    <t>Net Amount</t>
  </si>
  <si>
    <t>KAR 01/2018-19</t>
  </si>
  <si>
    <t>Shrikant Govind Thombre</t>
  </si>
  <si>
    <t>Bellissimo Developers Thane Pvt Ltd</t>
  </si>
  <si>
    <t>Lodha Amara</t>
  </si>
  <si>
    <t>KAR 02/2018-19</t>
  </si>
  <si>
    <t>KAR03/2018-19</t>
  </si>
  <si>
    <t>Neha Goyal &amp; Anmol Agarwal</t>
  </si>
  <si>
    <t>Shriram Properties Pvt Ltd.</t>
  </si>
  <si>
    <t>Shriram</t>
  </si>
  <si>
    <t>KAR04/2018-19</t>
  </si>
  <si>
    <t>Charles Kharkongor &amp; Singdha Barman</t>
  </si>
  <si>
    <t>Srivision Towers Private Limited</t>
  </si>
  <si>
    <t>KAR05/2018-19</t>
  </si>
  <si>
    <t>N.Kishore &amp; Vidhya Kishore</t>
  </si>
  <si>
    <t>KAR06/2018-19</t>
  </si>
  <si>
    <t>Mrs.Sadakngita Kardak &amp; Mr.Pravin Kardak</t>
  </si>
  <si>
    <t>VIHANG ENTREPRISES</t>
  </si>
  <si>
    <t>VIHANG VERMONT</t>
  </si>
  <si>
    <t>KAR07/2018-19</t>
  </si>
  <si>
    <t>Jignesh Kumar Patel</t>
  </si>
  <si>
    <t>Rizvi Estates &amp; Hotels Pvt Ltd</t>
  </si>
  <si>
    <t>RIZVI CEDAR</t>
  </si>
  <si>
    <t>KAR09/2018-19</t>
  </si>
  <si>
    <t>Sobhana Sheet</t>
  </si>
  <si>
    <t>Bullseye (Mira Road)</t>
  </si>
  <si>
    <t>KAR10/2018-19</t>
  </si>
  <si>
    <t>Arvind Smartspaces Limited</t>
  </si>
  <si>
    <t>ARVIND SKYLANDS</t>
  </si>
  <si>
    <t>Mrs.Pavithra N S</t>
  </si>
  <si>
    <t>KAR11/2018-19</t>
  </si>
  <si>
    <t>KAR12/2018-19</t>
  </si>
  <si>
    <t>Mrs.Minakshi</t>
  </si>
  <si>
    <t>Allam Infinite India Private Limited</t>
  </si>
  <si>
    <t>GM Ambitious Enclave</t>
  </si>
  <si>
    <t>KAR13/2018-19</t>
  </si>
  <si>
    <t xml:space="preserve">Mr.Raghuveer Matam </t>
  </si>
  <si>
    <t xml:space="preserve">Casa Grande Garden City Bulldres Private Limited </t>
  </si>
  <si>
    <t xml:space="preserve">Casa Grand </t>
  </si>
  <si>
    <t>Pratik Mitra &amp; soumi pal</t>
  </si>
  <si>
    <t>KAR14/2018-19</t>
  </si>
  <si>
    <t xml:space="preserve">Kaldinidi Varabala Raju </t>
  </si>
  <si>
    <t>BVM Energy And Residency Private Limited</t>
  </si>
  <si>
    <t>Kapil Towers</t>
  </si>
  <si>
    <t>Dakshin Infrastrucutres Private Limited</t>
  </si>
  <si>
    <t>KAR15/2018-19</t>
  </si>
  <si>
    <t xml:space="preserve">Edukula Gopi Kishan </t>
  </si>
  <si>
    <t>KAR16/2018-19</t>
  </si>
  <si>
    <t>C Surya Krishanaevni</t>
  </si>
  <si>
    <t>Abhishek Saini</t>
  </si>
  <si>
    <t>KAR18/2017-18</t>
  </si>
  <si>
    <t>KAR24/2018-19</t>
  </si>
  <si>
    <t>Lavanya P Belliappa</t>
  </si>
  <si>
    <t>SHOBA LIMITED</t>
  </si>
  <si>
    <t>Arena (The Plaza)</t>
  </si>
  <si>
    <t>KAR25/2018-19</t>
  </si>
  <si>
    <t>Mr.Niraj Mishra</t>
  </si>
  <si>
    <t>Pradeep Kumar Meher</t>
  </si>
  <si>
    <t>KAR26/2018-19</t>
  </si>
  <si>
    <t>KAR27/2018-19</t>
  </si>
  <si>
    <t>Chandra Shekhar Rajhans</t>
  </si>
  <si>
    <t>KAR29/2018-19</t>
  </si>
  <si>
    <t>Brickex Advisors Pvt Ltd</t>
  </si>
  <si>
    <t xml:space="preserve">Bren Imperia </t>
  </si>
  <si>
    <t>Amrit Krishna</t>
  </si>
  <si>
    <t>KAR30/2018-19</t>
  </si>
  <si>
    <t>Suman Sekhar Behera</t>
  </si>
  <si>
    <t>KAR31/2018-19</t>
  </si>
  <si>
    <t>Puravnkara Limited</t>
  </si>
  <si>
    <t>Purvankara</t>
  </si>
  <si>
    <t>KAR32/2018-19</t>
  </si>
  <si>
    <t>KAR33/2018-19</t>
  </si>
  <si>
    <t>Amrjeet Singh Saini</t>
  </si>
  <si>
    <t>Marothan Energen LLP</t>
  </si>
  <si>
    <t>NEXTOWN</t>
  </si>
  <si>
    <t>KAR34/2018-19</t>
  </si>
  <si>
    <t>KAR35/2018-19</t>
  </si>
  <si>
    <t>Mr.Abhijit Basak</t>
  </si>
  <si>
    <t>PBSR Developers Pvt.Ltd.</t>
  </si>
  <si>
    <t>SMONDO GACHIBOWLI</t>
  </si>
  <si>
    <t>Guntha Naveen</t>
  </si>
  <si>
    <t xml:space="preserve">LODHA DEVELOPERS LIMITED </t>
  </si>
  <si>
    <t>Upper Thane</t>
  </si>
  <si>
    <t>KAR40/2018-19</t>
  </si>
  <si>
    <t>Srikrishna Rao</t>
  </si>
  <si>
    <t>Ashoka Builders India Private Limited</t>
  </si>
  <si>
    <t>ASHOKA LAKESIDE</t>
  </si>
  <si>
    <t>KAR41/2018-19</t>
  </si>
  <si>
    <t xml:space="preserve">Arundhati Singh </t>
  </si>
  <si>
    <t>KAR42/2018-19</t>
  </si>
  <si>
    <t>Kamlesh Vishwakarma</t>
  </si>
  <si>
    <t>Lohitka Properties LLP</t>
  </si>
  <si>
    <t>MONTANA</t>
  </si>
  <si>
    <t>KAR43/2018-19</t>
  </si>
  <si>
    <t>Shourav Banerjee</t>
  </si>
  <si>
    <t>KAR44/2018-19</t>
  </si>
  <si>
    <t>Dr.Sweta Chodavarapu</t>
  </si>
  <si>
    <t>Abacus Real Estate Private Limited</t>
  </si>
  <si>
    <t>Kalpataru Residency</t>
  </si>
  <si>
    <t>KAR45/2018-19</t>
  </si>
  <si>
    <t>Reshma Naik</t>
  </si>
  <si>
    <t>Dosti Enterprises</t>
  </si>
  <si>
    <t>DOSTI WEST COUNTY</t>
  </si>
  <si>
    <t>KAR46/2018-19</t>
  </si>
  <si>
    <t>BVN Jagadish</t>
  </si>
  <si>
    <t xml:space="preserve">Casa Grande Homes Private Limited </t>
  </si>
  <si>
    <t>KAR47/2018-19</t>
  </si>
  <si>
    <t>Mordhwaj Patel</t>
  </si>
  <si>
    <t>S.Vinayshree</t>
  </si>
  <si>
    <t>KAR49/2018-19</t>
  </si>
  <si>
    <t>Sujit Valluri</t>
  </si>
  <si>
    <t>KAR50/2018-19</t>
  </si>
  <si>
    <t>Jignesh Mangilal Rawal</t>
  </si>
  <si>
    <t>IGST</t>
  </si>
  <si>
    <t>CGST</t>
  </si>
  <si>
    <t>SGST</t>
  </si>
  <si>
    <t>Date of payment recd.</t>
  </si>
  <si>
    <t>Shriram Summit</t>
  </si>
  <si>
    <t>Greenfield</t>
  </si>
  <si>
    <t>Megha Shivram Shirke</t>
  </si>
  <si>
    <t>NR</t>
  </si>
  <si>
    <t>Royce</t>
  </si>
  <si>
    <t>Region</t>
  </si>
  <si>
    <t>Mumbai</t>
  </si>
  <si>
    <t>Bangalore</t>
  </si>
  <si>
    <t>Hyderabad</t>
  </si>
  <si>
    <t>Srinivas</t>
  </si>
  <si>
    <t>Wedant</t>
  </si>
  <si>
    <t>KAR00039/2018-19</t>
  </si>
  <si>
    <t>KAR51/2018-19</t>
  </si>
  <si>
    <t>Savita Sanjay Borkar</t>
  </si>
  <si>
    <t>Casa Viva</t>
  </si>
  <si>
    <t>KAR52/2018-19</t>
  </si>
  <si>
    <t>Ashly Martin Pravin</t>
  </si>
  <si>
    <t>04/10/208</t>
  </si>
  <si>
    <t>Sonali Amin</t>
  </si>
  <si>
    <t>Aditya Amin</t>
  </si>
  <si>
    <t>27/08/208</t>
  </si>
  <si>
    <t>KAR55/2018-19</t>
  </si>
  <si>
    <t>Abhilash Nair KS</t>
  </si>
  <si>
    <t>Devesh Ajaykumar</t>
  </si>
  <si>
    <t>KAR57/2018-19</t>
  </si>
  <si>
    <t>Qadir</t>
  </si>
  <si>
    <t>Park Square</t>
  </si>
  <si>
    <t>KAR56/2018-19</t>
  </si>
  <si>
    <t>Nipa Anil Ladhellu</t>
  </si>
  <si>
    <t>Palava Dwellers Pvt Ltd</t>
  </si>
  <si>
    <t>Lakeshore GreenS</t>
  </si>
  <si>
    <t>KAR58/2018-19</t>
  </si>
  <si>
    <t>Harshad Chinchkar</t>
  </si>
  <si>
    <t>KAR36/2018-19</t>
  </si>
  <si>
    <t>Raja Shekar</t>
  </si>
  <si>
    <t>KAR00060/2018-19</t>
  </si>
  <si>
    <t>Mahesh Pandharinath Tamhne</t>
  </si>
  <si>
    <t>KAR61/2018-19</t>
  </si>
  <si>
    <t>KNV Kiran Kumar</t>
  </si>
  <si>
    <t>Prestige Estates Projects Limited</t>
  </si>
  <si>
    <t>High Fields</t>
  </si>
  <si>
    <t>KAR62/2018-19</t>
  </si>
  <si>
    <t>Mr. Sunil Unikkat</t>
  </si>
  <si>
    <t>Kolte Patil Developers Ltd</t>
  </si>
  <si>
    <t>I Exente Tower</t>
  </si>
  <si>
    <t>KAR63/2018-19</t>
  </si>
  <si>
    <t>Amit Kumar</t>
  </si>
  <si>
    <t>The Tree</t>
  </si>
  <si>
    <t>10/10/208</t>
  </si>
  <si>
    <t>KAR66/2018-19</t>
  </si>
  <si>
    <t>Krishna Chandra Das</t>
  </si>
  <si>
    <t>Shriram Housing Finance Ltd</t>
  </si>
  <si>
    <t>Kolkata</t>
  </si>
  <si>
    <t>03/10/208</t>
  </si>
  <si>
    <t>KAR64/2018-19</t>
  </si>
  <si>
    <t>Arun Ramachandran Nair</t>
  </si>
  <si>
    <t>KAR65/2018-19</t>
  </si>
  <si>
    <t>KAR67/2018-19</t>
  </si>
  <si>
    <t>Rekha Deepak Shah</t>
  </si>
  <si>
    <t>KAR73/2018-19</t>
  </si>
  <si>
    <t>Shivram Shirke</t>
  </si>
  <si>
    <t>KAR74/2018-19</t>
  </si>
  <si>
    <t>KAR75/2018-19</t>
  </si>
  <si>
    <t>KAR00076/2018-19</t>
  </si>
  <si>
    <t>Suresh Jayram Kale</t>
  </si>
  <si>
    <t>KAR77/2018-19</t>
  </si>
  <si>
    <t>KAR78/2018-19</t>
  </si>
  <si>
    <t>KAR79/2018-19</t>
  </si>
  <si>
    <t>Muntajab Sanai</t>
  </si>
  <si>
    <t>KAR80/2018-19</t>
  </si>
  <si>
    <t>Nitin Vijay Mohite</t>
  </si>
  <si>
    <t>KAR81/2018-19</t>
  </si>
  <si>
    <t>Sateesh BS</t>
  </si>
  <si>
    <t>KAR 82/2018-19</t>
  </si>
  <si>
    <t>Subankar Roy</t>
  </si>
  <si>
    <t>Prestige Southcity Holdings</t>
  </si>
  <si>
    <t>MSR</t>
  </si>
  <si>
    <t>KAR 83/2018-19</t>
  </si>
  <si>
    <t>KAR 84/2018-19</t>
  </si>
  <si>
    <t>Ankita Suraj Jhurani</t>
  </si>
  <si>
    <t>Kumari Rashmi</t>
  </si>
  <si>
    <t>Dosti West County</t>
  </si>
  <si>
    <t>KAR 85/2018-19</t>
  </si>
  <si>
    <t>Ravindra Laxman Dongre</t>
  </si>
  <si>
    <t>Codename Gold Mine</t>
  </si>
  <si>
    <t>Shivram shirke / Megha Shivram Shirke</t>
  </si>
  <si>
    <t>KAR08/2018-19</t>
  </si>
  <si>
    <t>Pratibha Singh</t>
  </si>
  <si>
    <t>Patel Sumondo</t>
  </si>
  <si>
    <t>PBSR</t>
  </si>
  <si>
    <t>Month</t>
  </si>
  <si>
    <t>April 2018</t>
  </si>
  <si>
    <t>May 2018</t>
  </si>
  <si>
    <t>Sept 2018</t>
  </si>
  <si>
    <t>June 2018</t>
  </si>
  <si>
    <t>Oct 2018</t>
  </si>
  <si>
    <t>July 2018</t>
  </si>
  <si>
    <t>Aug 2018</t>
  </si>
  <si>
    <t>Nov 2018</t>
  </si>
  <si>
    <t>Dec 2018</t>
  </si>
  <si>
    <t>Jan 2019</t>
  </si>
  <si>
    <t>Quarter 1</t>
  </si>
  <si>
    <t>Quarter 3</t>
  </si>
  <si>
    <t>Quarter 2</t>
  </si>
  <si>
    <t>Q1 +Q2 + Q3</t>
  </si>
  <si>
    <t>Total GST</t>
  </si>
  <si>
    <t>Row Labels</t>
  </si>
  <si>
    <t>Grand Total</t>
  </si>
  <si>
    <t>Sum of Total GST</t>
  </si>
  <si>
    <t>KAR 86/2018-19</t>
  </si>
  <si>
    <t>Ashish Jain</t>
  </si>
  <si>
    <t>Puraniks Builders Ltd</t>
  </si>
  <si>
    <t>Puranik City</t>
  </si>
  <si>
    <t>KAR 87/2018-19</t>
  </si>
  <si>
    <t>Komal Sirohi</t>
  </si>
  <si>
    <t>WHEELABRATOR ALLOY CASTINGS LIMITED</t>
  </si>
  <si>
    <t>Runwal Forest</t>
  </si>
  <si>
    <t>KAR 89/2018-19</t>
  </si>
  <si>
    <t>Prathi Uma</t>
  </si>
  <si>
    <t>Feb 2019</t>
  </si>
  <si>
    <t>KAR 90/2018-19</t>
  </si>
  <si>
    <t>Premanand Godse</t>
  </si>
  <si>
    <t>KAR 91/2018-19</t>
  </si>
  <si>
    <t>Kaladindi Chandravarthi</t>
  </si>
  <si>
    <t>Kausalya Shelters Private Limited</t>
  </si>
  <si>
    <t>GST</t>
  </si>
  <si>
    <t>Quarterwise</t>
  </si>
  <si>
    <t xml:space="preserve">Q 1 </t>
  </si>
  <si>
    <t>Q 2</t>
  </si>
  <si>
    <t>Q 3</t>
  </si>
  <si>
    <t xml:space="preserve">Q 4 </t>
  </si>
  <si>
    <t>Total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</si>
  <si>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</si>
  <si>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</si>
  <si>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</si>
  <si>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</si>
  <si>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</si>
  <si>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</si>
  <si>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</si>
  <si>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</si>
  <si>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</si>
  <si>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</si>
  <si>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</si>
  <si>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KAR 92/2018-19</t>
  </si>
  <si>
    <t>Mr. Suraj S Rai</t>
  </si>
  <si>
    <t>Ozone Infra Developers Pvt Ltd</t>
  </si>
  <si>
    <t>Ozone Prime</t>
  </si>
  <si>
    <t>KAR 94/2018-19</t>
  </si>
  <si>
    <t>KAR 93/2018-19</t>
  </si>
  <si>
    <t>Mrs. Reshma Devakki</t>
  </si>
  <si>
    <t>Mr. Melroy Tellis</t>
  </si>
  <si>
    <t>BSCPL Infrastructure Limited</t>
  </si>
  <si>
    <t>BSCPL</t>
  </si>
  <si>
    <t>Dhruva Woollen Mills Pvt Ltd</t>
  </si>
  <si>
    <t>Mr. Jitendra Jidewar</t>
  </si>
  <si>
    <t>Runwal Eirene</t>
  </si>
  <si>
    <t>Mar 2019</t>
  </si>
  <si>
    <t>KAR 96/2018-19</t>
  </si>
  <si>
    <t>Mrs. Archana Ravindra Barhe</t>
  </si>
  <si>
    <t>NEED TO CHECK</t>
  </si>
  <si>
    <t>KAR 97/2018-19</t>
  </si>
  <si>
    <t>KAR 98/2018-19</t>
  </si>
  <si>
    <t>Ramchandra Bhavaku Harer</t>
  </si>
  <si>
    <t>EVIE REAL ESTATE PRIVATE LIMITED</t>
  </si>
  <si>
    <t>Runwal Bliss</t>
  </si>
  <si>
    <t>KAR 99/2018-19</t>
  </si>
  <si>
    <t>KAR 100/2018-19</t>
  </si>
  <si>
    <t>KAR 101/2018-19</t>
  </si>
  <si>
    <t>KAR 102/2018-19</t>
  </si>
  <si>
    <t>Manoj Kumar</t>
  </si>
  <si>
    <t>ATHIKA K.P.PRABHEESH</t>
  </si>
  <si>
    <t>MR. GOPAL HM</t>
  </si>
  <si>
    <t>Yumnam Dhaneshwar Singh</t>
  </si>
  <si>
    <t>August</t>
  </si>
  <si>
    <t>Mar</t>
  </si>
  <si>
    <t>Arvind Smartspaces Ltd</t>
  </si>
  <si>
    <t>Puravankara Projects Ltd</t>
  </si>
  <si>
    <t>September</t>
  </si>
  <si>
    <t>October</t>
  </si>
  <si>
    <t>November</t>
  </si>
  <si>
    <t>December</t>
  </si>
  <si>
    <t>January</t>
  </si>
  <si>
    <t>KAR 59/2018-19</t>
  </si>
  <si>
    <t>Sobha</t>
  </si>
  <si>
    <t>29AABCS7723E1ZB</t>
  </si>
  <si>
    <t>KAR72/2018-19</t>
  </si>
  <si>
    <t>Sangeeta Prabhu</t>
  </si>
  <si>
    <t>Mirabilis</t>
  </si>
  <si>
    <t>KAR 103/2018-19</t>
  </si>
  <si>
    <t>Mr.Balasubramaniam Arumugum Dravidian</t>
  </si>
  <si>
    <t>Salarpuria Housing Private Limited</t>
  </si>
  <si>
    <t>Misty Charm</t>
  </si>
  <si>
    <t>KAR 104/2018-19</t>
  </si>
  <si>
    <t>Mohammad Iftakar</t>
  </si>
  <si>
    <t>KAR 88/2018-19</t>
  </si>
  <si>
    <t>Sangeeta Kardak</t>
  </si>
  <si>
    <t>KAR 107/2018-19</t>
  </si>
  <si>
    <t>SAHITI INFRATEC VENTURES INDIA PRIVATE LIMITED</t>
  </si>
  <si>
    <t>WAIT</t>
  </si>
  <si>
    <t>Mrs. Sonal Singhal</t>
  </si>
  <si>
    <t>KAR 108/2018-19</t>
  </si>
  <si>
    <t>SAHITI SATYA TECH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</si>
</sst>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43" fontId="6" fillId="0" borderId="0" applyFont="0" applyFill="0" applyBorder="0" applyAlignment="0" applyProtection="0"/>
    <xf numFmtId="0" fontId="6" fillId="0" borderId="0"/>
  </cellStyleXfs>
  <cellXfs count="111">
    <xf numFmtId="0" fontId="0" fillId="0" borderId="0" xfId="0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9" fontId="0" fillId="0" borderId="1" xfId="0" applyNumberFormat="1" applyBorder="1"/>
    <xf numFmtId="164" fontId="8" fillId="0" borderId="1" xfId="1" applyNumberFormat="1" applyFont="1" applyFill="1" applyBorder="1" applyAlignment="1">
      <alignment vertical="center"/>
    </xf>
    <xf numFmtId="0" fontId="1" fillId="0" borderId="1" xfId="0" applyFont="1" applyBorder="1"/>
    <xf numFmtId="164" fontId="0" fillId="0" borderId="1" xfId="1" applyNumberFormat="1" applyFont="1" applyBorder="1"/>
    <xf numFmtId="14" fontId="0" fillId="0" borderId="1" xfId="0" applyNumberFormat="1" applyFill="1" applyBorder="1"/>
    <xf numFmtId="164" fontId="0" fillId="0" borderId="1" xfId="1" applyNumberFormat="1" applyFont="1" applyFill="1" applyBorder="1"/>
    <xf numFmtId="9" fontId="0" fillId="0" borderId="1" xfId="0" applyNumberFormat="1" applyFill="1" applyBorder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1" applyNumberFormat="1" applyFont="1" applyFill="1" applyBorder="1"/>
    <xf numFmtId="9" fontId="3" fillId="0" borderId="1" xfId="0" applyNumberFormat="1" applyFont="1" applyFill="1" applyBorder="1"/>
    <xf numFmtId="10" fontId="0" fillId="0" borderId="1" xfId="0" applyNumberFormat="1" applyBorder="1"/>
    <xf numFmtId="14" fontId="3" fillId="0" borderId="1" xfId="0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9" fontId="3" fillId="0" borderId="1" xfId="0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10" fontId="4" fillId="0" borderId="1" xfId="0" applyNumberFormat="1" applyFont="1" applyBorder="1"/>
    <xf numFmtId="9" fontId="4" fillId="0" borderId="1" xfId="0" applyNumberFormat="1" applyFont="1" applyBorder="1"/>
    <xf numFmtId="0" fontId="4" fillId="0" borderId="1" xfId="0" applyFont="1" applyFill="1" applyBorder="1"/>
    <xf numFmtId="164" fontId="4" fillId="0" borderId="1" xfId="1" applyNumberFormat="1" applyFont="1" applyFill="1" applyBorder="1"/>
    <xf numFmtId="10" fontId="4" fillId="0" borderId="1" xfId="0" applyNumberFormat="1" applyFont="1" applyFill="1" applyBorder="1"/>
    <xf numFmtId="14" fontId="10" fillId="0" borderId="1" xfId="0" applyNumberFormat="1" applyFont="1" applyBorder="1" applyAlignment="1">
      <alignment horizontal="left"/>
    </xf>
    <xf numFmtId="14" fontId="0" fillId="0" borderId="1" xfId="0" quotePrefix="1" applyNumberFormat="1" applyBorder="1"/>
    <xf numFmtId="14" fontId="0" fillId="0" borderId="1" xfId="0" quotePrefix="1" applyNumberFormat="1" applyFill="1" applyBorder="1"/>
    <xf numFmtId="14" fontId="10" fillId="0" borderId="1" xfId="0" quotePrefix="1" applyNumberFormat="1" applyFont="1" applyBorder="1" applyAlignment="1">
      <alignment horizontal="left"/>
    </xf>
    <xf numFmtId="164" fontId="11" fillId="2" borderId="3" xfId="0" applyNumberFormat="1" applyFont="1" applyFill="1" applyBorder="1"/>
    <xf numFmtId="0" fontId="11" fillId="2" borderId="3" xfId="0" applyFont="1" applyFill="1" applyBorder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5" xfId="0" applyFont="1" applyBorder="1"/>
    <xf numFmtId="1" fontId="9" fillId="0" borderId="5" xfId="0" applyNumberFormat="1" applyFont="1" applyBorder="1"/>
    <xf numFmtId="0" fontId="0" fillId="2" borderId="0" xfId="0" applyFill="1"/>
    <xf numFmtId="0" fontId="3" fillId="2" borderId="1" xfId="0" applyFont="1" applyFill="1" applyBorder="1"/>
    <xf numFmtId="1" fontId="3" fillId="2" borderId="1" xfId="0" applyNumberFormat="1" applyFont="1" applyFill="1" applyBorder="1"/>
    <xf numFmtId="1" fontId="0" fillId="2" borderId="1" xfId="0" applyNumberFormat="1" applyFill="1" applyBorder="1"/>
    <xf numFmtId="1" fontId="3" fillId="0" borderId="1" xfId="0" applyNumberFormat="1" applyFont="1" applyBorder="1"/>
    <xf numFmtId="14" fontId="0" fillId="0" borderId="0" xfId="0" applyNumberFormat="1"/>
    <xf numFmtId="0" fontId="10" fillId="0" borderId="1" xfId="0" applyFont="1" applyFill="1" applyBorder="1"/>
    <xf numFmtId="0" fontId="10" fillId="0" borderId="0" xfId="0" applyFont="1" applyFill="1"/>
    <xf numFmtId="14" fontId="10" fillId="0" borderId="1" xfId="0" quotePrefix="1" applyNumberFormat="1" applyFont="1" applyFill="1" applyBorder="1"/>
    <xf numFmtId="0" fontId="8" fillId="0" borderId="1" xfId="0" applyFont="1" applyFill="1" applyBorder="1"/>
    <xf numFmtId="164" fontId="8" fillId="0" borderId="1" xfId="1" applyNumberFormat="1" applyFont="1" applyFill="1" applyBorder="1"/>
    <xf numFmtId="9" fontId="8" fillId="0" borderId="1" xfId="0" applyNumberFormat="1" applyFont="1" applyFill="1" applyBorder="1"/>
    <xf numFmtId="164" fontId="12" fillId="0" borderId="1" xfId="1" applyNumberFormat="1" applyFont="1" applyFill="1" applyBorder="1"/>
    <xf numFmtId="164" fontId="8" fillId="0" borderId="1" xfId="0" applyNumberFormat="1" applyFont="1" applyFill="1" applyBorder="1"/>
    <xf numFmtId="14" fontId="12" fillId="0" borderId="1" xfId="0" applyNumberFormat="1" applyFont="1" applyFill="1" applyBorder="1"/>
    <xf numFmtId="0" fontId="12" fillId="0" borderId="1" xfId="0" applyFont="1" applyFill="1" applyBorder="1"/>
    <xf numFmtId="9" fontId="12" fillId="0" borderId="1" xfId="0" applyNumberFormat="1" applyFont="1" applyFill="1" applyBorder="1"/>
    <xf numFmtId="164" fontId="10" fillId="0" borderId="1" xfId="1" applyNumberFormat="1" applyFont="1" applyFill="1" applyBorder="1"/>
    <xf numFmtId="164" fontId="10" fillId="0" borderId="1" xfId="0" applyNumberFormat="1" applyFont="1" applyFill="1" applyBorder="1"/>
    <xf numFmtId="14" fontId="12" fillId="0" borderId="1" xfId="0" quotePrefix="1" applyNumberFormat="1" applyFont="1" applyFill="1" applyBorder="1"/>
    <xf numFmtId="0" fontId="12" fillId="0" borderId="0" xfId="0" applyFont="1" applyFill="1"/>
    <xf numFmtId="0" fontId="12" fillId="2" borderId="1" xfId="0" applyFont="1" applyFill="1" applyBorder="1"/>
    <xf numFmtId="14" fontId="12" fillId="2" borderId="1" xfId="0" applyNumberFormat="1" applyFont="1" applyFill="1" applyBorder="1"/>
    <xf numFmtId="164" fontId="12" fillId="2" borderId="1" xfId="1" applyNumberFormat="1" applyFont="1" applyFill="1" applyBorder="1"/>
    <xf numFmtId="164" fontId="12" fillId="2" borderId="1" xfId="0" applyNumberFormat="1" applyFont="1" applyFill="1" applyBorder="1"/>
    <xf numFmtId="0" fontId="12" fillId="2" borderId="0" xfId="0" applyFont="1" applyFill="1"/>
    <xf numFmtId="0" fontId="10" fillId="2" borderId="1" xfId="0" applyFont="1" applyFill="1" applyBorder="1"/>
    <xf numFmtId="14" fontId="10" fillId="2" borderId="1" xfId="0" applyNumberFormat="1" applyFont="1" applyFill="1" applyBorder="1"/>
    <xf numFmtId="14" fontId="10" fillId="2" borderId="1" xfId="0" quotePrefix="1" applyNumberFormat="1" applyFont="1" applyFill="1" applyBorder="1"/>
    <xf numFmtId="0" fontId="8" fillId="2" borderId="1" xfId="0" applyFont="1" applyFill="1" applyBorder="1"/>
    <xf numFmtId="164" fontId="8" fillId="2" borderId="1" xfId="1" applyNumberFormat="1" applyFont="1" applyFill="1" applyBorder="1"/>
    <xf numFmtId="9" fontId="8" fillId="2" borderId="1" xfId="0" applyNumberFormat="1" applyFont="1" applyFill="1" applyBorder="1"/>
    <xf numFmtId="43" fontId="12" fillId="2" borderId="1" xfId="1" applyNumberFormat="1" applyFont="1" applyFill="1" applyBorder="1"/>
    <xf numFmtId="164" fontId="8" fillId="2" borderId="1" xfId="0" applyNumberFormat="1" applyFont="1" applyFill="1" applyBorder="1"/>
    <xf numFmtId="0" fontId="10" fillId="2" borderId="0" xfId="0" applyFont="1" applyFill="1"/>
    <xf numFmtId="164" fontId="10" fillId="2" borderId="1" xfId="1" applyNumberFormat="1" applyFont="1" applyFill="1" applyBorder="1"/>
    <xf numFmtId="164" fontId="10" fillId="2" borderId="1" xfId="0" applyNumberFormat="1" applyFont="1" applyFill="1" applyBorder="1"/>
    <xf numFmtId="10" fontId="10" fillId="2" borderId="1" xfId="0" applyNumberFormat="1" applyFont="1" applyFill="1" applyBorder="1"/>
    <xf numFmtId="0" fontId="10" fillId="2" borderId="0" xfId="0" applyFont="1" applyFill="1" applyBorder="1"/>
    <xf numFmtId="14" fontId="10" fillId="2" borderId="0" xfId="0" applyNumberFormat="1" applyFont="1" applyFill="1"/>
    <xf numFmtId="10" fontId="10" fillId="2" borderId="0" xfId="0" applyNumberFormat="1" applyFont="1" applyFill="1"/>
    <xf numFmtId="0" fontId="12" fillId="2" borderId="4" xfId="0" applyFont="1" applyFill="1" applyBorder="1"/>
    <xf numFmtId="14" fontId="12" fillId="2" borderId="4" xfId="0" applyNumberFormat="1" applyFont="1" applyFill="1" applyBorder="1"/>
    <xf numFmtId="14" fontId="12" fillId="2" borderId="4" xfId="0" quotePrefix="1" applyNumberFormat="1" applyFont="1" applyFill="1" applyBorder="1"/>
    <xf numFmtId="164" fontId="12" fillId="2" borderId="4" xfId="1" applyNumberFormat="1" applyFont="1" applyFill="1" applyBorder="1"/>
    <xf numFmtId="10" fontId="12" fillId="2" borderId="4" xfId="0" applyNumberFormat="1" applyFont="1" applyFill="1" applyBorder="1"/>
    <xf numFmtId="164" fontId="12" fillId="2" borderId="4" xfId="0" applyNumberFormat="1" applyFont="1" applyFill="1" applyBorder="1"/>
    <xf numFmtId="14" fontId="12" fillId="2" borderId="1" xfId="0" quotePrefix="1" applyNumberFormat="1" applyFont="1" applyFill="1" applyBorder="1"/>
    <xf numFmtId="10" fontId="12" fillId="2" borderId="1" xfId="0" applyNumberFormat="1" applyFont="1" applyFill="1" applyBorder="1"/>
    <xf numFmtId="0" fontId="4" fillId="0" borderId="1" xfId="0" applyFont="1" applyFill="1" applyBorder="1" applyAlignment="1">
      <alignment wrapText="1"/>
    </xf>
    <xf numFmtId="0" fontId="4" fillId="0" borderId="2" xfId="0" applyFont="1" applyFill="1" applyBorder="1"/>
    <xf numFmtId="0" fontId="4" fillId="0" borderId="0" xfId="0" applyFont="1" applyFill="1"/>
    <xf numFmtId="14" fontId="4" fillId="0" borderId="1" xfId="0" applyNumberFormat="1" applyFont="1" applyFill="1" applyBorder="1"/>
    <xf numFmtId="14" fontId="4" fillId="0" borderId="1" xfId="0" quotePrefix="1" applyNumberFormat="1" applyFont="1" applyFill="1" applyBorder="1"/>
    <xf numFmtId="9" fontId="4" fillId="0" borderId="1" xfId="0" applyNumberFormat="1" applyFont="1" applyFill="1" applyBorder="1"/>
    <xf numFmtId="164" fontId="4" fillId="0" borderId="1" xfId="0" applyNumberFormat="1" applyFont="1" applyFill="1" applyBorder="1"/>
    <xf numFmtId="14" fontId="4" fillId="0" borderId="1" xfId="0" applyNumberFormat="1" applyFont="1" applyFill="1" applyBorder="1" applyAlignment="1">
      <alignment horizontal="left"/>
    </xf>
    <xf numFmtId="14" fontId="4" fillId="0" borderId="1" xfId="0" quotePrefix="1" applyNumberFormat="1" applyFont="1" applyFill="1" applyBorder="1" applyAlignment="1">
      <alignment horizontal="left"/>
    </xf>
    <xf numFmtId="43" fontId="4" fillId="0" borderId="1" xfId="1" applyNumberFormat="1" applyFont="1" applyFill="1" applyBorder="1"/>
    <xf numFmtId="164" fontId="4" fillId="0" borderId="1" xfId="1" applyNumberFormat="1" applyFont="1" applyFill="1" applyBorder="1" applyAlignment="1">
      <alignment vertical="center"/>
    </xf>
    <xf numFmtId="14" fontId="4" fillId="0" borderId="4" xfId="0" quotePrefix="1" applyNumberFormat="1" applyFont="1" applyFill="1" applyBorder="1"/>
    <xf numFmtId="0" fontId="4" fillId="0" borderId="4" xfId="0" applyFont="1" applyFill="1" applyBorder="1"/>
    <xf numFmtId="14" fontId="4" fillId="0" borderId="4" xfId="0" applyNumberFormat="1" applyFont="1" applyFill="1" applyBorder="1"/>
    <xf numFmtId="164" fontId="4" fillId="0" borderId="4" xfId="1" applyNumberFormat="1" applyFont="1" applyFill="1" applyBorder="1"/>
    <xf numFmtId="9" fontId="4" fillId="0" borderId="4" xfId="0" applyNumberFormat="1" applyFont="1" applyFill="1" applyBorder="1"/>
    <xf numFmtId="0" fontId="4" fillId="0" borderId="0" xfId="0" applyFont="1" applyFill="1" applyBorder="1"/>
    <xf numFmtId="164" fontId="4" fillId="0" borderId="0" xfId="0" applyNumberFormat="1" applyFont="1" applyFill="1"/>
    <xf numFmtId="0" fontId="11" fillId="2" borderId="3" xfId="0" applyFont="1" applyFill="1" applyBorder="1" applyAlignment="1">
      <alignment horizontal="center"/>
    </xf>
    <xf numFmtId="10" fontId="4" fillId="0" borderId="0" xfId="0" applyNumberFormat="1" applyFont="1" applyFill="1"/>
  </cellXfs>
  <cellStyles count="6">
    <cellStyle name="Comma" xfId="1" builtinId="3"/>
    <cellStyle name="Comma 2" xfId="4"/>
    <cellStyle name="Hyperlink 2" xfId="2"/>
    <cellStyle name="Normal" xfId="0" builtinId="0"/>
    <cellStyle name="Normal 2" xfId="3"/>
    <cellStyle name="Normal 2 2" xfId="5"/>
  </cellStyles>
  <dxfs count="2">
    <dxf>
      <numFmt numFmtId="1" formatCode="0"/>
    </dxf>
    <dxf>
      <numFmt numFmtId="1" formatCode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[GST 2018-19_15.01.2019.xlsx]Pivot!PivotTable1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GST 2018-19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6">
              <a:alpha val="8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6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F79646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F79646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Pivot!$A$4:$A$37</c:f>
              <c:multiLvlStrCache>
                <c:ptCount val="21"/>
                <c:lvl>
                  <c:pt idx="0">
                    <c:v>Bangalore</c:v>
                  </c:pt>
                  <c:pt idx="1">
                    <c:v>Bangalore</c:v>
                  </c:pt>
                  <c:pt idx="2">
                    <c:v>Mumbai</c:v>
                  </c:pt>
                  <c:pt idx="3">
                    <c:v>Bangalore</c:v>
                  </c:pt>
                  <c:pt idx="4">
                    <c:v>Bangalore</c:v>
                  </c:pt>
                  <c:pt idx="5">
                    <c:v>Mumbai</c:v>
                  </c:pt>
                  <c:pt idx="6">
                    <c:v>Bangalore</c:v>
                  </c:pt>
                  <c:pt idx="7">
                    <c:v>Mumbai</c:v>
                  </c:pt>
                  <c:pt idx="8">
                    <c:v>Bangalore</c:v>
                  </c:pt>
                  <c:pt idx="9">
                    <c:v>Mumbai</c:v>
                  </c:pt>
                  <c:pt idx="10">
                    <c:v>Bangalore</c:v>
                  </c:pt>
                  <c:pt idx="11">
                    <c:v>Mumbai</c:v>
                  </c:pt>
                  <c:pt idx="12">
                    <c:v>Bangalore</c:v>
                  </c:pt>
                  <c:pt idx="13">
                    <c:v>Mumbai</c:v>
                  </c:pt>
                  <c:pt idx="14">
                    <c:v>Bangalore</c:v>
                  </c:pt>
                  <c:pt idx="15">
                    <c:v>Mumbai</c:v>
                  </c:pt>
                  <c:pt idx="16">
                    <c:v>Bangalore</c:v>
                  </c:pt>
                  <c:pt idx="17">
                    <c:v>Mumbai</c:v>
                  </c:pt>
                  <c:pt idx="18">
                    <c:v>Bangalore</c:v>
                  </c:pt>
                  <c:pt idx="19">
                    <c:v>Mumbai</c:v>
                  </c:pt>
                  <c:pt idx="20">
                    <c:v>Mumbai</c:v>
                  </c:pt>
                </c:lvl>
                <c:lvl>
                  <c:pt idx="0">
                    <c:v>April</c:v>
                  </c:pt>
                  <c:pt idx="1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6">
                    <c:v>Aug</c:v>
                  </c:pt>
                  <c:pt idx="8">
                    <c:v>Sept</c:v>
                  </c:pt>
                  <c:pt idx="10">
                    <c:v>Oct</c:v>
                  </c:pt>
                  <c:pt idx="12">
                    <c:v>Nov</c:v>
                  </c:pt>
                  <c:pt idx="14">
                    <c:v>Dec</c:v>
                  </c:pt>
                  <c:pt idx="16">
                    <c:v>Jan</c:v>
                  </c:pt>
                  <c:pt idx="18">
                    <c:v>Feb</c:v>
                  </c:pt>
                  <c:pt idx="20">
                    <c:v>Mar 2019</c:v>
                  </c:pt>
                </c:lvl>
              </c:multiLvlStrCache>
            </c:multiLvlStrRef>
          </c:cat>
          <c:val>
            <c:numRef>
              <c:f>Pivot!$B$4:$B$37</c:f>
              <c:numCache>
                <c:formatCode>0</c:formatCode>
                <c:ptCount val="21"/>
                <c:pt idx="0">
                  <c:v>118749.30458399998</c:v>
                </c:pt>
                <c:pt idx="1">
                  <c:v>83509.595315999992</c:v>
                </c:pt>
                <c:pt idx="2">
                  <c:v>47416.424400000004</c:v>
                </c:pt>
                <c:pt idx="3">
                  <c:v>106723.45259999999</c:v>
                </c:pt>
                <c:pt idx="4">
                  <c:v>162884.44439999998</c:v>
                </c:pt>
                <c:pt idx="5">
                  <c:v>109376.12519999999</c:v>
                </c:pt>
                <c:pt idx="6">
                  <c:v>289005.70679999999</c:v>
                </c:pt>
                <c:pt idx="7">
                  <c:v>79397.117999999988</c:v>
                </c:pt>
                <c:pt idx="8">
                  <c:v>53150.428800000002</c:v>
                </c:pt>
                <c:pt idx="9">
                  <c:v>73404.658080000008</c:v>
                </c:pt>
                <c:pt idx="10">
                  <c:v>170338.23989999999</c:v>
                </c:pt>
                <c:pt idx="11">
                  <c:v>16020.590399999999</c:v>
                </c:pt>
                <c:pt idx="12">
                  <c:v>32204.25</c:v>
                </c:pt>
                <c:pt idx="13">
                  <c:v>76662.199619999999</c:v>
                </c:pt>
                <c:pt idx="14">
                  <c:v>178817.06520000001</c:v>
                </c:pt>
                <c:pt idx="15">
                  <c:v>86692.05</c:v>
                </c:pt>
                <c:pt idx="16">
                  <c:v>40371.638399999996</c:v>
                </c:pt>
                <c:pt idx="17">
                  <c:v>175946.33970000001</c:v>
                </c:pt>
                <c:pt idx="18">
                  <c:v>19440</c:v>
                </c:pt>
                <c:pt idx="19">
                  <c:v>44496</c:v>
                </c:pt>
                <c:pt idx="20">
                  <c:v>47023.199999999997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22-4F07-8651-E2EEDD1F68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2439296"/>
        <c:axId val="182446336"/>
        <c:axId val="0"/>
      </c:bar3DChart>
      <c:catAx>
        <c:axId val="18243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6336"/>
        <c:crosses val="autoZero"/>
        <c:auto val="1"/>
        <c:lblAlgn val="ctr"/>
        <c:lblOffset val="100"/>
        <c:noMultiLvlLbl val="0"/>
      </c:catAx>
      <c:valAx>
        <c:axId val="182446336"/>
        <c:scaling>
          <c:orientation val="minMax"/>
        </c:scaling>
        <c:delete val="1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8243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GST</a:t>
            </a:r>
            <a:r>
              <a:rPr lang="en-IN" baseline="0"/>
              <a:t> 2018 - 19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Pivot!$B$42</c:f>
              <c:strCache>
                <c:ptCount val="1"/>
                <c:pt idx="0">
                  <c:v>Mumbai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Pivot!$A$43:$A$46</c:f>
              <c:strCache>
                <c:ptCount val="4"/>
                <c:pt idx="0">
                  <c:v>Q 1 </c:v>
                </c:pt>
                <c:pt idx="1">
                  <c:v>Q 2</c:v>
                </c:pt>
                <c:pt idx="2">
                  <c:v>Q 3</c:v>
                </c:pt>
                <c:pt idx="3">
                  <c:v>Q 4 </c:v>
                </c:pt>
              </c:strCache>
            </c:strRef>
          </c:cat>
          <c:val>
            <c:numRef>
              <c:f>Pivot!$B$43:$B$46</c:f>
              <c:numCache>
                <c:formatCode>0</c:formatCode>
                <c:ptCount val="4"/>
                <c:pt idx="0">
                  <c:v>0</c:v>
                </c:pt>
                <c:pt idx="1">
                  <c:v>262177.90127999999</c:v>
                </c:pt>
                <c:pt idx="2">
                  <c:v>179374.84002</c:v>
                </c:pt>
                <c:pt idx="3">
                  <c:v>220442.33970000001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D6-4AD6-ABA2-347A9DC27645}"/>
            </c:ext>
          </c:extLst>
        </c:ser>
        <c:ser>
          <c:idx val="1"/>
          <c:order val="1"/>
          <c:tx>
            <c:strRef>
              <c:f>Pivot!$C$42</c:f>
              <c:strCache>
                <c:ptCount val="1"/>
                <c:pt idx="0">
                  <c:v>Bangalore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Pivot!$A$43:$A$46</c:f>
              <c:strCache>
                <c:ptCount val="4"/>
                <c:pt idx="0">
                  <c:v>Q 1 </c:v>
                </c:pt>
                <c:pt idx="1">
                  <c:v>Q 2</c:v>
                </c:pt>
                <c:pt idx="2">
                  <c:v>Q 3</c:v>
                </c:pt>
                <c:pt idx="3">
                  <c:v>Q 4 </c:v>
                </c:pt>
              </c:strCache>
            </c:strRef>
          </c:cat>
          <c:val>
            <c:numRef>
              <c:f>Pivot!$C$43:$C$46</c:f>
              <c:numCache>
                <c:formatCode>0</c:formatCode>
                <c:ptCount val="4"/>
                <c:pt idx="0">
                  <c:v>308982.35249999992</c:v>
                </c:pt>
                <c:pt idx="1">
                  <c:v>505040.57999999996</c:v>
                </c:pt>
                <c:pt idx="2">
                  <c:v>349155.3051</c:v>
                </c:pt>
                <c:pt idx="3">
                  <c:v>59811.638399999996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D6-4AD6-ABA2-347A9DC2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82432"/>
        <c:axId val="182483968"/>
      </c:barChart>
      <c:catAx>
        <c:axId val="1824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83968"/>
        <c:crosses val="autoZero"/>
        <c:auto val="1"/>
        <c:lblAlgn val="ctr"/>
        <c:lblOffset val="100"/>
        <c:noMultiLvlLbl val="0"/>
      </c:catAx>
      <c:valAx>
        <c:axId val="1824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180974</xdr:rowOff>
    </xdr:from>
    <xdr:to>
      <xdr:col>23</xdr:col>
      <xdr:colOff>247650</xdr:colOff>
      <xdr:row>34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6C23C24-85FF-4381-B415-DA5A96504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609599</xdr:colOff>
      <xdr:row>38</xdr:row>
      <xdr:rowOff>95250</xdr:rowOff>
    </xdr:from>
    <xdr:to>
      <xdr:col>19</xdr:col>
      <xdr:colOff>85724</xdr:colOff>
      <xdr:row>52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CB070D8-106C-4C7C-BC07-50976A23C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568.610660416663" createdVersion="6" refreshedVersion="4" minRefreshableVersion="3" recordCount="76">
  <cacheSource type="worksheet">
    <worksheetSource ref="A28:S31" sheet="Details"/>
  </cacheSource>
  <cacheFields count="19">
    <cacheField name="Sr. No." numFmtId="0">
      <sharedItems containsString="0" containsBlank="1" containsNumber="1" containsInteger="1" minValue="1" maxValue="74"/>
    </cacheField>
    <cacheField name="Date" numFmtId="0">
      <sharedItems containsDate="1" containsMixedTypes="1" minDate="2018-04-11T00:00:00" maxDate="2019-03-02T00:00:00"/>
    </cacheField>
    <cacheField name="Month" numFmtId="14">
      <sharedItems count="12">
        <s v="April 2018"/>
        <s v="Jan 2019"/>
        <s v="May 2018"/>
        <s v="Sept 2018"/>
        <s v="June 2018"/>
        <s v="July 2018"/>
        <s v="Oct 2018"/>
        <s v="Aug 2018"/>
        <s v="Nov 2018"/>
        <s v="Dec 2018"/>
        <s v="Mar 2019"/>
        <s v="Feb 2019"/>
      </sharedItems>
    </cacheField>
    <cacheField name="Invoice No." numFmtId="0">
      <sharedItems/>
    </cacheField>
    <cacheField name="Client Name" numFmtId="0">
      <sharedItems/>
    </cacheField>
    <cacheField name="Developers Name " numFmtId="0">
      <sharedItems/>
    </cacheField>
    <cacheField name="Project Name" numFmtId="0">
      <sharedItems containsBlank="1"/>
    </cacheField>
    <cacheField name="Region" numFmtId="0">
      <sharedItems/>
    </cacheField>
    <cacheField name="Unit Cost" numFmtId="164">
      <sharedItems containsString="0" containsBlank="1" containsNumber="1" minValue="1800000" maxValue="43200000"/>
    </cacheField>
    <cacheField name="Brokerage Rate" numFmtId="0">
      <sharedItems containsSemiMixedTypes="0" containsString="0" containsNumber="1" minValue="3.5000000000000001E-3" maxValue="0.03"/>
    </cacheField>
    <cacheField name="Gross Amount" numFmtId="164">
      <sharedItems containsSemiMixedTypes="0" containsString="0" containsNumber="1" minValue="19523.756000000001" maxValue="864000"/>
    </cacheField>
    <cacheField name="IGST" numFmtId="0">
      <sharedItems containsString="0" containsBlank="1" containsNumber="1" minValue="0" maxValue="155520"/>
    </cacheField>
    <cacheField name="CGST" numFmtId="164">
      <sharedItems containsString="0" containsBlank="1" containsNumber="1" minValue="0" maxValue="24886.460250000004"/>
    </cacheField>
    <cacheField name="SGST" numFmtId="164">
      <sharedItems containsString="0" containsBlank="1" containsNumber="1" minValue="0" maxValue="24886.460250000004"/>
    </cacheField>
    <cacheField name="TDS" numFmtId="164">
      <sharedItems containsSemiMixedTypes="0" containsString="0" containsNumber="1" minValue="976.18780000000015" maxValue="43200"/>
    </cacheField>
    <cacheField name="Net Amount" numFmtId="164">
      <sharedItems containsSemiMixedTypes="0" containsString="0" containsNumber="1" minValue="22061.844280000005" maxValue="976320"/>
    </cacheField>
    <cacheField name="Total GST" numFmtId="164">
      <sharedItems containsSemiMixedTypes="0" containsString="0" containsNumber="1" minValue="3514.2760800000001" maxValue="155520"/>
    </cacheField>
    <cacheField name="Date of payment recd." numFmtId="0">
      <sharedItems containsDate="1" containsBlank="1" containsMixedTypes="1" minDate="2018-05-10T00:00:00" maxDate="2019-02-09T00:00:00"/>
    </cacheField>
    <cacheField name="GST" numFmtId="0">
      <sharedItems count="2">
        <s v="Bangalore"/>
        <s v="Mumba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n v="1"/>
    <d v="2018-04-11T00:00:00"/>
    <x v="0"/>
    <s v="KAR 01/2018-19"/>
    <s v="Shrikant Govind Thombre"/>
    <s v="Bellissimo Developers Thane Pvt Ltd"/>
    <s v="Lodha Amara"/>
    <s v="Mumbai"/>
    <n v="5578649.4400000004"/>
    <n v="0.02"/>
    <n v="111572.98880000001"/>
    <n v="20083.137984000001"/>
    <n v="0"/>
    <n v="0"/>
    <n v="5578.6494400000011"/>
    <n v="126077.47734400001"/>
    <n v="20083.137984000001"/>
    <d v="2018-06-11T00:00:00"/>
    <x v="0"/>
  </r>
  <r>
    <n v="2"/>
    <d v="2018-04-11T00:00:00"/>
    <x v="0"/>
    <s v="KAR 02/2018-19"/>
    <s v="Shivram shirke / Megha Shivram Shirke"/>
    <s v="Bellissimo Developers Thane Pvt Ltd"/>
    <s v="Lodha Amara"/>
    <s v="Mumbai"/>
    <n v="8092706"/>
    <n v="0.02"/>
    <n v="161854.12"/>
    <n v="29133.741599999998"/>
    <n v="0"/>
    <n v="0"/>
    <n v="8092.7060000000001"/>
    <n v="182895.1556"/>
    <n v="29133.741599999998"/>
    <m/>
    <x v="0"/>
  </r>
  <r>
    <n v="3"/>
    <d v="2018-04-12T00:00:00"/>
    <x v="0"/>
    <s v="KAR03/2018-19"/>
    <s v="Neha Goyal &amp; Anmol Agarwal"/>
    <s v="Shriram Properties Pvt Ltd."/>
    <s v="Shriram Summit"/>
    <s v="Bangalore"/>
    <n v="6147675"/>
    <n v="0.03"/>
    <n v="184430.25"/>
    <n v="0"/>
    <n v="16598.7225"/>
    <n v="16598.7225"/>
    <n v="9221.5125000000007"/>
    <n v="208406.1825"/>
    <n v="33197.445"/>
    <d v="2018-05-19T00:00:00"/>
    <x v="0"/>
  </r>
  <r>
    <n v="4"/>
    <d v="2018-04-18T00:00:00"/>
    <x v="0"/>
    <s v="KAR04/2018-19"/>
    <s v="Charles Kharkongor &amp; Singdha Barman"/>
    <s v="Srivision Towers Private Limited"/>
    <s v="Greenfield"/>
    <s v="Bangalore"/>
    <n v="4533600"/>
    <n v="0.02"/>
    <n v="90672"/>
    <n v="0"/>
    <n v="8160.48"/>
    <n v="8160.48"/>
    <n v="4533.6000000000004"/>
    <n v="102459.35999999999"/>
    <n v="16320.96"/>
    <d v="2018-05-29T00:00:00"/>
    <x v="0"/>
  </r>
  <r>
    <n v="5"/>
    <d v="2018-04-22T00:00:00"/>
    <x v="0"/>
    <s v="KAR05/2018-19"/>
    <s v="N.Kishore &amp; Vidhya Kishore"/>
    <s v="Srivision Towers Private Limited"/>
    <s v="Greenfield"/>
    <s v="Bangalore"/>
    <n v="5135700"/>
    <n v="0.02"/>
    <n v="111189"/>
    <n v="0"/>
    <n v="10007.01"/>
    <n v="10007.01"/>
    <n v="5559.4500000000007"/>
    <n v="125643.56999999999"/>
    <n v="20014.02"/>
    <d v="2018-05-29T00:00:00"/>
    <x v="0"/>
  </r>
  <r>
    <n v="6"/>
    <d v="2019-01-22T00:00:00"/>
    <x v="1"/>
    <s v="KAR88/2018-19"/>
    <s v="Mrs.Sangita Kardak &amp; Mr.Pravin Kardak"/>
    <s v="VIHANG ENTREPRISES"/>
    <s v="VIHANG VERMONT"/>
    <s v="Mumbai"/>
    <n v="6284200"/>
    <n v="2.2499999999999999E-2"/>
    <n v="141394.5"/>
    <n v="0"/>
    <n v="12725.504999999999"/>
    <n v="12725.504999999999"/>
    <n v="7069.7250000000004"/>
    <n v="159775.785"/>
    <n v="25451.01"/>
    <s v="NR"/>
    <x v="1"/>
  </r>
  <r>
    <n v="7"/>
    <d v="2018-05-04T00:00:00"/>
    <x v="2"/>
    <s v="KAR07/2018-19"/>
    <s v="Jignesh Kumar Patel"/>
    <s v="Rizvi Estates &amp; Hotels Pvt Ltd"/>
    <s v="RIZVI CEDAR"/>
    <s v="Mumbai"/>
    <n v="6750000"/>
    <n v="0.02"/>
    <n v="135000"/>
    <n v="0"/>
    <n v="12150"/>
    <n v="12150"/>
    <n v="6750"/>
    <n v="152550"/>
    <n v="24300"/>
    <d v="2018-05-10T00:00:00"/>
    <x v="1"/>
  </r>
  <r>
    <n v="8"/>
    <d v="2018-09-05T00:00:00"/>
    <x v="3"/>
    <s v="KAR08/2018-19"/>
    <s v="Pratibha Singh"/>
    <s v="Patel Sumondo"/>
    <s v="PBSR"/>
    <s v="Hyderabad"/>
    <n v="5208000"/>
    <n v="0.03"/>
    <n v="156240"/>
    <n v="28123.200000000001"/>
    <n v="0"/>
    <n v="0"/>
    <n v="7812"/>
    <n v="176551.2"/>
    <n v="28123.200000000001"/>
    <m/>
    <x v="1"/>
  </r>
  <r>
    <n v="9"/>
    <d v="2018-05-13T00:00:00"/>
    <x v="2"/>
    <s v="KAR09/2018-19"/>
    <s v="Sobhana Sheet"/>
    <s v="Bellissimo Developers Thane Pvt Ltd"/>
    <s v="Bullseye (Mira Road)"/>
    <s v="Mumbai"/>
    <n v="6421229"/>
    <n v="0.02"/>
    <n v="128424.58"/>
    <n v="23116.4244"/>
    <m/>
    <m/>
    <n v="6421.2290000000003"/>
    <n v="145119.77540000001"/>
    <n v="23116.4244"/>
    <d v="2018-06-19T00:00:00"/>
    <x v="1"/>
  </r>
  <r>
    <n v="10"/>
    <d v="2018-05-10T00:00:00"/>
    <x v="2"/>
    <s v="KAR10/2018-19"/>
    <s v="Mrs.Pavithra N S"/>
    <s v="Arvind Smartspaces Limited"/>
    <s v="ARVIND SKYLANDS"/>
    <s v="Bangalore"/>
    <n v="4163523"/>
    <n v="2.5000000000000001E-2"/>
    <n v="104088.07500000001"/>
    <m/>
    <n v="9367.9267500000005"/>
    <n v="9367.9267500000005"/>
    <n v="5204.4037500000013"/>
    <n v="117619.52475000001"/>
    <n v="18735.853500000001"/>
    <d v="2018-06-08T00:00:00"/>
    <x v="0"/>
  </r>
  <r>
    <n v="11"/>
    <d v="2018-05-14T00:00:00"/>
    <x v="2"/>
    <s v="KAR11/2018-19"/>
    <s v="Megha Shivram Shirke"/>
    <s v="Bellissimo Developers Thane Pvt Ltd"/>
    <s v="Lodha Amara"/>
    <s v="Mumbai"/>
    <n v="8092706.0599999996"/>
    <n v="0.02"/>
    <n v="161854.12119999999"/>
    <n v="29133.741815999998"/>
    <m/>
    <m/>
    <n v="8092.7060600000004"/>
    <n v="182895.15695599999"/>
    <n v="29133.741815999998"/>
    <d v="2018-07-11T00:00:00"/>
    <x v="0"/>
  </r>
  <r>
    <n v="12"/>
    <d v="2018-06-04T00:00:00"/>
    <x v="4"/>
    <s v="KAR12/2018-19"/>
    <s v="Mrs.Minakshi"/>
    <s v="Allam Infinite India Private Limited"/>
    <s v="GM Ambitious Enclave"/>
    <s v="Bangalore"/>
    <n v="2722200"/>
    <n v="0.02"/>
    <n v="54444"/>
    <n v="0"/>
    <n v="4899.96"/>
    <n v="4899.96"/>
    <n v="2722.2000000000003"/>
    <n v="61521.72"/>
    <n v="9799.92"/>
    <s v="NR"/>
    <x v="0"/>
  </r>
  <r>
    <n v="13"/>
    <d v="2018-07-09T00:00:00"/>
    <x v="5"/>
    <s v="KAR13/2018-19"/>
    <s v="Mr.Raghuveer Matam "/>
    <s v="Casa Grande Garden City Bulldres Private Limited "/>
    <s v="Royce"/>
    <s v="Bangalore"/>
    <n v="4680780"/>
    <n v="0.03"/>
    <n v="140423.4"/>
    <n v="0"/>
    <n v="12638.106"/>
    <n v="12638.106"/>
    <n v="7021.17"/>
    <n v="158678.44199999998"/>
    <n v="25276.212"/>
    <d v="2018-07-18T00:00:00"/>
    <x v="0"/>
  </r>
  <r>
    <n v="14"/>
    <d v="2018-07-09T00:00:00"/>
    <x v="5"/>
    <s v="KAR13/2018-19"/>
    <s v="Pratik Mitra &amp; soumi pal"/>
    <s v="Casa Grande Garden City Bulldres Private Limited "/>
    <s v="Royce"/>
    <s v="Bangalore"/>
    <n v="5042455"/>
    <n v="0.03"/>
    <n v="151273.65"/>
    <n v="0"/>
    <n v="13614.628499999999"/>
    <n v="13614.628499999999"/>
    <n v="7563.6824999999999"/>
    <n v="170939.22449999998"/>
    <n v="27229.256999999998"/>
    <d v="2018-07-18T00:00:00"/>
    <x v="0"/>
  </r>
  <r>
    <n v="15"/>
    <d v="2018-05-28T00:00:00"/>
    <x v="2"/>
    <s v="KAR14/2018-19"/>
    <s v="Kaldinidi Varabala Raju "/>
    <s v="BVM Energy And Residency Private Limited"/>
    <s v="Kapil Towers"/>
    <s v="Hyderabad"/>
    <n v="5400000"/>
    <n v="0.02"/>
    <n v="108000"/>
    <n v="19440"/>
    <m/>
    <m/>
    <n v="5400"/>
    <n v="122040"/>
    <n v="19440"/>
    <d v="2018-06-05T00:00:00"/>
    <x v="0"/>
  </r>
  <r>
    <n v="16"/>
    <d v="2018-05-28T00:00:00"/>
    <x v="2"/>
    <s v="KAR15/2018-19"/>
    <s v="Edukula Gopi Kishan "/>
    <s v="Dakshin Infrastrucutres Private Limited"/>
    <s v="Kapil Towers"/>
    <s v="Hyderabad"/>
    <n v="1800000"/>
    <n v="0.02"/>
    <n v="36000"/>
    <n v="6480"/>
    <m/>
    <m/>
    <n v="1800"/>
    <n v="40680"/>
    <n v="6480"/>
    <d v="2018-05-28T00:00:00"/>
    <x v="0"/>
  </r>
  <r>
    <n v="17"/>
    <d v="2018-05-28T00:00:00"/>
    <x v="2"/>
    <s v="KAR16/2018-19"/>
    <s v="C Surya Krishanaevni"/>
    <s v="BVM Energy And Residency Private Limited"/>
    <s v="Kapil Towers"/>
    <s v="Hyderabad"/>
    <n v="2700000"/>
    <n v="0.02"/>
    <n v="54000"/>
    <n v="9720"/>
    <m/>
    <m/>
    <n v="2700"/>
    <n v="61020"/>
    <n v="9720"/>
    <d v="2018-07-09T00:00:00"/>
    <x v="0"/>
  </r>
  <r>
    <n v="19"/>
    <d v="2018-06-08T00:00:00"/>
    <x v="4"/>
    <s v="KAR24/2018-19"/>
    <s v="Lavanya P Belliappa"/>
    <s v="SHOBA LIMITED"/>
    <s v="Arena (The Plaza)"/>
    <s v="Bangalore"/>
    <n v="9226266"/>
    <n v="0.02"/>
    <n v="184525.32"/>
    <n v="0"/>
    <n v="16607.2788"/>
    <n v="16607.2788"/>
    <n v="9226.2660000000014"/>
    <n v="208513.6116"/>
    <n v="33214.5576"/>
    <d v="2018-08-31T00:00:00"/>
    <x v="0"/>
  </r>
  <r>
    <n v="20"/>
    <d v="2018-06-11T00:00:00"/>
    <x v="4"/>
    <s v="KAR25/2018-19"/>
    <s v="Mr.Niraj Mishra"/>
    <s v="Arvind Smartspaces Limited"/>
    <s v="ARVIND SKYLANDS"/>
    <s v="Bangalore"/>
    <n v="4988394"/>
    <n v="2.5000000000000001E-2"/>
    <n v="124709.85"/>
    <n v="0"/>
    <n v="11223.886500000001"/>
    <n v="11223.886500000001"/>
    <n v="6235.4925000000003"/>
    <n v="140922.1305"/>
    <n v="22447.773000000001"/>
    <m/>
    <x v="0"/>
  </r>
  <r>
    <n v="21"/>
    <d v="2018-06-11T00:00:00"/>
    <x v="4"/>
    <s v="KAR26/2018-19"/>
    <s v="Pradeep Kumar Meher"/>
    <s v="Arvind Smartspaces Limited"/>
    <s v="ARVIND SKYLANDS"/>
    <s v="Bangalore"/>
    <n v="6280505"/>
    <n v="0.02"/>
    <n v="125610.1"/>
    <n v="0"/>
    <n v="11304.909"/>
    <n v="11304.909"/>
    <n v="6280.505000000001"/>
    <n v="141939.413"/>
    <n v="22609.817999999999"/>
    <m/>
    <x v="0"/>
  </r>
  <r>
    <n v="22"/>
    <d v="2018-06-11T00:00:00"/>
    <x v="4"/>
    <s v="KAR27/2018-19"/>
    <s v="Chandra Shekhar Rajhans"/>
    <s v="Arvind Smartspaces Limited"/>
    <s v="ARVIND SKYLANDS"/>
    <s v="Bangalore"/>
    <n v="5180940"/>
    <n v="0.02"/>
    <n v="103618.8"/>
    <n v="0"/>
    <n v="9325.6919999999991"/>
    <n v="9325.6919999999991"/>
    <n v="5180.9400000000005"/>
    <n v="117089.24399999999"/>
    <n v="18651.383999999998"/>
    <m/>
    <x v="0"/>
  </r>
  <r>
    <n v="23"/>
    <d v="2018-07-04T00:00:00"/>
    <x v="5"/>
    <s v="KAR29/2018-19"/>
    <s v="Amrit Krishna"/>
    <s v="Brickex Advisors Pvt Ltd"/>
    <s v="Bren Imperia "/>
    <s v="Bangalore"/>
    <n v="7264650"/>
    <n v="0.01"/>
    <n v="72646.5"/>
    <n v="13076.369999999999"/>
    <m/>
    <m/>
    <n v="3632.3250000000003"/>
    <n v="82090.544999999998"/>
    <n v="13076.369999999999"/>
    <d v="2018-07-13T00:00:00"/>
    <x v="0"/>
  </r>
  <r>
    <n v="24"/>
    <d v="2018-07-17T00:00:00"/>
    <x v="5"/>
    <s v="KAR30/2018-19"/>
    <s v="Suman Sekhar Behera"/>
    <s v="Shriram Properties Pvt Ltd."/>
    <s v="Shriram"/>
    <s v="Bangalore"/>
    <n v="5760525"/>
    <n v="0.03"/>
    <n v="172815.75"/>
    <n v="0"/>
    <n v="15553.4175"/>
    <n v="15553.4175"/>
    <n v="8640.7875000000004"/>
    <n v="195281.79750000002"/>
    <n v="31106.834999999999"/>
    <d v="2018-09-07T00:00:00"/>
    <x v="0"/>
  </r>
  <r>
    <n v="25"/>
    <d v="2018-07-09T00:00:00"/>
    <x v="5"/>
    <s v="KAR31/2018-19"/>
    <s v="Srinivas"/>
    <s v="Puravnkara Limited"/>
    <s v="Purvankara"/>
    <s v="Bangalore"/>
    <n v="2695041"/>
    <n v="0.02"/>
    <n v="53900.82"/>
    <n v="0"/>
    <n v="4851.0738000000001"/>
    <n v="4851.0738000000001"/>
    <n v="2695.0410000000002"/>
    <n v="60907.926599999999"/>
    <n v="9702.1476000000002"/>
    <d v="2018-09-10T00:00:00"/>
    <x v="0"/>
  </r>
  <r>
    <n v="26"/>
    <d v="2018-07-09T00:00:00"/>
    <x v="5"/>
    <s v="KAR32/2018-19"/>
    <s v="Wedant"/>
    <s v="Puravnkara Limited"/>
    <s v="Purvankara"/>
    <s v="Bangalore"/>
    <n v="4197207"/>
    <n v="0.02"/>
    <n v="83944.14"/>
    <n v="0"/>
    <n v="7554.9726000000001"/>
    <n v="7554.9726000000001"/>
    <n v="4197.2070000000003"/>
    <n v="94856.878199999992"/>
    <n v="15109.9452"/>
    <d v="2018-09-10T00:00:00"/>
    <x v="0"/>
  </r>
  <r>
    <n v="27"/>
    <d v="2018-07-17T00:00:00"/>
    <x v="5"/>
    <s v="KAR33/2018-19"/>
    <s v="Amrjeet Singh Saini"/>
    <s v="Marothan Energen LLP"/>
    <s v="NEXTOWN"/>
    <s v="Mumbai"/>
    <n v="4550580"/>
    <n v="0.02"/>
    <n v="91011.6"/>
    <n v="0"/>
    <n v="8191.0439999999999"/>
    <n v="8191.0439999999999"/>
    <n v="4550.5800000000008"/>
    <n v="102843.10799999999"/>
    <n v="16382.088"/>
    <d v="2018-08-28T00:00:00"/>
    <x v="1"/>
  </r>
  <r>
    <n v="28"/>
    <d v="2018-07-17T00:00:00"/>
    <x v="5"/>
    <s v="KAR34/2018-19"/>
    <s v="Amrjeet Singh Saini"/>
    <s v="Marothan Energen LLP"/>
    <s v="NEXTOWN"/>
    <s v="Mumbai"/>
    <n v="3339000"/>
    <n v="0.02"/>
    <n v="66780"/>
    <n v="0"/>
    <n v="6010.2"/>
    <n v="6010.2"/>
    <n v="3339"/>
    <n v="75461.399999999994"/>
    <n v="12020.4"/>
    <d v="2018-08-21T00:00:00"/>
    <x v="1"/>
  </r>
  <r>
    <n v="29"/>
    <d v="2018-07-12T00:00:00"/>
    <x v="5"/>
    <s v="KAR35/2018-19"/>
    <s v="Mr.Abhijit Basak"/>
    <s v="PBSR Developers Pvt.Ltd."/>
    <s v="SMONDO GACHIBOWLI"/>
    <s v="Hyderabad"/>
    <n v="4603500"/>
    <n v="0.03"/>
    <n v="138105"/>
    <n v="24858.899999999998"/>
    <m/>
    <m/>
    <n v="6905.25"/>
    <n v="156058.65"/>
    <n v="24858.899999999998"/>
    <d v="2018-08-05T00:00:00"/>
    <x v="1"/>
  </r>
  <r>
    <n v="30"/>
    <d v="2018-10-04T00:00:00"/>
    <x v="6"/>
    <s v="KAR36/2018-19"/>
    <s v="Raja Shekar"/>
    <s v="Arvind Smartspaces Limited"/>
    <s v="ARVIND SKYLANDS"/>
    <s v="Bangalore"/>
    <n v="4248083"/>
    <n v="2.5000000000000001E-2"/>
    <n v="106202.07500000001"/>
    <m/>
    <n v="9558.1867500000008"/>
    <n v="9558.1867500000008"/>
    <n v="5310.1037500000011"/>
    <n v="120008.34475"/>
    <n v="19116.373500000002"/>
    <m/>
    <x v="0"/>
  </r>
  <r>
    <n v="31"/>
    <d v="2018-08-14T00:00:00"/>
    <x v="7"/>
    <s v="KAR00039/2018-19"/>
    <s v="Guntha Naveen"/>
    <s v="LODHA DEVELOPERS LIMITED "/>
    <s v="Upper Thane"/>
    <s v="Mumbai"/>
    <n v="6179238"/>
    <n v="0.02"/>
    <n v="123584.76000000001"/>
    <n v="0"/>
    <n v="11122.6284"/>
    <n v="11122.6284"/>
    <n v="6179.2380000000012"/>
    <n v="139650.77879999997"/>
    <n v="22245.256799999999"/>
    <d v="2018-08-28T00:00:00"/>
    <x v="1"/>
  </r>
  <r>
    <n v="32"/>
    <d v="2018-07-19T00:00:00"/>
    <x v="5"/>
    <s v="KAR40/2018-19"/>
    <s v="Srikrishna Rao"/>
    <s v="Ashoka Builders India Private Limited"/>
    <s v="ASHOKA LAKESIDE"/>
    <s v="Hyderabad"/>
    <n v="9287700"/>
    <n v="0.02"/>
    <n v="185754"/>
    <n v="33435.72"/>
    <m/>
    <m/>
    <n v="9287.7000000000007"/>
    <n v="209902.02"/>
    <n v="33435.72"/>
    <d v="2018-12-07T00:00:00"/>
    <x v="1"/>
  </r>
  <r>
    <n v="33"/>
    <d v="2018-07-27T00:00:00"/>
    <x v="5"/>
    <s v="KAR41/2018-19"/>
    <s v="Arundhati Singh "/>
    <s v="Casa Grande Homes Private Limited "/>
    <s v="Casa Grand "/>
    <s v="Bangalore"/>
    <n v="7663644"/>
    <n v="0.03"/>
    <n v="229909.31999999998"/>
    <n v="0"/>
    <n v="20691.838799999998"/>
    <n v="20691.838799999998"/>
    <n v="11495.466"/>
    <n v="259797.53159999999"/>
    <n v="41383.677599999995"/>
    <d v="2018-09-04T00:00:00"/>
    <x v="0"/>
  </r>
  <r>
    <n v="34"/>
    <d v="2018-08-03T00:00:00"/>
    <x v="7"/>
    <s v="KAR42/2018-19"/>
    <s v="Kamlesh Vishwakarma"/>
    <s v="Lohitka Properties LLP"/>
    <s v="MONTANA"/>
    <s v="Mumbai"/>
    <n v="36200000"/>
    <n v="0.02"/>
    <n v="724000"/>
    <n v="130320"/>
    <m/>
    <m/>
    <n v="36200"/>
    <n v="818120"/>
    <n v="130320"/>
    <d v="2018-09-07T00:00:00"/>
    <x v="0"/>
  </r>
  <r>
    <n v="35"/>
    <d v="2018-07-24T00:00:00"/>
    <x v="5"/>
    <s v="KAR43/2018-19"/>
    <s v="Shourav Banerjee"/>
    <s v="Bellissimo Developers Thane Pvt Ltd"/>
    <s v="Lodha Amara"/>
    <s v="Mumbai"/>
    <n v="6299727"/>
    <n v="0.02"/>
    <n v="125994.54000000001"/>
    <m/>
    <n v="11339.508600000001"/>
    <n v="11339.508600000001"/>
    <n v="6299.7270000000008"/>
    <n v="142373.8302"/>
    <n v="22679.017200000002"/>
    <d v="2018-08-18T00:00:00"/>
    <x v="1"/>
  </r>
  <r>
    <n v="36"/>
    <d v="2018-08-04T00:00:00"/>
    <x v="7"/>
    <s v="KAR44/2018-19"/>
    <s v="Dr.Sweta Chodavarapu"/>
    <s v="Abacus Real Estate Private Limited"/>
    <s v="Kalpataru Residency"/>
    <s v="Hyderabad"/>
    <n v="7087300"/>
    <n v="0.02"/>
    <n v="141746"/>
    <n v="25514.28"/>
    <m/>
    <m/>
    <n v="7087.3"/>
    <n v="160172.98000000001"/>
    <n v="25514.28"/>
    <d v="2018-11-12T00:00:00"/>
    <x v="0"/>
  </r>
  <r>
    <n v="37"/>
    <d v="2018-08-01T00:00:00"/>
    <x v="7"/>
    <s v="KAR45/2018-19"/>
    <s v="Reshma Naik"/>
    <s v="Dosti Enterprises"/>
    <s v="DOSTI WEST COUNTY"/>
    <s v="Mumbai"/>
    <n v="7312000"/>
    <n v="2.75E-2"/>
    <n v="201080"/>
    <m/>
    <n v="18097.2"/>
    <n v="18097.2"/>
    <n v="10054"/>
    <n v="227220.40000000002"/>
    <n v="36194.400000000001"/>
    <d v="2018-10-23T00:00:00"/>
    <x v="1"/>
  </r>
  <r>
    <n v="38"/>
    <d v="2018-08-06T00:00:00"/>
    <x v="7"/>
    <s v="KAR46/2018-19"/>
    <s v="BVN Jagadish"/>
    <s v="Casa Grande Homes Private Limited "/>
    <s v="Casa Grand "/>
    <s v="Bangalore"/>
    <n v="4456384"/>
    <n v="0.03"/>
    <n v="133691.51999999999"/>
    <n v="0"/>
    <n v="12032.236799999999"/>
    <n v="12032.236799999999"/>
    <n v="6684.576"/>
    <n v="151071.41759999999"/>
    <n v="24064.473599999998"/>
    <d v="2018-08-09T00:00:00"/>
    <x v="0"/>
  </r>
  <r>
    <n v="39"/>
    <d v="2018-08-08T00:00:00"/>
    <x v="7"/>
    <s v="KAR47/2018-19"/>
    <s v="Mordhwaj Patel"/>
    <s v="Shriram Properties Pvt Ltd."/>
    <s v="Shriram"/>
    <s v="Bangalore"/>
    <n v="2817920"/>
    <n v="0.03"/>
    <n v="84537.599999999991"/>
    <n v="0"/>
    <n v="7608.3839999999991"/>
    <n v="7608.3839999999991"/>
    <n v="4226.88"/>
    <n v="95527.487999999998"/>
    <n v="15216.767999999998"/>
    <d v="2018-12-20T00:00:00"/>
    <x v="0"/>
  </r>
  <r>
    <n v="40"/>
    <d v="2018-08-08T00:00:00"/>
    <x v="7"/>
    <s v="KAR47/2018-19"/>
    <s v="S.Vinayshree"/>
    <s v="Shriram Properties Pvt Ltd."/>
    <s v="Shriram"/>
    <s v="Bangalore"/>
    <n v="2861120"/>
    <n v="0.03"/>
    <n v="85833.599999999991"/>
    <n v="0"/>
    <n v="7725.0239999999985"/>
    <n v="7725.0239999999985"/>
    <n v="4291.6799999999994"/>
    <n v="96991.968000000008"/>
    <n v="15450.047999999997"/>
    <d v="2018-12-20T00:00:00"/>
    <x v="0"/>
  </r>
  <r>
    <n v="41"/>
    <d v="2018-08-24T00:00:00"/>
    <x v="7"/>
    <s v="KAR49/2018-19"/>
    <s v="Sujit Valluri"/>
    <s v="Abacus Real Estate Private Limited"/>
    <s v="Kalpataru Residency"/>
    <s v="Hyderabad"/>
    <n v="8628200"/>
    <n v="0.02"/>
    <n v="172564"/>
    <n v="31061.52"/>
    <m/>
    <m/>
    <n v="8628.2000000000007"/>
    <n v="194997.31999999998"/>
    <n v="31061.52"/>
    <d v="2018-11-12T00:00:00"/>
    <x v="0"/>
  </r>
  <r>
    <n v="42"/>
    <d v="2018-08-20T00:00:00"/>
    <x v="7"/>
    <s v="KAR50/2018-19"/>
    <s v="Jignesh Mangilal Rawal"/>
    <s v="Bellissimo Developers Thane Pvt Ltd"/>
    <s v="Lodha Amara"/>
    <s v="Mumbai"/>
    <n v="5821517"/>
    <n v="0.02"/>
    <n v="116430.34"/>
    <n v="0"/>
    <n v="10478.730599999999"/>
    <n v="10478.730599999999"/>
    <n v="5821.5169999999998"/>
    <n v="131566.28419999999"/>
    <n v="20957.461199999998"/>
    <d v="2018-09-10T00:00:00"/>
    <x v="1"/>
  </r>
  <r>
    <n v="43"/>
    <d v="2018-09-21T00:00:00"/>
    <x v="3"/>
    <s v="KAR51/2018-19"/>
    <s v="Savita Sanjay Borkar"/>
    <s v="LODHA DEVELOPERS LIMITED "/>
    <s v="Casa Viva"/>
    <s v="Mumbai"/>
    <n v="8600645"/>
    <n v="1.2E-2"/>
    <n v="103207.74"/>
    <m/>
    <n v="9288.6965999999993"/>
    <n v="9288.6965999999993"/>
    <n v="5160.3870000000006"/>
    <n v="116624.74619999999"/>
    <n v="18577.393199999999"/>
    <d v="2018-10-15T00:00:00"/>
    <x v="1"/>
  </r>
  <r>
    <n v="44"/>
    <d v="2018-08-24T00:00:00"/>
    <x v="7"/>
    <s v="KAR52/2018-19"/>
    <s v="Ashly Martin Pravin"/>
    <s v="Casa Grande Garden City Bulldres Private Limited "/>
    <s v="Royce"/>
    <s v="Bangalore"/>
    <n v="4201518"/>
    <n v="0.03"/>
    <n v="126045.54"/>
    <m/>
    <n v="11344.098599999999"/>
    <n v="11344.098599999999"/>
    <n v="6302.277"/>
    <n v="142431.4602"/>
    <n v="22688.197199999999"/>
    <s v="04/10/208"/>
    <x v="0"/>
  </r>
  <r>
    <n v="45"/>
    <s v="27/08/208"/>
    <x v="7"/>
    <s v="KAR55/2018-19"/>
    <s v="Abhilash Nair KS"/>
    <s v="Shriram Properties Pvt Ltd."/>
    <s v="Shriram Summit"/>
    <s v="Bangalore"/>
    <n v="4572300"/>
    <n v="0.03"/>
    <n v="137169"/>
    <m/>
    <n v="12345.21"/>
    <n v="12345.21"/>
    <n v="6858.4500000000007"/>
    <n v="155000.96999999997"/>
    <n v="24690.42"/>
    <d v="2018-12-20T00:00:00"/>
    <x v="0"/>
  </r>
  <r>
    <n v="46"/>
    <d v="2018-09-04T00:00:00"/>
    <x v="3"/>
    <s v="KAR56/2018-19"/>
    <s v="Nipa Anil Ladhellu"/>
    <s v="Palava Dwellers Pvt Ltd"/>
    <s v="Lakeshore GreenS"/>
    <s v="Mumbai"/>
    <n v="3937674"/>
    <n v="0.02"/>
    <n v="78753.48"/>
    <m/>
    <n v="7087.8131999999996"/>
    <n v="7087.8131999999996"/>
    <n v="3937.674"/>
    <n v="88991.432400000005"/>
    <n v="14175.626399999999"/>
    <d v="2018-09-27T00:00:00"/>
    <x v="1"/>
  </r>
  <r>
    <n v="47"/>
    <d v="2018-09-05T00:00:00"/>
    <x v="3"/>
    <s v="KAR57/2018-19"/>
    <s v="Qadir"/>
    <s v="Puravnkara Limited"/>
    <s v="Park Square"/>
    <s v="Bangalore"/>
    <n v="4105008"/>
    <n v="0.02"/>
    <n v="82100.160000000003"/>
    <m/>
    <n v="7389.0144"/>
    <n v="7389.0144"/>
    <n v="4105.0080000000007"/>
    <n v="92773.180800000002"/>
    <n v="14778.0288"/>
    <d v="2018-12-06T00:00:00"/>
    <x v="0"/>
  </r>
  <r>
    <n v="48"/>
    <d v="2018-09-29T00:00:00"/>
    <x v="3"/>
    <s v="KAR58/2018-19"/>
    <s v="Harshad Chinchkar"/>
    <s v="LODHA DEVELOPERS LIMITED "/>
    <s v="Casa Viva"/>
    <s v="Mumbai"/>
    <n v="5800203"/>
    <n v="1.2E-2"/>
    <n v="69602.436000000002"/>
    <m/>
    <n v="6264.2192400000004"/>
    <n v="6264.2192400000004"/>
    <n v="3480.1218000000003"/>
    <n v="78650.75268000002"/>
    <n v="12528.438480000001"/>
    <d v="2018-10-15T00:00:00"/>
    <x v="1"/>
  </r>
  <r>
    <m/>
    <d v="2018-10-01T00:00:00"/>
    <x v="6"/>
    <s v="KAR 59/2018-19"/>
    <s v="29AABCS7723E1ZB"/>
    <s v="Sobha"/>
    <s v="Sobha"/>
    <s v="Bangalore"/>
    <m/>
    <n v="0.02"/>
    <n v="201078"/>
    <m/>
    <n v="18097.02"/>
    <n v="18097.02"/>
    <n v="10053.900000000001"/>
    <n v="227218.13999999998"/>
    <n v="36194.04"/>
    <m/>
    <x v="0"/>
  </r>
  <r>
    <n v="49"/>
    <d v="2018-11-26T00:00:00"/>
    <x v="8"/>
    <s v="KAR00060/2018-19"/>
    <s v="Mahesh Pandharinath Tamhne"/>
    <s v="LODHA DEVELOPERS LIMITED "/>
    <s v="Upper Thane"/>
    <s v="Mumbai"/>
    <n v="6457500"/>
    <n v="0.02"/>
    <n v="129150"/>
    <m/>
    <n v="11623.5"/>
    <n v="11623.5"/>
    <n v="6457.5"/>
    <n v="145939.5"/>
    <n v="23247"/>
    <d v="2019-01-01T00:00:00"/>
    <x v="1"/>
  </r>
  <r>
    <n v="50"/>
    <d v="2018-10-04T00:00:00"/>
    <x v="6"/>
    <s v="KAR61/2018-19"/>
    <s v="KNV Kiran Kumar"/>
    <s v="Prestige Estates Projects Limited"/>
    <s v="High Fields"/>
    <s v="Hyderabad"/>
    <n v="10037780"/>
    <n v="0.02"/>
    <n v="200755.6"/>
    <n v="36136.008000000002"/>
    <n v="0"/>
    <n v="0"/>
    <n v="10037.780000000001"/>
    <n v="226853.82800000001"/>
    <n v="36136.008000000002"/>
    <d v="2018-11-12T00:00:00"/>
    <x v="0"/>
  </r>
  <r>
    <n v="51"/>
    <d v="2018-09-28T00:00:00"/>
    <x v="3"/>
    <s v="KAR62/2018-19"/>
    <s v="Mr. Sunil Unikkat"/>
    <s v="Kolte Patil Developers Ltd"/>
    <s v="I Exente Tower"/>
    <s v="Bangalore"/>
    <n v="8527200"/>
    <n v="2.5000000000000001E-2"/>
    <n v="213180"/>
    <m/>
    <n v="19186.2"/>
    <n v="19186.2"/>
    <n v="10659"/>
    <n v="240893.40000000002"/>
    <n v="38372.400000000001"/>
    <d v="2018-10-30T00:00:00"/>
    <x v="0"/>
  </r>
  <r>
    <n v="52"/>
    <s v="04/10/208"/>
    <x v="6"/>
    <s v="KAR63/2018-19"/>
    <s v="Amit Kumar"/>
    <s v="Puravnkara Limited"/>
    <s v="The Tree"/>
    <s v="Bangalore"/>
    <n v="5103696"/>
    <n v="0.03"/>
    <n v="153110.88"/>
    <m/>
    <n v="13779.9792"/>
    <n v="13779.9792"/>
    <n v="7655.5440000000008"/>
    <n v="173015.29440000001"/>
    <n v="27559.9584"/>
    <s v="NR"/>
    <x v="0"/>
  </r>
  <r>
    <n v="53"/>
    <s v="03/10/208"/>
    <x v="6"/>
    <s v="KAR64/2018-19"/>
    <s v="Arun Ramachandran Nair"/>
    <s v="Shriram Properties Pvt Ltd."/>
    <s v="Shriram Summit"/>
    <s v="Bangalore"/>
    <n v="4935900"/>
    <n v="0.03"/>
    <n v="148077"/>
    <m/>
    <n v="13326.93"/>
    <n v="13326.93"/>
    <n v="7403.85"/>
    <n v="167327.00999999998"/>
    <n v="26653.86"/>
    <d v="2018-12-20T00:00:00"/>
    <x v="0"/>
  </r>
  <r>
    <n v="54"/>
    <d v="2018-10-03T00:00:00"/>
    <x v="6"/>
    <s v="KAR65/2018-19"/>
    <s v="Devesh Ajaykumar"/>
    <s v="Shriram Properties Pvt Ltd."/>
    <s v="Shriram Summit"/>
    <s v="Bangalore"/>
    <n v="4980000"/>
    <n v="0.02"/>
    <n v="99600"/>
    <m/>
    <n v="8964"/>
    <n v="8964"/>
    <n v="4980"/>
    <n v="112548"/>
    <n v="17928"/>
    <d v="2018-12-20T00:00:00"/>
    <x v="0"/>
  </r>
  <r>
    <n v="55"/>
    <s v="10/10/208"/>
    <x v="6"/>
    <s v="KAR66/2018-19"/>
    <s v="Krishna Chandra Das"/>
    <s v="Shriram Housing Finance Ltd"/>
    <m/>
    <s v="Kolkata"/>
    <n v="3000000"/>
    <n v="1.2500000000000001E-2"/>
    <n v="37500"/>
    <n v="6750"/>
    <m/>
    <m/>
    <n v="1875"/>
    <n v="42375"/>
    <n v="6750"/>
    <s v="NR"/>
    <x v="0"/>
  </r>
  <r>
    <n v="56"/>
    <d v="2018-10-10T00:00:00"/>
    <x v="6"/>
    <s v="KAR67/2018-19"/>
    <s v="Rekha Deepak Shah"/>
    <s v="LODHA DEVELOPERS LIMITED "/>
    <s v="Upper Thane"/>
    <s v="Mumbai"/>
    <n v="4450164"/>
    <n v="0.02"/>
    <n v="89003.28"/>
    <m/>
    <n v="8010.2951999999996"/>
    <n v="8010.2951999999996"/>
    <n v="4450.1639999999998"/>
    <n v="100573.70639999998"/>
    <n v="16020.590399999999"/>
    <s v="NR"/>
    <x v="1"/>
  </r>
  <r>
    <m/>
    <d v="2018-11-21T00:00:00"/>
    <x v="8"/>
    <s v="KAR72/2018-19"/>
    <s v="Sangeeta Prabhu"/>
    <s v="Kolte Patil Developers Ltd"/>
    <s v="Mirabilis"/>
    <s v="Bangalore"/>
    <n v="7156500"/>
    <n v="2.5000000000000001E-2"/>
    <n v="178912.5"/>
    <m/>
    <n v="16102.125"/>
    <n v="16102.125"/>
    <n v="8945.625"/>
    <n v="202171.125"/>
    <n v="32204.25"/>
    <m/>
    <x v="0"/>
  </r>
  <r>
    <n v="57"/>
    <d v="2018-11-20T00:00:00"/>
    <x v="8"/>
    <s v="KAR73/2018-19"/>
    <s v="Shrikant Govind Thombre"/>
    <s v="Bellissimo Developers Thane Pvt Ltd"/>
    <s v="Lodha Amara"/>
    <s v="Mumbai"/>
    <n v="5578216"/>
    <n v="3.5000000000000001E-3"/>
    <n v="19523.756000000001"/>
    <m/>
    <n v="1757.13804"/>
    <n v="1757.13804"/>
    <n v="976.18780000000015"/>
    <n v="22061.844280000005"/>
    <n v="3514.2760800000001"/>
    <s v="NR"/>
    <x v="1"/>
  </r>
  <r>
    <n v="58"/>
    <d v="2018-11-20T00:00:00"/>
    <x v="8"/>
    <s v="KAR74/2018-19"/>
    <s v="Shivram Shirke"/>
    <s v="Bellissimo Developers Thane Pvt Ltd"/>
    <s v="Lodha Amara"/>
    <s v="Mumbai"/>
    <n v="8092401"/>
    <n v="3.5000000000000001E-3"/>
    <n v="28323.4035"/>
    <m/>
    <n v="2549.106315"/>
    <n v="2549.106315"/>
    <n v="1416.1701750000002"/>
    <n v="32005.445955000003"/>
    <n v="5098.21263"/>
    <s v="NR"/>
    <x v="1"/>
  </r>
  <r>
    <n v="59"/>
    <d v="2018-11-20T00:00:00"/>
    <x v="8"/>
    <s v="KAR75/2018-19"/>
    <s v="Jignesh Mangilal Rawal"/>
    <s v="Bellissimo Developers Thane Pvt Ltd"/>
    <s v="Lodha Amara"/>
    <s v="Mumbai"/>
    <n v="5821517"/>
    <n v="3.5000000000000001E-3"/>
    <n v="20375.309499999999"/>
    <m/>
    <n v="1833.7778549999998"/>
    <n v="1833.7778549999998"/>
    <n v="1018.765475"/>
    <n v="23024.099735"/>
    <n v="3667.5557099999996"/>
    <s v="NR"/>
    <x v="1"/>
  </r>
  <r>
    <n v="60"/>
    <d v="2018-11-27T00:00:00"/>
    <x v="8"/>
    <s v="KAR00076/2018-19"/>
    <s v="Suresh Jayram Kale"/>
    <s v="LODHA DEVELOPERS LIMITED "/>
    <s v="Upper Thane"/>
    <s v="Mumbai"/>
    <n v="5184699"/>
    <n v="0.02"/>
    <n v="103693.98"/>
    <m/>
    <n v="9332.4581999999991"/>
    <n v="9332.4581999999991"/>
    <n v="5184.6990000000005"/>
    <n v="117174.19739999998"/>
    <n v="18664.916399999998"/>
    <s v="NR"/>
    <x v="1"/>
  </r>
  <r>
    <n v="61"/>
    <d v="2019-01-22T00:00:00"/>
    <x v="1"/>
    <s v="KAR78/2018-19"/>
    <s v="Sonali Amin"/>
    <s v="VIHANG ENTREPRISES"/>
    <s v="VIHANG VERMONT"/>
    <s v="Mumbai"/>
    <n v="6237633"/>
    <n v="0.02"/>
    <n v="124752.66"/>
    <m/>
    <n v="11227.7394"/>
    <n v="11227.7394"/>
    <n v="6237.6330000000007"/>
    <n v="140970.50579999998"/>
    <n v="22455.478800000001"/>
    <s v="NR"/>
    <x v="1"/>
  </r>
  <r>
    <n v="62"/>
    <d v="2018-11-22T00:00:00"/>
    <x v="8"/>
    <s v="KAR77/2018-19"/>
    <s v="Aditya Amin"/>
    <s v="VIHANG ENTREPRISES"/>
    <s v="VIHANG VERMONT"/>
    <s v="Mumbai"/>
    <n v="6241733"/>
    <n v="0.02"/>
    <n v="124834.66"/>
    <m/>
    <n v="11235.1194"/>
    <n v="11235.1194"/>
    <n v="6241.7330000000002"/>
    <n v="141063.16579999999"/>
    <n v="22470.238799999999"/>
    <s v="NR"/>
    <x v="1"/>
  </r>
  <r>
    <n v="63"/>
    <d v="2018-12-01T00:00:00"/>
    <x v="9"/>
    <s v="KAR79/2018-19"/>
    <s v="Muntajab Sanai"/>
    <s v="BVM Energy And Residency Private Limited"/>
    <s v="Kapil Towers"/>
    <s v="Hyderabad"/>
    <n v="43200000"/>
    <n v="0.02"/>
    <n v="864000"/>
    <n v="155520"/>
    <n v="0"/>
    <n v="0"/>
    <n v="43200"/>
    <n v="976320"/>
    <n v="155520"/>
    <d v="2018-12-05T00:00:00"/>
    <x v="0"/>
  </r>
  <r>
    <n v="64"/>
    <d v="2018-12-06T00:00:00"/>
    <x v="9"/>
    <s v="KAR80/2018-19"/>
    <s v="Nitin Vijay Mohite"/>
    <s v="Dosti Enterprises"/>
    <s v="DOSTI WEST COUNTY"/>
    <s v="Mumbai"/>
    <n v="8751000"/>
    <n v="0.03"/>
    <n v="262530"/>
    <m/>
    <n v="23627.7"/>
    <n v="23627.7"/>
    <n v="13126.5"/>
    <n v="296658.90000000002"/>
    <n v="47255.4"/>
    <s v="NR"/>
    <x v="1"/>
  </r>
  <r>
    <n v="65"/>
    <d v="2018-12-19T00:00:00"/>
    <x v="9"/>
    <s v="KAR81/2018-19"/>
    <s v="Sateesh BS"/>
    <s v="Puravnkara Limited"/>
    <s v="Park Square"/>
    <s v="Bangalore"/>
    <n v="6471407"/>
    <n v="0.02"/>
    <n v="129428.14"/>
    <m/>
    <n v="11648.532599999999"/>
    <n v="11648.532599999999"/>
    <n v="6471.4070000000002"/>
    <n v="146253.79819999999"/>
    <n v="23297.065199999997"/>
    <s v="NR"/>
    <x v="0"/>
  </r>
  <r>
    <n v="66"/>
    <d v="2019-01-08T00:00:00"/>
    <x v="1"/>
    <s v="KAR 82/2018-19"/>
    <s v="Subankar Roy"/>
    <s v="Prestige Southcity Holdings"/>
    <s v="MSR"/>
    <s v="Bangalore"/>
    <n v="9414344"/>
    <n v="0.02"/>
    <n v="188286.88"/>
    <m/>
    <n v="16945.819199999998"/>
    <n v="16945.819199999998"/>
    <n v="9414.344000000001"/>
    <n v="212764.17439999999"/>
    <n v="33891.638399999996"/>
    <s v="NR"/>
    <x v="0"/>
  </r>
  <r>
    <n v="67"/>
    <d v="2019-03-01T00:00:00"/>
    <x v="10"/>
    <s v="KAR 83/2018-19"/>
    <s v="Ankita Suraj Jhurani"/>
    <s v="Dosti Enterprises"/>
    <s v="Dosti West County"/>
    <s v="Mumbai"/>
    <n v="8708000"/>
    <n v="0.03"/>
    <n v="261240"/>
    <m/>
    <n v="23511.599999999999"/>
    <n v="23511.599999999999"/>
    <n v="13062"/>
    <n v="295201.19999999995"/>
    <n v="47023.199999999997"/>
    <s v="NR"/>
    <x v="1"/>
  </r>
  <r>
    <n v="68"/>
    <d v="2018-12-11T00:00:00"/>
    <x v="9"/>
    <s v="KAR 84/2018-19"/>
    <s v="Kumari Rashmi"/>
    <s v="Dosti Enterprises"/>
    <s v="Dosti West County"/>
    <s v="Mumbai"/>
    <n v="7967000"/>
    <n v="2.75E-2"/>
    <n v="219092.5"/>
    <m/>
    <n v="19718.325000000001"/>
    <n v="19718.325000000001"/>
    <n v="10954.625"/>
    <n v="247574.52500000002"/>
    <n v="39436.65"/>
    <s v="NR"/>
    <x v="1"/>
  </r>
  <r>
    <n v="69"/>
    <d v="2019-01-20T00:00:00"/>
    <x v="1"/>
    <s v="KAR 85/2018-19"/>
    <s v="Ravindra Laxman Dongre"/>
    <s v="LODHA DEVELOPERS LIMITED "/>
    <s v="Codename Gold Mine"/>
    <s v="Mumbai"/>
    <n v="5644839"/>
    <n v="0.02"/>
    <n v="112896.78"/>
    <m/>
    <n v="10160.7102"/>
    <n v="10160.7102"/>
    <n v="5644.8389999999999"/>
    <n v="127573.36139999999"/>
    <n v="20321.420399999999"/>
    <s v="NR"/>
    <x v="1"/>
  </r>
  <r>
    <n v="70"/>
    <d v="2019-01-16T00:00:00"/>
    <x v="1"/>
    <s v="KAR 86/2018-19"/>
    <s v="Ashish Jain"/>
    <s v="Puraniks Builders Ltd"/>
    <s v="Puranik City"/>
    <s v="Mumbai"/>
    <n v="7221000"/>
    <n v="2.5000000000000001E-2"/>
    <n v="180525"/>
    <m/>
    <n v="16247.25"/>
    <n v="16247.25"/>
    <n v="9026.25"/>
    <n v="203993.25"/>
    <n v="32494.5"/>
    <m/>
    <x v="1"/>
  </r>
  <r>
    <n v="71"/>
    <d v="2019-01-17T00:00:00"/>
    <x v="1"/>
    <s v="KAR 87/2018-19"/>
    <s v="Komal Sirohi"/>
    <s v="WHEELABRATOR ALLOY CASTINGS LIMITED"/>
    <s v="Runwal Forest"/>
    <s v="Mumbai"/>
    <n v="11060649"/>
    <n v="2.5000000000000001E-2"/>
    <n v="276516.22500000003"/>
    <m/>
    <n v="24886.460250000004"/>
    <n v="24886.460250000004"/>
    <n v="13825.811250000002"/>
    <n v="312463.33425000001"/>
    <n v="49772.920500000007"/>
    <m/>
    <x v="1"/>
  </r>
  <r>
    <m/>
    <d v="2019-01-22T00:00:00"/>
    <x v="1"/>
    <s v="KAR 88/2018-19"/>
    <s v="Sangeeta Kardak"/>
    <s v="VIHANG ENTREPRISES"/>
    <s v="VIHANG VERMONT"/>
    <s v="Mumbai"/>
    <n v="6284200"/>
    <n v="2.2499999999999999E-2"/>
    <n v="141394.5"/>
    <m/>
    <n v="12725.504999999999"/>
    <n v="12725.504999999999"/>
    <n v="7069.7250000000004"/>
    <n v="159775.785"/>
    <n v="25451.01"/>
    <m/>
    <x v="1"/>
  </r>
  <r>
    <n v="72"/>
    <d v="2019-01-17T00:00:00"/>
    <x v="1"/>
    <s v="KAR 89/2018-19"/>
    <s v="Prathi Uma"/>
    <s v="BVM Energy And Residency Private Limited"/>
    <s v="Kapil Towers"/>
    <s v="Hyderabad"/>
    <n v="1800000"/>
    <n v="0.02"/>
    <n v="36000"/>
    <n v="6480"/>
    <n v="0"/>
    <n v="0"/>
    <n v="1800"/>
    <n v="40680"/>
    <n v="6480"/>
    <m/>
    <x v="0"/>
  </r>
  <r>
    <n v="73"/>
    <d v="2019-02-05T00:00:00"/>
    <x v="11"/>
    <s v="KAR 90/2018-19"/>
    <s v="Premanand Godse"/>
    <s v="Dosti Enterprises"/>
    <s v="DOSTI WEST COUNTY"/>
    <s v="Mumbai"/>
    <n v="8240000"/>
    <n v="0.03"/>
    <n v="247200"/>
    <m/>
    <n v="22248"/>
    <n v="22248"/>
    <n v="12360"/>
    <n v="279336"/>
    <n v="44496"/>
    <m/>
    <x v="1"/>
  </r>
  <r>
    <n v="74"/>
    <d v="2019-02-07T00:00:00"/>
    <x v="11"/>
    <s v="KAR 91/2018-19"/>
    <s v="Kaladindi Chandravarthi"/>
    <s v="Kausalya Shelters Private Limited"/>
    <s v="Kapil Towers"/>
    <s v="Hyderabad"/>
    <n v="5400000"/>
    <n v="0.02"/>
    <n v="108000"/>
    <n v="19440"/>
    <n v="0"/>
    <n v="0"/>
    <n v="5400"/>
    <n v="122040"/>
    <n v="19440"/>
    <d v="2019-02-08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 chartFormat="16">
  <location ref="A3:B37" firstHeaderRow="1" firstDataRow="1" firstDataCol="1"/>
  <pivotFields count="19">
    <pivotField showAll="0"/>
    <pivotField showAll="0"/>
    <pivotField axis="axisRow" showAll="0">
      <items count="13">
        <item n="April" x="0"/>
        <item n="May" x="2"/>
        <item n="June" x="4"/>
        <item n="July" x="5"/>
        <item n="Aug" x="7"/>
        <item n="Sept" x="3"/>
        <item n="Oct" x="6"/>
        <item n="Nov" x="8"/>
        <item n="Dec" x="9"/>
        <item n="Jan" x="1"/>
        <item n="Feb" x="11"/>
        <item x="10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numFmtId="164" showAll="0"/>
    <pivotField showAll="0"/>
    <pivotField showAll="0"/>
    <pivotField showAll="0"/>
    <pivotField numFmtId="164" showAll="0"/>
    <pivotField numFmtId="164" showAll="0"/>
    <pivotField dataField="1" numFmtId="164" showAll="0"/>
    <pivotField showAll="0"/>
    <pivotField axis="axisRow" showAll="0">
      <items count="3">
        <item x="0"/>
        <item x="1"/>
        <item t="default"/>
      </items>
    </pivotField>
  </pivotFields>
  <rowFields count="2">
    <field x="2"/>
    <field x="18"/>
  </rowFields>
  <rowItems count="34">
    <i>
      <x/>
    </i>
    <i r="1">
      <x/>
    </i>
    <i>
      <x v="1"/>
    </i>
    <i r="1">
      <x/>
    </i>
    <i r="1">
      <x v="1"/>
    </i>
    <i>
      <x v="2"/>
    </i>
    <i r="1">
      <x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 v="1"/>
    </i>
    <i t="grand">
      <x/>
    </i>
  </rowItems>
  <colItems count="1">
    <i/>
  </colItems>
  <dataFields count="1">
    <dataField name="Sum of Total GST" fld="16" baseField="0" baseItem="0" numFmtId="1"/>
  </dataFields>
  <formats count="2">
    <format dxfId="1">
      <pivotArea collapsedLevelsAreSubtotals="1" fieldPosition="0">
        <references count="2">
          <reference field="2" count="1" selected="0">
            <x v="0"/>
          </reference>
          <reference field="18" count="1">
            <x v="0"/>
          </reference>
        </references>
      </pivotArea>
    </format>
    <format dxfId="0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8"/>
  <sheetViews>
    <sheetView workbookViewId="0">
      <selection activeCell="B10" sqref="B10"/>
    </sheetView>
  </sheetViews>
  <sheetFormatPr defaultRowHeight="15" x14ac:dyDescent="0.25"/>
  <cols>
    <col min="1" max="1" width="13.5703125" bestFit="1" customWidth="1"/>
    <col min="2" max="2" width="16" bestFit="1" customWidth="1"/>
    <col min="3" max="3" width="12.42578125" bestFit="1" customWidth="1"/>
  </cols>
  <sheetData>
    <row r="3" spans="1:2" x14ac:dyDescent="0.25">
      <c r="A3" s="36" t="s">
        <v>233</v>
      </c>
      <c r="B3" t="s">
        <v>235</v>
      </c>
    </row>
    <row r="4" spans="1:2" x14ac:dyDescent="0.25">
      <c r="A4" s="34" t="s">
        <v>259</v>
      </c>
      <c r="B4" s="35">
        <v>118749.30458399998</v>
      </c>
    </row>
    <row r="5" spans="1:2" x14ac:dyDescent="0.25">
      <c r="A5" s="37" t="s">
        <v>134</v>
      </c>
      <c r="B5" s="35">
        <v>118749.30458399998</v>
      </c>
    </row>
    <row r="6" spans="1:2" x14ac:dyDescent="0.25">
      <c r="A6" s="34" t="s">
        <v>260</v>
      </c>
      <c r="B6" s="35">
        <v>130926.019716</v>
      </c>
    </row>
    <row r="7" spans="1:2" x14ac:dyDescent="0.25">
      <c r="A7" s="37" t="s">
        <v>134</v>
      </c>
      <c r="B7" s="35">
        <v>83509.595315999992</v>
      </c>
    </row>
    <row r="8" spans="1:2" x14ac:dyDescent="0.25">
      <c r="A8" s="37" t="s">
        <v>133</v>
      </c>
      <c r="B8" s="35">
        <v>47416.424400000004</v>
      </c>
    </row>
    <row r="9" spans="1:2" x14ac:dyDescent="0.25">
      <c r="A9" s="34" t="s">
        <v>261</v>
      </c>
      <c r="B9" s="35">
        <v>106723.45259999999</v>
      </c>
    </row>
    <row r="10" spans="1:2" x14ac:dyDescent="0.25">
      <c r="A10" s="37" t="s">
        <v>134</v>
      </c>
      <c r="B10" s="35">
        <v>106723.45259999999</v>
      </c>
    </row>
    <row r="11" spans="1:2" x14ac:dyDescent="0.25">
      <c r="A11" s="34" t="s">
        <v>262</v>
      </c>
      <c r="B11" s="35">
        <v>272260.56959999999</v>
      </c>
    </row>
    <row r="12" spans="1:2" x14ac:dyDescent="0.25">
      <c r="A12" s="37" t="s">
        <v>134</v>
      </c>
      <c r="B12" s="35">
        <v>162884.44439999998</v>
      </c>
    </row>
    <row r="13" spans="1:2" x14ac:dyDescent="0.25">
      <c r="A13" s="37" t="s">
        <v>133</v>
      </c>
      <c r="B13" s="35">
        <v>109376.12519999999</v>
      </c>
    </row>
    <row r="14" spans="1:2" x14ac:dyDescent="0.25">
      <c r="A14" s="34" t="s">
        <v>263</v>
      </c>
      <c r="B14" s="35">
        <v>368402.82479999994</v>
      </c>
    </row>
    <row r="15" spans="1:2" x14ac:dyDescent="0.25">
      <c r="A15" s="37" t="s">
        <v>134</v>
      </c>
      <c r="B15" s="35">
        <v>289005.70679999999</v>
      </c>
    </row>
    <row r="16" spans="1:2" x14ac:dyDescent="0.25">
      <c r="A16" s="37" t="s">
        <v>133</v>
      </c>
      <c r="B16" s="35">
        <v>79397.117999999988</v>
      </c>
    </row>
    <row r="17" spans="1:2" x14ac:dyDescent="0.25">
      <c r="A17" s="34" t="s">
        <v>264</v>
      </c>
      <c r="B17" s="35">
        <v>126555.08688000002</v>
      </c>
    </row>
    <row r="18" spans="1:2" x14ac:dyDescent="0.25">
      <c r="A18" s="37" t="s">
        <v>134</v>
      </c>
      <c r="B18" s="35">
        <v>53150.428800000002</v>
      </c>
    </row>
    <row r="19" spans="1:2" x14ac:dyDescent="0.25">
      <c r="A19" s="37" t="s">
        <v>133</v>
      </c>
      <c r="B19" s="35">
        <v>73404.658080000008</v>
      </c>
    </row>
    <row r="20" spans="1:2" x14ac:dyDescent="0.25">
      <c r="A20" s="34" t="s">
        <v>265</v>
      </c>
      <c r="B20" s="35">
        <v>186358.83029999997</v>
      </c>
    </row>
    <row r="21" spans="1:2" x14ac:dyDescent="0.25">
      <c r="A21" s="37" t="s">
        <v>134</v>
      </c>
      <c r="B21" s="35">
        <v>170338.23989999999</v>
      </c>
    </row>
    <row r="22" spans="1:2" x14ac:dyDescent="0.25">
      <c r="A22" s="37" t="s">
        <v>133</v>
      </c>
      <c r="B22" s="35">
        <v>16020.590399999999</v>
      </c>
    </row>
    <row r="23" spans="1:2" x14ac:dyDescent="0.25">
      <c r="A23" s="34" t="s">
        <v>266</v>
      </c>
      <c r="B23" s="35">
        <v>108866.44962</v>
      </c>
    </row>
    <row r="24" spans="1:2" x14ac:dyDescent="0.25">
      <c r="A24" s="37" t="s">
        <v>134</v>
      </c>
      <c r="B24" s="35">
        <v>32204.25</v>
      </c>
    </row>
    <row r="25" spans="1:2" x14ac:dyDescent="0.25">
      <c r="A25" s="37" t="s">
        <v>133</v>
      </c>
      <c r="B25" s="35">
        <v>76662.199619999999</v>
      </c>
    </row>
    <row r="26" spans="1:2" x14ac:dyDescent="0.25">
      <c r="A26" s="34" t="s">
        <v>267</v>
      </c>
      <c r="B26" s="35">
        <v>265509.1152</v>
      </c>
    </row>
    <row r="27" spans="1:2" x14ac:dyDescent="0.25">
      <c r="A27" s="37" t="s">
        <v>134</v>
      </c>
      <c r="B27" s="35">
        <v>178817.06520000001</v>
      </c>
    </row>
    <row r="28" spans="1:2" x14ac:dyDescent="0.25">
      <c r="A28" s="37" t="s">
        <v>133</v>
      </c>
      <c r="B28" s="35">
        <v>86692.05</v>
      </c>
    </row>
    <row r="29" spans="1:2" x14ac:dyDescent="0.25">
      <c r="A29" s="34" t="s">
        <v>268</v>
      </c>
      <c r="B29" s="35">
        <v>216317.97810000001</v>
      </c>
    </row>
    <row r="30" spans="1:2" x14ac:dyDescent="0.25">
      <c r="A30" s="37" t="s">
        <v>134</v>
      </c>
      <c r="B30" s="35">
        <v>40371.638399999996</v>
      </c>
    </row>
    <row r="31" spans="1:2" x14ac:dyDescent="0.25">
      <c r="A31" s="37" t="s">
        <v>133</v>
      </c>
      <c r="B31" s="35">
        <v>175946.33970000001</v>
      </c>
    </row>
    <row r="32" spans="1:2" x14ac:dyDescent="0.25">
      <c r="A32" s="34" t="s">
        <v>269</v>
      </c>
      <c r="B32" s="35">
        <v>63936</v>
      </c>
    </row>
    <row r="33" spans="1:3" x14ac:dyDescent="0.25">
      <c r="A33" s="37" t="s">
        <v>134</v>
      </c>
      <c r="B33" s="35">
        <v>19440</v>
      </c>
    </row>
    <row r="34" spans="1:3" x14ac:dyDescent="0.25">
      <c r="A34" s="37" t="s">
        <v>133</v>
      </c>
      <c r="B34" s="35">
        <v>44496</v>
      </c>
    </row>
    <row r="35" spans="1:3" x14ac:dyDescent="0.25">
      <c r="A35" s="34" t="s">
        <v>283</v>
      </c>
      <c r="B35" s="35">
        <v>47023.199999999997</v>
      </c>
    </row>
    <row r="36" spans="1:3" x14ac:dyDescent="0.25">
      <c r="A36" s="37" t="s">
        <v>133</v>
      </c>
      <c r="B36" s="35">
        <v>47023.199999999997</v>
      </c>
    </row>
    <row r="37" spans="1:3" s="1" customFormat="1" x14ac:dyDescent="0.25">
      <c r="A37" s="34" t="s">
        <v>234</v>
      </c>
      <c r="B37" s="35">
        <v>2011628.8314000003</v>
      </c>
    </row>
    <row r="38" spans="1:3" s="1" customFormat="1" x14ac:dyDescent="0.25"/>
    <row r="39" spans="1:3" s="1" customFormat="1" x14ac:dyDescent="0.25">
      <c r="C39" s="35">
        <f>+C43-C40</f>
        <v>34534.352499999921</v>
      </c>
    </row>
    <row r="40" spans="1:3" s="1" customFormat="1" x14ac:dyDescent="0.25">
      <c r="C40" s="35">
        <v>274448</v>
      </c>
    </row>
    <row r="41" spans="1:3" s="1" customFormat="1" x14ac:dyDescent="0.25"/>
    <row r="42" spans="1:3" x14ac:dyDescent="0.25">
      <c r="A42" s="39" t="s">
        <v>253</v>
      </c>
      <c r="B42" s="38" t="s">
        <v>133</v>
      </c>
      <c r="C42" s="38" t="s">
        <v>134</v>
      </c>
    </row>
    <row r="43" spans="1:3" x14ac:dyDescent="0.25">
      <c r="A43" t="s">
        <v>254</v>
      </c>
      <c r="B43" s="35" t="e">
        <f>+GETPIVOTDATA("Total GST",$A$3,"Month","April 2018","GST","Mumbai")+GETPIVOTDATA("Total GST",$A$3,"Month","May 2018","GST","Mumbai")</f>
        <v>#REF!</v>
      </c>
      <c r="C43" s="35">
        <f>+GETPIVOTDATA("Total GST",$A$3,"Month","April 2018","GST","Bangalore")+GETPIVOTDATA("Total GST",$A$3,"Month","May 2018","GST","Bangalore")+GETPIVOTDATA("Total GST",$A$3,"Month","June 2018","GST","Bangalore")</f>
        <v>308982.35249999992</v>
      </c>
    </row>
    <row r="44" spans="1:3" x14ac:dyDescent="0.25">
      <c r="A44" t="s">
        <v>255</v>
      </c>
      <c r="B44" s="35">
        <f>+GETPIVOTDATA("Total GST",$A$3,"Month","July 2018","GST","Mumbai")+GETPIVOTDATA("Total GST",$A$3,"Month","Aug 2018","GST","Mumbai")+GETPIVOTDATA("Total GST",$A$3,"Month","Sept 2018","GST","Mumbai")</f>
        <v>262177.90127999999</v>
      </c>
      <c r="C44" s="35">
        <f>+GETPIVOTDATA("Total GST",$A$3,"Month","July 2018","GST","Bangalore")+GETPIVOTDATA("Total GST",$A$3,"Month","Aug 2018","GST","Bangalore")+GETPIVOTDATA("Total GST",$A$3,"Month","Sept 2018","GST","Bangalore")</f>
        <v>505040.57999999996</v>
      </c>
    </row>
    <row r="45" spans="1:3" x14ac:dyDescent="0.25">
      <c r="A45" t="s">
        <v>256</v>
      </c>
      <c r="B45" s="35">
        <f>+GETPIVOTDATA("Total GST",$A$3,"Month","Oct 2018","GST","Mumbai")+GETPIVOTDATA("Total GST",$A$3,"Month","Nov 2018","GST","Mumbai")+GETPIVOTDATA("Total GST",$A$3,"Month","Dec 2018","GST","Mumbai")</f>
        <v>179374.84002</v>
      </c>
      <c r="C45" s="35">
        <f>+GETPIVOTDATA("Total GST",$A$3,"Month","Oct 2018","GST","Bangalore")+GETPIVOTDATA("Total GST",$A$3,"Month","Dec 2018","GST","Bangalore")</f>
        <v>349155.3051</v>
      </c>
    </row>
    <row r="46" spans="1:3" x14ac:dyDescent="0.25">
      <c r="A46" t="s">
        <v>257</v>
      </c>
      <c r="B46" s="35">
        <f>+GETPIVOTDATA("Total GST",$A$3,"Month","Jan 2019","GST","Mumbai")+GETPIVOTDATA("Total GST",$A$3,"Month","Feb 2019","GST","Mumbai")</f>
        <v>220442.33970000001</v>
      </c>
      <c r="C46" s="35">
        <f>+GETPIVOTDATA("Total GST",$A$3,"Month","Jan 2019","GST","Bangalore")+GETPIVOTDATA("Total GST",$A$3,"Month","Feb 2019","GST","Bangalore")</f>
        <v>59811.638399999996</v>
      </c>
    </row>
    <row r="48" spans="1:3" ht="15.75" thickBot="1" x14ac:dyDescent="0.3">
      <c r="A48" s="40" t="s">
        <v>258</v>
      </c>
      <c r="B48" s="41" t="e">
        <f>SUM(B43:B47)</f>
        <v>#REF!</v>
      </c>
      <c r="C48" s="41">
        <f>SUM(C43:C47)</f>
        <v>1222989.8759999999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84"/>
  <sheetViews>
    <sheetView tabSelected="1" topLeftCell="A58" workbookViewId="0">
      <pane xSplit="6" topLeftCell="J1" activePane="topRight" state="frozen"/>
      <selection pane="topRight" activeCell="N86" sqref="N86"/>
    </sheetView>
  </sheetViews>
  <sheetFormatPr defaultRowHeight="15" x14ac:dyDescent="0.25"/>
  <cols>
    <col min="1" max="1" width="10.42578125" style="107" bestFit="1" customWidth="1"/>
    <col min="2" max="2" width="10.42578125" style="93" bestFit="1" customWidth="1"/>
    <col min="3" max="3" width="10.42578125" style="93" customWidth="1"/>
    <col min="4" max="4" width="17.42578125" style="93" bestFit="1" customWidth="1"/>
    <col min="5" max="5" width="39.140625" style="93" bestFit="1" customWidth="1"/>
    <col min="6" max="6" width="45.7109375" style="93" bestFit="1" customWidth="1"/>
    <col min="7" max="7" width="21" style="93" bestFit="1" customWidth="1"/>
    <col min="8" max="8" width="21" style="93" customWidth="1"/>
    <col min="9" max="9" width="14.28515625" style="93" bestFit="1" customWidth="1"/>
    <col min="10" max="10" width="14.5703125" style="93" bestFit="1" customWidth="1"/>
    <col min="11" max="11" width="13.7109375" style="93" bestFit="1" customWidth="1"/>
    <col min="12" max="12" width="11.5703125" style="93" bestFit="1" customWidth="1"/>
    <col min="13" max="15" width="10" style="93" bestFit="1" customWidth="1"/>
    <col min="16" max="16" width="12.5703125" style="93" bestFit="1" customWidth="1"/>
    <col min="17" max="17" width="10" style="93" bestFit="1" customWidth="1"/>
    <col min="18" max="18" width="10.42578125" style="93" bestFit="1" customWidth="1"/>
    <col min="19" max="16384" width="9.140625" style="93"/>
  </cols>
  <sheetData>
    <row r="1" spans="1:21" ht="45" x14ac:dyDescent="0.25">
      <c r="A1" s="25" t="s">
        <v>0</v>
      </c>
      <c r="B1" s="25" t="s">
        <v>1</v>
      </c>
      <c r="C1" s="25" t="s">
        <v>217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132</v>
      </c>
      <c r="I1" s="25" t="s">
        <v>7</v>
      </c>
      <c r="J1" s="25" t="s">
        <v>6</v>
      </c>
      <c r="K1" s="25" t="s">
        <v>8</v>
      </c>
      <c r="L1" s="25" t="s">
        <v>123</v>
      </c>
      <c r="M1" s="25" t="s">
        <v>124</v>
      </c>
      <c r="N1" s="25" t="s">
        <v>125</v>
      </c>
      <c r="O1" s="25" t="s">
        <v>9</v>
      </c>
      <c r="P1" s="25" t="s">
        <v>10</v>
      </c>
      <c r="Q1" s="25" t="s">
        <v>232</v>
      </c>
      <c r="R1" s="91" t="s">
        <v>126</v>
      </c>
      <c r="S1" s="92" t="s">
        <v>252</v>
      </c>
    </row>
    <row r="2" spans="1:21" x14ac:dyDescent="0.25">
      <c r="A2" s="25">
        <v>1</v>
      </c>
      <c r="B2" s="94">
        <v>43201</v>
      </c>
      <c r="C2" s="95" t="s">
        <v>218</v>
      </c>
      <c r="D2" s="25" t="s">
        <v>11</v>
      </c>
      <c r="E2" s="25" t="s">
        <v>12</v>
      </c>
      <c r="F2" s="25" t="s">
        <v>13</v>
      </c>
      <c r="G2" s="25" t="s">
        <v>14</v>
      </c>
      <c r="H2" s="25" t="s">
        <v>133</v>
      </c>
      <c r="I2" s="26">
        <v>5578649.4400000004</v>
      </c>
      <c r="J2" s="96">
        <v>0.02</v>
      </c>
      <c r="K2" s="26">
        <f>+I2*J2</f>
        <v>111572.98880000001</v>
      </c>
      <c r="L2" s="26">
        <f>+K2*18%</f>
        <v>20083.137984000001</v>
      </c>
      <c r="M2" s="26">
        <v>0</v>
      </c>
      <c r="N2" s="26">
        <v>0</v>
      </c>
      <c r="O2" s="26">
        <f t="shared" ref="O2:O33" si="0">+K2*5%</f>
        <v>5578.6494400000011</v>
      </c>
      <c r="P2" s="26">
        <f t="shared" ref="P2:P33" si="1">+K2+L2+M2+N2-O2</f>
        <v>126077.47734400001</v>
      </c>
      <c r="Q2" s="97">
        <f t="shared" ref="Q2:Q33" si="2">+L2+M2+N2</f>
        <v>20083.137984000001</v>
      </c>
      <c r="R2" s="94">
        <v>43262</v>
      </c>
      <c r="S2" s="93" t="s">
        <v>134</v>
      </c>
    </row>
    <row r="3" spans="1:21" x14ac:dyDescent="0.25">
      <c r="A3" s="25">
        <v>2</v>
      </c>
      <c r="B3" s="94">
        <v>43201</v>
      </c>
      <c r="C3" s="95" t="s">
        <v>218</v>
      </c>
      <c r="D3" s="25" t="s">
        <v>15</v>
      </c>
      <c r="E3" s="25" t="s">
        <v>212</v>
      </c>
      <c r="F3" s="25" t="s">
        <v>13</v>
      </c>
      <c r="G3" s="25" t="s">
        <v>14</v>
      </c>
      <c r="H3" s="25" t="s">
        <v>133</v>
      </c>
      <c r="I3" s="26">
        <v>8092706</v>
      </c>
      <c r="J3" s="96">
        <v>0.02</v>
      </c>
      <c r="K3" s="26">
        <f>+I3*J3</f>
        <v>161854.12</v>
      </c>
      <c r="L3" s="26">
        <f>+K3*18%</f>
        <v>29133.741599999998</v>
      </c>
      <c r="M3" s="26">
        <v>0</v>
      </c>
      <c r="N3" s="26">
        <v>0</v>
      </c>
      <c r="O3" s="26">
        <f t="shared" si="0"/>
        <v>8092.7060000000001</v>
      </c>
      <c r="P3" s="26">
        <f t="shared" si="1"/>
        <v>182895.1556</v>
      </c>
      <c r="Q3" s="97">
        <f t="shared" si="2"/>
        <v>29133.741599999998</v>
      </c>
      <c r="R3" s="94"/>
      <c r="S3" s="93" t="s">
        <v>134</v>
      </c>
    </row>
    <row r="4" spans="1:21" x14ac:dyDescent="0.25">
      <c r="A4" s="25">
        <v>3</v>
      </c>
      <c r="B4" s="94">
        <v>43202</v>
      </c>
      <c r="C4" s="95" t="s">
        <v>218</v>
      </c>
      <c r="D4" s="25" t="s">
        <v>16</v>
      </c>
      <c r="E4" s="25" t="s">
        <v>17</v>
      </c>
      <c r="F4" s="25" t="s">
        <v>18</v>
      </c>
      <c r="G4" s="25" t="s">
        <v>127</v>
      </c>
      <c r="H4" s="25" t="s">
        <v>134</v>
      </c>
      <c r="I4" s="26">
        <v>6147675</v>
      </c>
      <c r="J4" s="96">
        <v>0.03</v>
      </c>
      <c r="K4" s="26">
        <f>+I4*J4</f>
        <v>184430.25</v>
      </c>
      <c r="L4" s="26">
        <v>0</v>
      </c>
      <c r="M4" s="26">
        <f>+K4*9%</f>
        <v>16598.7225</v>
      </c>
      <c r="N4" s="26">
        <f>+K4*9%</f>
        <v>16598.7225</v>
      </c>
      <c r="O4" s="26">
        <f t="shared" si="0"/>
        <v>9221.5125000000007</v>
      </c>
      <c r="P4" s="26">
        <f t="shared" si="1"/>
        <v>208406.1825</v>
      </c>
      <c r="Q4" s="97">
        <f t="shared" si="2"/>
        <v>33197.445</v>
      </c>
      <c r="R4" s="94">
        <v>43239</v>
      </c>
      <c r="S4" s="93" t="s">
        <v>134</v>
      </c>
    </row>
    <row r="5" spans="1:21" x14ac:dyDescent="0.25">
      <c r="A5" s="25">
        <v>4</v>
      </c>
      <c r="B5" s="94">
        <v>43208</v>
      </c>
      <c r="C5" s="95" t="s">
        <v>218</v>
      </c>
      <c r="D5" s="25" t="s">
        <v>20</v>
      </c>
      <c r="E5" s="25" t="s">
        <v>21</v>
      </c>
      <c r="F5" s="25" t="s">
        <v>22</v>
      </c>
      <c r="G5" s="25" t="s">
        <v>128</v>
      </c>
      <c r="H5" s="25" t="s">
        <v>134</v>
      </c>
      <c r="I5" s="26">
        <v>4533600</v>
      </c>
      <c r="J5" s="96">
        <v>0.02</v>
      </c>
      <c r="K5" s="26">
        <f>+I5*J5</f>
        <v>90672</v>
      </c>
      <c r="L5" s="26">
        <v>0</v>
      </c>
      <c r="M5" s="26">
        <f>+K5*9%</f>
        <v>8160.48</v>
      </c>
      <c r="N5" s="26">
        <f>+K5*9%</f>
        <v>8160.48</v>
      </c>
      <c r="O5" s="26">
        <f t="shared" si="0"/>
        <v>4533.6000000000004</v>
      </c>
      <c r="P5" s="26">
        <f t="shared" si="1"/>
        <v>102459.35999999999</v>
      </c>
      <c r="Q5" s="97">
        <f t="shared" si="2"/>
        <v>16320.96</v>
      </c>
      <c r="R5" s="94">
        <v>43249</v>
      </c>
      <c r="S5" s="93" t="s">
        <v>134</v>
      </c>
    </row>
    <row r="6" spans="1:21" x14ac:dyDescent="0.25">
      <c r="A6" s="25">
        <v>5</v>
      </c>
      <c r="B6" s="94">
        <v>43212</v>
      </c>
      <c r="C6" s="95" t="s">
        <v>218</v>
      </c>
      <c r="D6" s="25" t="s">
        <v>23</v>
      </c>
      <c r="E6" s="25" t="s">
        <v>24</v>
      </c>
      <c r="F6" s="25" t="s">
        <v>22</v>
      </c>
      <c r="G6" s="25" t="s">
        <v>128</v>
      </c>
      <c r="H6" s="25" t="s">
        <v>134</v>
      </c>
      <c r="I6" s="26">
        <v>5135700</v>
      </c>
      <c r="J6" s="96">
        <v>0.02</v>
      </c>
      <c r="K6" s="26">
        <f>+I6*J6+8475</f>
        <v>111189</v>
      </c>
      <c r="L6" s="26">
        <v>0</v>
      </c>
      <c r="M6" s="26">
        <f>+K6*9%</f>
        <v>10007.01</v>
      </c>
      <c r="N6" s="26">
        <f>+K6*9%</f>
        <v>10007.01</v>
      </c>
      <c r="O6" s="26">
        <f t="shared" si="0"/>
        <v>5559.4500000000007</v>
      </c>
      <c r="P6" s="26">
        <f t="shared" si="1"/>
        <v>125643.56999999999</v>
      </c>
      <c r="Q6" s="97">
        <f t="shared" si="2"/>
        <v>20014.02</v>
      </c>
      <c r="R6" s="94">
        <v>43249</v>
      </c>
      <c r="S6" s="93" t="s">
        <v>134</v>
      </c>
    </row>
    <row r="7" spans="1:21" x14ac:dyDescent="0.25">
      <c r="A7" s="25">
        <v>7</v>
      </c>
      <c r="B7" s="94">
        <v>43224</v>
      </c>
      <c r="C7" s="95" t="s">
        <v>219</v>
      </c>
      <c r="D7" s="25" t="s">
        <v>29</v>
      </c>
      <c r="E7" s="25" t="s">
        <v>30</v>
      </c>
      <c r="F7" s="25" t="s">
        <v>31</v>
      </c>
      <c r="G7" s="25" t="s">
        <v>32</v>
      </c>
      <c r="H7" s="25" t="s">
        <v>133</v>
      </c>
      <c r="I7" s="26">
        <v>6750000</v>
      </c>
      <c r="J7" s="96">
        <v>0.02</v>
      </c>
      <c r="K7" s="26">
        <f>+I7*J7</f>
        <v>135000</v>
      </c>
      <c r="L7" s="26">
        <v>0</v>
      </c>
      <c r="M7" s="26">
        <f>+K7*9%</f>
        <v>12150</v>
      </c>
      <c r="N7" s="26">
        <f>+K7*9%</f>
        <v>12150</v>
      </c>
      <c r="O7" s="26">
        <f t="shared" si="0"/>
        <v>6750</v>
      </c>
      <c r="P7" s="26">
        <f t="shared" si="1"/>
        <v>152550</v>
      </c>
      <c r="Q7" s="97">
        <f t="shared" si="2"/>
        <v>24300</v>
      </c>
      <c r="R7" s="94">
        <v>43230</v>
      </c>
      <c r="S7" s="93" t="s">
        <v>133</v>
      </c>
    </row>
    <row r="8" spans="1:21" x14ac:dyDescent="0.25">
      <c r="A8" s="25">
        <v>8</v>
      </c>
      <c r="B8" s="98">
        <v>43348</v>
      </c>
      <c r="C8" s="99" t="s">
        <v>220</v>
      </c>
      <c r="D8" s="25" t="s">
        <v>213</v>
      </c>
      <c r="E8" s="25" t="s">
        <v>214</v>
      </c>
      <c r="F8" s="25" t="s">
        <v>215</v>
      </c>
      <c r="G8" s="25" t="s">
        <v>216</v>
      </c>
      <c r="H8" s="25" t="s">
        <v>135</v>
      </c>
      <c r="I8" s="26">
        <v>5208000</v>
      </c>
      <c r="J8" s="96">
        <v>0.03</v>
      </c>
      <c r="K8" s="26">
        <f>+I8*J8</f>
        <v>156240</v>
      </c>
      <c r="L8" s="26">
        <f>+K8*18%</f>
        <v>28123.200000000001</v>
      </c>
      <c r="M8" s="26">
        <v>0</v>
      </c>
      <c r="N8" s="26">
        <v>0</v>
      </c>
      <c r="O8" s="26">
        <f t="shared" si="0"/>
        <v>7812</v>
      </c>
      <c r="P8" s="26">
        <f t="shared" si="1"/>
        <v>176551.2</v>
      </c>
      <c r="Q8" s="97">
        <f t="shared" si="2"/>
        <v>28123.200000000001</v>
      </c>
      <c r="R8" s="94"/>
      <c r="S8" s="93" t="s">
        <v>133</v>
      </c>
      <c r="U8" s="93" t="s">
        <v>325</v>
      </c>
    </row>
    <row r="9" spans="1:21" x14ac:dyDescent="0.25">
      <c r="A9" s="25">
        <v>9</v>
      </c>
      <c r="B9" s="94">
        <v>43233</v>
      </c>
      <c r="C9" s="95" t="s">
        <v>219</v>
      </c>
      <c r="D9" s="25" t="s">
        <v>33</v>
      </c>
      <c r="E9" s="25" t="s">
        <v>34</v>
      </c>
      <c r="F9" s="25" t="s">
        <v>13</v>
      </c>
      <c r="G9" s="25" t="s">
        <v>35</v>
      </c>
      <c r="H9" s="25" t="s">
        <v>133</v>
      </c>
      <c r="I9" s="26">
        <v>6421229</v>
      </c>
      <c r="J9" s="96">
        <v>0.02</v>
      </c>
      <c r="K9" s="26">
        <f>+I9*J9</f>
        <v>128424.58</v>
      </c>
      <c r="L9" s="26">
        <f>+K9*18%</f>
        <v>23116.4244</v>
      </c>
      <c r="M9" s="26"/>
      <c r="N9" s="26"/>
      <c r="O9" s="26">
        <f t="shared" si="0"/>
        <v>6421.2290000000003</v>
      </c>
      <c r="P9" s="26">
        <f t="shared" si="1"/>
        <v>145119.77540000001</v>
      </c>
      <c r="Q9" s="97">
        <f t="shared" si="2"/>
        <v>23116.4244</v>
      </c>
      <c r="R9" s="94">
        <v>43270</v>
      </c>
      <c r="S9" s="93" t="s">
        <v>133</v>
      </c>
    </row>
    <row r="10" spans="1:21" x14ac:dyDescent="0.25">
      <c r="A10" s="25">
        <v>10</v>
      </c>
      <c r="B10" s="94">
        <v>43230</v>
      </c>
      <c r="C10" s="95" t="s">
        <v>219</v>
      </c>
      <c r="D10" s="25" t="s">
        <v>36</v>
      </c>
      <c r="E10" s="25" t="s">
        <v>39</v>
      </c>
      <c r="F10" s="25" t="s">
        <v>37</v>
      </c>
      <c r="G10" s="25" t="s">
        <v>38</v>
      </c>
      <c r="H10" s="25" t="s">
        <v>134</v>
      </c>
      <c r="I10" s="26">
        <v>4163523</v>
      </c>
      <c r="J10" s="96">
        <v>2.5000000000000001E-2</v>
      </c>
      <c r="K10" s="26">
        <v>72862</v>
      </c>
      <c r="L10" s="26"/>
      <c r="M10" s="26">
        <f>+K10*9%</f>
        <v>6557.58</v>
      </c>
      <c r="N10" s="26">
        <f>+K10*9%</f>
        <v>6557.58</v>
      </c>
      <c r="O10" s="26">
        <f t="shared" si="0"/>
        <v>3643.1000000000004</v>
      </c>
      <c r="P10" s="26">
        <f t="shared" si="1"/>
        <v>82334.06</v>
      </c>
      <c r="Q10" s="97">
        <f t="shared" si="2"/>
        <v>13115.16</v>
      </c>
      <c r="R10" s="94">
        <v>43259</v>
      </c>
      <c r="S10" s="93" t="s">
        <v>134</v>
      </c>
    </row>
    <row r="11" spans="1:21" x14ac:dyDescent="0.25">
      <c r="A11" s="25">
        <v>13</v>
      </c>
      <c r="B11" s="94">
        <v>43290</v>
      </c>
      <c r="C11" s="95" t="s">
        <v>223</v>
      </c>
      <c r="D11" s="25" t="s">
        <v>45</v>
      </c>
      <c r="E11" s="25" t="s">
        <v>46</v>
      </c>
      <c r="F11" s="25" t="s">
        <v>47</v>
      </c>
      <c r="G11" s="25" t="s">
        <v>131</v>
      </c>
      <c r="H11" s="25" t="s">
        <v>134</v>
      </c>
      <c r="I11" s="26">
        <v>4680780</v>
      </c>
      <c r="J11" s="96">
        <v>0.03</v>
      </c>
      <c r="K11" s="26">
        <f t="shared" ref="K11:K16" si="3">+I11*J11</f>
        <v>140423.4</v>
      </c>
      <c r="L11" s="26">
        <v>0</v>
      </c>
      <c r="M11" s="26">
        <f>+K11*9%</f>
        <v>12638.106</v>
      </c>
      <c r="N11" s="26">
        <f>+K11*9%</f>
        <v>12638.106</v>
      </c>
      <c r="O11" s="26">
        <f t="shared" si="0"/>
        <v>7021.17</v>
      </c>
      <c r="P11" s="26">
        <f t="shared" si="1"/>
        <v>158678.44199999998</v>
      </c>
      <c r="Q11" s="97">
        <f t="shared" si="2"/>
        <v>25276.212</v>
      </c>
      <c r="R11" s="94">
        <v>43299</v>
      </c>
      <c r="S11" s="93" t="s">
        <v>134</v>
      </c>
    </row>
    <row r="12" spans="1:21" x14ac:dyDescent="0.25">
      <c r="A12" s="25">
        <v>14</v>
      </c>
      <c r="B12" s="94">
        <v>43290</v>
      </c>
      <c r="C12" s="95" t="s">
        <v>223</v>
      </c>
      <c r="D12" s="25" t="s">
        <v>45</v>
      </c>
      <c r="E12" s="25" t="s">
        <v>49</v>
      </c>
      <c r="F12" s="25" t="s">
        <v>47</v>
      </c>
      <c r="G12" s="25" t="s">
        <v>131</v>
      </c>
      <c r="H12" s="25" t="s">
        <v>134</v>
      </c>
      <c r="I12" s="26">
        <v>5042455</v>
      </c>
      <c r="J12" s="96">
        <v>0.03</v>
      </c>
      <c r="K12" s="26">
        <f t="shared" si="3"/>
        <v>151273.65</v>
      </c>
      <c r="L12" s="26">
        <v>0</v>
      </c>
      <c r="M12" s="26">
        <f>+K12*9%</f>
        <v>13614.628499999999</v>
      </c>
      <c r="N12" s="26">
        <f>+K12*9%</f>
        <v>13614.628499999999</v>
      </c>
      <c r="O12" s="26">
        <f t="shared" si="0"/>
        <v>7563.6824999999999</v>
      </c>
      <c r="P12" s="26">
        <f t="shared" si="1"/>
        <v>170939.22449999998</v>
      </c>
      <c r="Q12" s="97">
        <f t="shared" si="2"/>
        <v>27229.256999999998</v>
      </c>
      <c r="R12" s="94">
        <v>43299</v>
      </c>
      <c r="S12" s="93" t="s">
        <v>134</v>
      </c>
    </row>
    <row r="13" spans="1:21" x14ac:dyDescent="0.25">
      <c r="A13" s="25">
        <v>15</v>
      </c>
      <c r="B13" s="94">
        <v>43248</v>
      </c>
      <c r="C13" s="95" t="s">
        <v>219</v>
      </c>
      <c r="D13" s="25" t="s">
        <v>50</v>
      </c>
      <c r="E13" s="25" t="s">
        <v>51</v>
      </c>
      <c r="F13" s="25" t="s">
        <v>52</v>
      </c>
      <c r="G13" s="25" t="s">
        <v>53</v>
      </c>
      <c r="H13" s="25" t="s">
        <v>135</v>
      </c>
      <c r="I13" s="26">
        <v>5400000</v>
      </c>
      <c r="J13" s="96">
        <v>0.02</v>
      </c>
      <c r="K13" s="26">
        <f t="shared" si="3"/>
        <v>108000</v>
      </c>
      <c r="L13" s="100">
        <f>+K13*18%</f>
        <v>19440</v>
      </c>
      <c r="M13" s="26"/>
      <c r="N13" s="26"/>
      <c r="O13" s="26">
        <f t="shared" si="0"/>
        <v>5400</v>
      </c>
      <c r="P13" s="26">
        <f t="shared" si="1"/>
        <v>122040</v>
      </c>
      <c r="Q13" s="97">
        <f t="shared" si="2"/>
        <v>19440</v>
      </c>
      <c r="R13" s="94">
        <v>43256</v>
      </c>
      <c r="S13" s="93" t="s">
        <v>134</v>
      </c>
    </row>
    <row r="14" spans="1:21" x14ac:dyDescent="0.25">
      <c r="A14" s="25">
        <v>16</v>
      </c>
      <c r="B14" s="94">
        <v>43248</v>
      </c>
      <c r="C14" s="95" t="s">
        <v>219</v>
      </c>
      <c r="D14" s="25" t="s">
        <v>55</v>
      </c>
      <c r="E14" s="25" t="s">
        <v>56</v>
      </c>
      <c r="F14" s="25" t="s">
        <v>54</v>
      </c>
      <c r="G14" s="25" t="s">
        <v>53</v>
      </c>
      <c r="H14" s="25" t="s">
        <v>135</v>
      </c>
      <c r="I14" s="26">
        <v>1800000</v>
      </c>
      <c r="J14" s="96">
        <v>0.02</v>
      </c>
      <c r="K14" s="26">
        <f t="shared" si="3"/>
        <v>36000</v>
      </c>
      <c r="L14" s="100">
        <f>+K14*18%</f>
        <v>6480</v>
      </c>
      <c r="M14" s="26"/>
      <c r="N14" s="26"/>
      <c r="O14" s="26">
        <f t="shared" si="0"/>
        <v>1800</v>
      </c>
      <c r="P14" s="26">
        <f t="shared" si="1"/>
        <v>40680</v>
      </c>
      <c r="Q14" s="97">
        <f t="shared" si="2"/>
        <v>6480</v>
      </c>
      <c r="R14" s="94">
        <v>43248</v>
      </c>
      <c r="S14" s="93" t="s">
        <v>134</v>
      </c>
    </row>
    <row r="15" spans="1:21" x14ac:dyDescent="0.25">
      <c r="A15" s="25">
        <v>17</v>
      </c>
      <c r="B15" s="94">
        <v>43248</v>
      </c>
      <c r="C15" s="95" t="s">
        <v>219</v>
      </c>
      <c r="D15" s="25" t="s">
        <v>57</v>
      </c>
      <c r="E15" s="25" t="s">
        <v>58</v>
      </c>
      <c r="F15" s="25" t="s">
        <v>52</v>
      </c>
      <c r="G15" s="25" t="s">
        <v>53</v>
      </c>
      <c r="H15" s="25" t="s">
        <v>135</v>
      </c>
      <c r="I15" s="26">
        <v>2700000</v>
      </c>
      <c r="J15" s="96">
        <v>0.02</v>
      </c>
      <c r="K15" s="26">
        <f t="shared" si="3"/>
        <v>54000</v>
      </c>
      <c r="L15" s="100">
        <f>+K15*18%</f>
        <v>9720</v>
      </c>
      <c r="M15" s="26"/>
      <c r="N15" s="26"/>
      <c r="O15" s="26">
        <f t="shared" si="0"/>
        <v>2700</v>
      </c>
      <c r="P15" s="26">
        <f t="shared" si="1"/>
        <v>61020</v>
      </c>
      <c r="Q15" s="97">
        <f t="shared" si="2"/>
        <v>9720</v>
      </c>
      <c r="R15" s="94">
        <v>43290</v>
      </c>
      <c r="S15" s="93" t="s">
        <v>134</v>
      </c>
    </row>
    <row r="16" spans="1:21" x14ac:dyDescent="0.25">
      <c r="A16" s="25">
        <v>19</v>
      </c>
      <c r="B16" s="94">
        <v>43259</v>
      </c>
      <c r="C16" s="95" t="s">
        <v>221</v>
      </c>
      <c r="D16" s="25" t="s">
        <v>61</v>
      </c>
      <c r="E16" s="25" t="s">
        <v>62</v>
      </c>
      <c r="F16" s="25" t="s">
        <v>63</v>
      </c>
      <c r="G16" s="25" t="s">
        <v>64</v>
      </c>
      <c r="H16" s="25" t="s">
        <v>134</v>
      </c>
      <c r="I16" s="101">
        <v>9226266</v>
      </c>
      <c r="J16" s="96">
        <v>0.02</v>
      </c>
      <c r="K16" s="26">
        <f t="shared" si="3"/>
        <v>184525.32</v>
      </c>
      <c r="L16" s="26">
        <v>0</v>
      </c>
      <c r="M16" s="26">
        <f>+K16*9%</f>
        <v>16607.2788</v>
      </c>
      <c r="N16" s="26">
        <f>+K16*9%</f>
        <v>16607.2788</v>
      </c>
      <c r="O16" s="26">
        <f t="shared" si="0"/>
        <v>9226.2660000000014</v>
      </c>
      <c r="P16" s="26">
        <f t="shared" si="1"/>
        <v>208513.6116</v>
      </c>
      <c r="Q16" s="97">
        <f t="shared" si="2"/>
        <v>33214.5576</v>
      </c>
      <c r="R16" s="94">
        <v>43343</v>
      </c>
      <c r="S16" s="93" t="s">
        <v>134</v>
      </c>
    </row>
    <row r="17" spans="1:20" x14ac:dyDescent="0.25">
      <c r="A17" s="25">
        <v>20</v>
      </c>
      <c r="B17" s="94">
        <v>43262</v>
      </c>
      <c r="C17" s="95" t="s">
        <v>221</v>
      </c>
      <c r="D17" s="25" t="s">
        <v>65</v>
      </c>
      <c r="E17" s="25" t="s">
        <v>66</v>
      </c>
      <c r="F17" s="25" t="s">
        <v>37</v>
      </c>
      <c r="G17" s="25" t="s">
        <v>38</v>
      </c>
      <c r="H17" s="25" t="s">
        <v>134</v>
      </c>
      <c r="I17" s="26">
        <v>4988394</v>
      </c>
      <c r="J17" s="96">
        <v>2.5000000000000001E-2</v>
      </c>
      <c r="K17" s="26">
        <v>87297</v>
      </c>
      <c r="L17" s="26">
        <v>0</v>
      </c>
      <c r="M17" s="26">
        <f>+K17*9%</f>
        <v>7856.73</v>
      </c>
      <c r="N17" s="26">
        <f>+K17*9%</f>
        <v>7856.73</v>
      </c>
      <c r="O17" s="26">
        <f t="shared" si="0"/>
        <v>4364.8500000000004</v>
      </c>
      <c r="P17" s="26">
        <f t="shared" si="1"/>
        <v>98645.609999999986</v>
      </c>
      <c r="Q17" s="97">
        <f t="shared" si="2"/>
        <v>15713.46</v>
      </c>
      <c r="R17" s="25"/>
      <c r="S17" s="93" t="s">
        <v>134</v>
      </c>
    </row>
    <row r="18" spans="1:20" x14ac:dyDescent="0.25">
      <c r="A18" s="25">
        <v>21</v>
      </c>
      <c r="B18" s="94">
        <v>43262</v>
      </c>
      <c r="C18" s="95" t="s">
        <v>221</v>
      </c>
      <c r="D18" s="25" t="s">
        <v>68</v>
      </c>
      <c r="E18" s="25" t="s">
        <v>67</v>
      </c>
      <c r="F18" s="25" t="s">
        <v>37</v>
      </c>
      <c r="G18" s="25" t="s">
        <v>38</v>
      </c>
      <c r="H18" s="25" t="s">
        <v>134</v>
      </c>
      <c r="I18" s="26">
        <v>6280505</v>
      </c>
      <c r="J18" s="96">
        <v>0.02</v>
      </c>
      <c r="K18" s="26">
        <v>87297</v>
      </c>
      <c r="L18" s="26">
        <v>0</v>
      </c>
      <c r="M18" s="26">
        <f>+K18*9%</f>
        <v>7856.73</v>
      </c>
      <c r="N18" s="26">
        <f>+K18*9%</f>
        <v>7856.73</v>
      </c>
      <c r="O18" s="26">
        <f t="shared" si="0"/>
        <v>4364.8500000000004</v>
      </c>
      <c r="P18" s="26">
        <f t="shared" si="1"/>
        <v>98645.609999999986</v>
      </c>
      <c r="Q18" s="97">
        <f t="shared" si="2"/>
        <v>15713.46</v>
      </c>
      <c r="R18" s="25"/>
      <c r="S18" s="93" t="s">
        <v>134</v>
      </c>
    </row>
    <row r="19" spans="1:20" x14ac:dyDescent="0.25">
      <c r="A19" s="25">
        <v>22</v>
      </c>
      <c r="B19" s="94">
        <v>43262</v>
      </c>
      <c r="C19" s="95" t="s">
        <v>221</v>
      </c>
      <c r="D19" s="25" t="s">
        <v>69</v>
      </c>
      <c r="E19" s="25" t="s">
        <v>70</v>
      </c>
      <c r="F19" s="25" t="s">
        <v>37</v>
      </c>
      <c r="G19" s="25" t="s">
        <v>38</v>
      </c>
      <c r="H19" s="25" t="s">
        <v>134</v>
      </c>
      <c r="I19" s="26">
        <v>5180940</v>
      </c>
      <c r="J19" s="96">
        <v>0.02</v>
      </c>
      <c r="K19" s="26">
        <v>72533</v>
      </c>
      <c r="L19" s="26">
        <v>0</v>
      </c>
      <c r="M19" s="26">
        <f>+K19*9%</f>
        <v>6527.9699999999993</v>
      </c>
      <c r="N19" s="26">
        <f>+K19*9%</f>
        <v>6527.9699999999993</v>
      </c>
      <c r="O19" s="26">
        <f t="shared" si="0"/>
        <v>3626.65</v>
      </c>
      <c r="P19" s="26">
        <f t="shared" si="1"/>
        <v>81962.290000000008</v>
      </c>
      <c r="Q19" s="97">
        <f t="shared" si="2"/>
        <v>13055.939999999999</v>
      </c>
      <c r="R19" s="25"/>
      <c r="S19" s="93" t="s">
        <v>134</v>
      </c>
    </row>
    <row r="20" spans="1:20" x14ac:dyDescent="0.25">
      <c r="A20" s="25">
        <v>23</v>
      </c>
      <c r="B20" s="94">
        <v>43285</v>
      </c>
      <c r="C20" s="95" t="s">
        <v>223</v>
      </c>
      <c r="D20" s="25" t="s">
        <v>71</v>
      </c>
      <c r="E20" s="25" t="s">
        <v>74</v>
      </c>
      <c r="F20" s="25" t="s">
        <v>72</v>
      </c>
      <c r="G20" s="25" t="s">
        <v>73</v>
      </c>
      <c r="H20" s="25" t="s">
        <v>134</v>
      </c>
      <c r="I20" s="26">
        <v>7264650</v>
      </c>
      <c r="J20" s="96">
        <v>0.01</v>
      </c>
      <c r="K20" s="26">
        <f t="shared" ref="K20:K26" si="4">+I20*J20</f>
        <v>72646.5</v>
      </c>
      <c r="L20" s="26">
        <f>+K20*18%</f>
        <v>13076.369999999999</v>
      </c>
      <c r="M20" s="26"/>
      <c r="N20" s="26"/>
      <c r="O20" s="26">
        <f t="shared" si="0"/>
        <v>3632.3250000000003</v>
      </c>
      <c r="P20" s="26">
        <f t="shared" si="1"/>
        <v>82090.544999999998</v>
      </c>
      <c r="Q20" s="97">
        <f t="shared" si="2"/>
        <v>13076.369999999999</v>
      </c>
      <c r="R20" s="94">
        <v>43294</v>
      </c>
      <c r="S20" s="93" t="s">
        <v>134</v>
      </c>
    </row>
    <row r="21" spans="1:20" x14ac:dyDescent="0.25">
      <c r="A21" s="25">
        <v>24</v>
      </c>
      <c r="B21" s="94">
        <v>43298</v>
      </c>
      <c r="C21" s="95" t="s">
        <v>223</v>
      </c>
      <c r="D21" s="25" t="s">
        <v>75</v>
      </c>
      <c r="E21" s="25" t="s">
        <v>76</v>
      </c>
      <c r="F21" s="25" t="s">
        <v>18</v>
      </c>
      <c r="G21" s="25" t="s">
        <v>19</v>
      </c>
      <c r="H21" s="25" t="s">
        <v>134</v>
      </c>
      <c r="I21" s="26">
        <v>5760525</v>
      </c>
      <c r="J21" s="96">
        <v>0.03</v>
      </c>
      <c r="K21" s="26">
        <f t="shared" si="4"/>
        <v>172815.75</v>
      </c>
      <c r="L21" s="26">
        <v>0</v>
      </c>
      <c r="M21" s="26">
        <f>+K21*9%</f>
        <v>15553.4175</v>
      </c>
      <c r="N21" s="26">
        <f>+K21*9%</f>
        <v>15553.4175</v>
      </c>
      <c r="O21" s="26">
        <f t="shared" si="0"/>
        <v>8640.7875000000004</v>
      </c>
      <c r="P21" s="26">
        <f t="shared" si="1"/>
        <v>195281.79750000002</v>
      </c>
      <c r="Q21" s="97">
        <f t="shared" si="2"/>
        <v>31106.834999999999</v>
      </c>
      <c r="R21" s="94">
        <v>43350</v>
      </c>
      <c r="S21" s="93" t="s">
        <v>134</v>
      </c>
    </row>
    <row r="22" spans="1:20" x14ac:dyDescent="0.25">
      <c r="A22" s="25">
        <v>25</v>
      </c>
      <c r="B22" s="94">
        <v>43290</v>
      </c>
      <c r="C22" s="95" t="s">
        <v>223</v>
      </c>
      <c r="D22" s="25" t="s">
        <v>77</v>
      </c>
      <c r="E22" s="25" t="s">
        <v>136</v>
      </c>
      <c r="F22" s="25" t="s">
        <v>78</v>
      </c>
      <c r="G22" s="25" t="s">
        <v>79</v>
      </c>
      <c r="H22" s="25" t="s">
        <v>134</v>
      </c>
      <c r="I22" s="26">
        <v>2695041</v>
      </c>
      <c r="J22" s="96">
        <v>0.02</v>
      </c>
      <c r="K22" s="26">
        <f t="shared" si="4"/>
        <v>53900.82</v>
      </c>
      <c r="L22" s="26">
        <v>0</v>
      </c>
      <c r="M22" s="26">
        <f>+K22*9%</f>
        <v>4851.0738000000001</v>
      </c>
      <c r="N22" s="26">
        <f>+K22*9%</f>
        <v>4851.0738000000001</v>
      </c>
      <c r="O22" s="26">
        <f t="shared" si="0"/>
        <v>2695.0410000000002</v>
      </c>
      <c r="P22" s="26">
        <f t="shared" si="1"/>
        <v>60907.926599999999</v>
      </c>
      <c r="Q22" s="97">
        <f t="shared" si="2"/>
        <v>9702.1476000000002</v>
      </c>
      <c r="R22" s="94">
        <v>43353</v>
      </c>
      <c r="S22" s="93" t="s">
        <v>134</v>
      </c>
    </row>
    <row r="23" spans="1:20" x14ac:dyDescent="0.25">
      <c r="A23" s="25">
        <v>26</v>
      </c>
      <c r="B23" s="94">
        <v>43290</v>
      </c>
      <c r="C23" s="95" t="s">
        <v>223</v>
      </c>
      <c r="D23" s="25" t="s">
        <v>80</v>
      </c>
      <c r="E23" s="25" t="s">
        <v>137</v>
      </c>
      <c r="F23" s="25" t="s">
        <v>78</v>
      </c>
      <c r="G23" s="25" t="s">
        <v>79</v>
      </c>
      <c r="H23" s="25" t="s">
        <v>134</v>
      </c>
      <c r="I23" s="26">
        <v>4197207</v>
      </c>
      <c r="J23" s="96">
        <v>0.02</v>
      </c>
      <c r="K23" s="26">
        <f t="shared" si="4"/>
        <v>83944.14</v>
      </c>
      <c r="L23" s="26">
        <v>0</v>
      </c>
      <c r="M23" s="26">
        <f>+K23*9%</f>
        <v>7554.9726000000001</v>
      </c>
      <c r="N23" s="26">
        <f>+K23*9%</f>
        <v>7554.9726000000001</v>
      </c>
      <c r="O23" s="26">
        <f t="shared" si="0"/>
        <v>4197.2070000000003</v>
      </c>
      <c r="P23" s="26">
        <f t="shared" si="1"/>
        <v>94856.878199999992</v>
      </c>
      <c r="Q23" s="97">
        <f t="shared" si="2"/>
        <v>15109.9452</v>
      </c>
      <c r="R23" s="94">
        <v>43353</v>
      </c>
      <c r="S23" s="93" t="s">
        <v>134</v>
      </c>
    </row>
    <row r="24" spans="1:20" x14ac:dyDescent="0.25">
      <c r="A24" s="25">
        <v>27</v>
      </c>
      <c r="B24" s="94">
        <v>43298</v>
      </c>
      <c r="C24" s="95" t="s">
        <v>223</v>
      </c>
      <c r="D24" s="25" t="s">
        <v>81</v>
      </c>
      <c r="E24" s="25" t="s">
        <v>82</v>
      </c>
      <c r="F24" s="25" t="s">
        <v>83</v>
      </c>
      <c r="G24" s="25" t="s">
        <v>84</v>
      </c>
      <c r="H24" s="25" t="s">
        <v>133</v>
      </c>
      <c r="I24" s="26">
        <v>4550580</v>
      </c>
      <c r="J24" s="96">
        <v>0.02</v>
      </c>
      <c r="K24" s="26">
        <f t="shared" si="4"/>
        <v>91011.6</v>
      </c>
      <c r="L24" s="26">
        <v>0</v>
      </c>
      <c r="M24" s="26">
        <f>+K24*9%</f>
        <v>8191.0439999999999</v>
      </c>
      <c r="N24" s="26">
        <f>+K24*9%</f>
        <v>8191.0439999999999</v>
      </c>
      <c r="O24" s="26">
        <f t="shared" si="0"/>
        <v>4550.5800000000008</v>
      </c>
      <c r="P24" s="26">
        <f t="shared" si="1"/>
        <v>102843.10799999999</v>
      </c>
      <c r="Q24" s="97">
        <f t="shared" si="2"/>
        <v>16382.088</v>
      </c>
      <c r="R24" s="94">
        <v>43340</v>
      </c>
      <c r="S24" s="93" t="s">
        <v>133</v>
      </c>
    </row>
    <row r="25" spans="1:20" x14ac:dyDescent="0.25">
      <c r="A25" s="25">
        <v>28</v>
      </c>
      <c r="B25" s="94">
        <v>43298</v>
      </c>
      <c r="C25" s="95" t="s">
        <v>223</v>
      </c>
      <c r="D25" s="25" t="s">
        <v>85</v>
      </c>
      <c r="E25" s="25" t="s">
        <v>82</v>
      </c>
      <c r="F25" s="25" t="s">
        <v>83</v>
      </c>
      <c r="G25" s="25" t="s">
        <v>84</v>
      </c>
      <c r="H25" s="25" t="s">
        <v>133</v>
      </c>
      <c r="I25" s="26">
        <v>3339000</v>
      </c>
      <c r="J25" s="96">
        <v>0.02</v>
      </c>
      <c r="K25" s="26">
        <f t="shared" si="4"/>
        <v>66780</v>
      </c>
      <c r="L25" s="26">
        <v>0</v>
      </c>
      <c r="M25" s="26">
        <f>+K25*9%</f>
        <v>6010.2</v>
      </c>
      <c r="N25" s="26">
        <f>+K25*9%</f>
        <v>6010.2</v>
      </c>
      <c r="O25" s="26">
        <f t="shared" si="0"/>
        <v>3339</v>
      </c>
      <c r="P25" s="26">
        <f t="shared" si="1"/>
        <v>75461.399999999994</v>
      </c>
      <c r="Q25" s="97">
        <f t="shared" si="2"/>
        <v>12020.4</v>
      </c>
      <c r="R25" s="94">
        <v>43333</v>
      </c>
      <c r="S25" s="93" t="s">
        <v>133</v>
      </c>
    </row>
    <row r="26" spans="1:20" x14ac:dyDescent="0.25">
      <c r="A26" s="25">
        <v>29</v>
      </c>
      <c r="B26" s="94">
        <v>43293</v>
      </c>
      <c r="C26" s="95" t="s">
        <v>223</v>
      </c>
      <c r="D26" s="25" t="s">
        <v>86</v>
      </c>
      <c r="E26" s="25" t="s">
        <v>87</v>
      </c>
      <c r="F26" s="25" t="s">
        <v>88</v>
      </c>
      <c r="G26" s="25" t="s">
        <v>89</v>
      </c>
      <c r="H26" s="25" t="s">
        <v>135</v>
      </c>
      <c r="I26" s="26">
        <v>4603500</v>
      </c>
      <c r="J26" s="96">
        <v>0.03</v>
      </c>
      <c r="K26" s="26">
        <f t="shared" si="4"/>
        <v>138105</v>
      </c>
      <c r="L26" s="26">
        <f>+K26*18%</f>
        <v>24858.899999999998</v>
      </c>
      <c r="M26" s="26"/>
      <c r="N26" s="26"/>
      <c r="O26" s="26">
        <f t="shared" si="0"/>
        <v>6905.25</v>
      </c>
      <c r="P26" s="26">
        <f t="shared" si="1"/>
        <v>156058.65</v>
      </c>
      <c r="Q26" s="97">
        <f t="shared" si="2"/>
        <v>24858.899999999998</v>
      </c>
      <c r="R26" s="94">
        <v>43317</v>
      </c>
      <c r="S26" s="93" t="s">
        <v>133</v>
      </c>
    </row>
    <row r="27" spans="1:20" x14ac:dyDescent="0.25">
      <c r="A27" s="25">
        <v>30</v>
      </c>
      <c r="B27" s="94">
        <v>43377</v>
      </c>
      <c r="C27" s="95" t="s">
        <v>222</v>
      </c>
      <c r="D27" s="25" t="s">
        <v>160</v>
      </c>
      <c r="E27" s="25" t="s">
        <v>161</v>
      </c>
      <c r="F27" s="25" t="s">
        <v>37</v>
      </c>
      <c r="G27" s="25" t="s">
        <v>38</v>
      </c>
      <c r="H27" s="25" t="s">
        <v>134</v>
      </c>
      <c r="I27" s="26">
        <v>4248083</v>
      </c>
      <c r="J27" s="96">
        <v>2.5000000000000001E-2</v>
      </c>
      <c r="K27" s="26">
        <v>74341</v>
      </c>
      <c r="L27" s="26"/>
      <c r="M27" s="26">
        <f>+K27*9%</f>
        <v>6690.69</v>
      </c>
      <c r="N27" s="26">
        <f>+K27*9%</f>
        <v>6690.69</v>
      </c>
      <c r="O27" s="26">
        <f t="shared" si="0"/>
        <v>3717.05</v>
      </c>
      <c r="P27" s="26">
        <f t="shared" si="1"/>
        <v>84005.33</v>
      </c>
      <c r="Q27" s="97">
        <f t="shared" si="2"/>
        <v>13381.38</v>
      </c>
      <c r="R27" s="94"/>
      <c r="S27" s="93" t="s">
        <v>134</v>
      </c>
      <c r="T27" s="93" t="s">
        <v>286</v>
      </c>
    </row>
    <row r="28" spans="1:20" x14ac:dyDescent="0.25">
      <c r="A28" s="25">
        <v>31</v>
      </c>
      <c r="B28" s="94">
        <v>43326</v>
      </c>
      <c r="C28" s="95" t="s">
        <v>224</v>
      </c>
      <c r="D28" s="25" t="s">
        <v>138</v>
      </c>
      <c r="E28" s="25" t="s">
        <v>90</v>
      </c>
      <c r="F28" s="25" t="s">
        <v>91</v>
      </c>
      <c r="G28" s="25" t="s">
        <v>92</v>
      </c>
      <c r="H28" s="25" t="s">
        <v>133</v>
      </c>
      <c r="I28" s="26">
        <v>6179238</v>
      </c>
      <c r="J28" s="96">
        <v>0.02</v>
      </c>
      <c r="K28" s="26">
        <f t="shared" ref="K28:K45" si="5">+I28*J28</f>
        <v>123584.76000000001</v>
      </c>
      <c r="L28" s="26">
        <v>0</v>
      </c>
      <c r="M28" s="26">
        <f>+K28*9%</f>
        <v>11122.6284</v>
      </c>
      <c r="N28" s="26">
        <f>+K28*9%</f>
        <v>11122.6284</v>
      </c>
      <c r="O28" s="26">
        <f t="shared" si="0"/>
        <v>6179.2380000000012</v>
      </c>
      <c r="P28" s="26">
        <f t="shared" si="1"/>
        <v>139650.77879999997</v>
      </c>
      <c r="Q28" s="97">
        <f t="shared" si="2"/>
        <v>22245.256799999999</v>
      </c>
      <c r="R28" s="94">
        <v>43340</v>
      </c>
      <c r="S28" s="93" t="s">
        <v>133</v>
      </c>
    </row>
    <row r="29" spans="1:20" x14ac:dyDescent="0.25">
      <c r="A29" s="25">
        <v>32</v>
      </c>
      <c r="B29" s="94">
        <v>43300</v>
      </c>
      <c r="C29" s="95" t="s">
        <v>223</v>
      </c>
      <c r="D29" s="25" t="s">
        <v>93</v>
      </c>
      <c r="E29" s="25" t="s">
        <v>94</v>
      </c>
      <c r="F29" s="25" t="s">
        <v>95</v>
      </c>
      <c r="G29" s="25" t="s">
        <v>96</v>
      </c>
      <c r="H29" s="25" t="s">
        <v>135</v>
      </c>
      <c r="I29" s="26">
        <v>9287700</v>
      </c>
      <c r="J29" s="96">
        <v>0.02</v>
      </c>
      <c r="K29" s="26">
        <f t="shared" si="5"/>
        <v>185754</v>
      </c>
      <c r="L29" s="26">
        <f>+K29*18%</f>
        <v>33435.72</v>
      </c>
      <c r="M29" s="26"/>
      <c r="N29" s="26"/>
      <c r="O29" s="26">
        <f t="shared" si="0"/>
        <v>9287.7000000000007</v>
      </c>
      <c r="P29" s="26">
        <f t="shared" si="1"/>
        <v>209902.02</v>
      </c>
      <c r="Q29" s="97">
        <f t="shared" si="2"/>
        <v>33435.72</v>
      </c>
      <c r="R29" s="94">
        <v>43441</v>
      </c>
      <c r="S29" s="93" t="s">
        <v>133</v>
      </c>
    </row>
    <row r="30" spans="1:20" x14ac:dyDescent="0.25">
      <c r="A30" s="25">
        <v>33</v>
      </c>
      <c r="B30" s="94">
        <v>43308</v>
      </c>
      <c r="C30" s="95" t="s">
        <v>223</v>
      </c>
      <c r="D30" s="25" t="s">
        <v>97</v>
      </c>
      <c r="E30" s="25" t="s">
        <v>98</v>
      </c>
      <c r="F30" s="25" t="s">
        <v>115</v>
      </c>
      <c r="G30" s="25" t="s">
        <v>48</v>
      </c>
      <c r="H30" s="25" t="s">
        <v>134</v>
      </c>
      <c r="I30" s="26">
        <v>7663644</v>
      </c>
      <c r="J30" s="96">
        <v>0.03</v>
      </c>
      <c r="K30" s="26">
        <f t="shared" si="5"/>
        <v>229909.31999999998</v>
      </c>
      <c r="L30" s="26">
        <v>0</v>
      </c>
      <c r="M30" s="26">
        <f>+K30*9%</f>
        <v>20691.838799999998</v>
      </c>
      <c r="N30" s="26">
        <f>+K30*9%</f>
        <v>20691.838799999998</v>
      </c>
      <c r="O30" s="26">
        <f t="shared" si="0"/>
        <v>11495.466</v>
      </c>
      <c r="P30" s="26">
        <f t="shared" si="1"/>
        <v>259797.53159999999</v>
      </c>
      <c r="Q30" s="97">
        <f t="shared" si="2"/>
        <v>41383.677599999995</v>
      </c>
      <c r="R30" s="94">
        <v>43347</v>
      </c>
      <c r="S30" s="93" t="s">
        <v>134</v>
      </c>
    </row>
    <row r="31" spans="1:20" x14ac:dyDescent="0.25">
      <c r="A31" s="25">
        <v>34</v>
      </c>
      <c r="B31" s="94">
        <v>43315</v>
      </c>
      <c r="C31" s="95" t="s">
        <v>224</v>
      </c>
      <c r="D31" s="25" t="s">
        <v>99</v>
      </c>
      <c r="E31" s="25" t="s">
        <v>100</v>
      </c>
      <c r="F31" s="25" t="s">
        <v>101</v>
      </c>
      <c r="G31" s="25" t="s">
        <v>102</v>
      </c>
      <c r="H31" s="25" t="s">
        <v>133</v>
      </c>
      <c r="I31" s="26">
        <v>36200000</v>
      </c>
      <c r="J31" s="96">
        <v>0.02</v>
      </c>
      <c r="K31" s="26">
        <f t="shared" si="5"/>
        <v>724000</v>
      </c>
      <c r="L31" s="26">
        <f>+K31*18%</f>
        <v>130320</v>
      </c>
      <c r="M31" s="26"/>
      <c r="N31" s="26"/>
      <c r="O31" s="26">
        <f t="shared" si="0"/>
        <v>36200</v>
      </c>
      <c r="P31" s="26">
        <f t="shared" si="1"/>
        <v>818120</v>
      </c>
      <c r="Q31" s="97">
        <f t="shared" si="2"/>
        <v>130320</v>
      </c>
      <c r="R31" s="94">
        <v>43350</v>
      </c>
      <c r="S31" s="93" t="s">
        <v>134</v>
      </c>
    </row>
    <row r="32" spans="1:20" x14ac:dyDescent="0.25">
      <c r="A32" s="25">
        <v>35</v>
      </c>
      <c r="B32" s="94">
        <v>43305</v>
      </c>
      <c r="C32" s="95" t="s">
        <v>223</v>
      </c>
      <c r="D32" s="25" t="s">
        <v>103</v>
      </c>
      <c r="E32" s="25" t="s">
        <v>104</v>
      </c>
      <c r="F32" s="25" t="s">
        <v>13</v>
      </c>
      <c r="G32" s="25" t="s">
        <v>14</v>
      </c>
      <c r="H32" s="25" t="s">
        <v>133</v>
      </c>
      <c r="I32" s="26">
        <v>6299727</v>
      </c>
      <c r="J32" s="96">
        <v>0.02</v>
      </c>
      <c r="K32" s="26">
        <f t="shared" si="5"/>
        <v>125994.54000000001</v>
      </c>
      <c r="L32" s="26"/>
      <c r="M32" s="26">
        <f>+K32*9%</f>
        <v>11339.508600000001</v>
      </c>
      <c r="N32" s="26">
        <f>+K32*9%</f>
        <v>11339.508600000001</v>
      </c>
      <c r="O32" s="26">
        <f t="shared" si="0"/>
        <v>6299.7270000000008</v>
      </c>
      <c r="P32" s="26">
        <f t="shared" si="1"/>
        <v>142373.8302</v>
      </c>
      <c r="Q32" s="97">
        <f t="shared" si="2"/>
        <v>22679.017200000002</v>
      </c>
      <c r="R32" s="94">
        <v>43330</v>
      </c>
      <c r="S32" s="93" t="s">
        <v>133</v>
      </c>
    </row>
    <row r="33" spans="1:19" x14ac:dyDescent="0.25">
      <c r="A33" s="25">
        <v>36</v>
      </c>
      <c r="B33" s="94">
        <v>43316</v>
      </c>
      <c r="C33" s="95" t="s">
        <v>224</v>
      </c>
      <c r="D33" s="25" t="s">
        <v>105</v>
      </c>
      <c r="E33" s="25" t="s">
        <v>106</v>
      </c>
      <c r="F33" s="25" t="s">
        <v>107</v>
      </c>
      <c r="G33" s="25" t="s">
        <v>108</v>
      </c>
      <c r="H33" s="25" t="s">
        <v>135</v>
      </c>
      <c r="I33" s="26">
        <v>7087300</v>
      </c>
      <c r="J33" s="96">
        <v>0.02</v>
      </c>
      <c r="K33" s="26">
        <f t="shared" si="5"/>
        <v>141746</v>
      </c>
      <c r="L33" s="26">
        <f>+K33*18%</f>
        <v>25514.28</v>
      </c>
      <c r="M33" s="26"/>
      <c r="N33" s="26"/>
      <c r="O33" s="26">
        <f t="shared" si="0"/>
        <v>7087.3</v>
      </c>
      <c r="P33" s="26">
        <f t="shared" si="1"/>
        <v>160172.98000000001</v>
      </c>
      <c r="Q33" s="97">
        <f t="shared" si="2"/>
        <v>25514.28</v>
      </c>
      <c r="R33" s="94">
        <v>43416</v>
      </c>
      <c r="S33" s="93" t="s">
        <v>134</v>
      </c>
    </row>
    <row r="34" spans="1:19" x14ac:dyDescent="0.25">
      <c r="A34" s="25">
        <v>37</v>
      </c>
      <c r="B34" s="94">
        <v>43313</v>
      </c>
      <c r="C34" s="95" t="s">
        <v>224</v>
      </c>
      <c r="D34" s="25" t="s">
        <v>109</v>
      </c>
      <c r="E34" s="25" t="s">
        <v>110</v>
      </c>
      <c r="F34" s="25" t="s">
        <v>111</v>
      </c>
      <c r="G34" s="25" t="s">
        <v>112</v>
      </c>
      <c r="H34" s="25" t="s">
        <v>133</v>
      </c>
      <c r="I34" s="26">
        <v>7312000</v>
      </c>
      <c r="J34" s="27">
        <v>2.75E-2</v>
      </c>
      <c r="K34" s="26">
        <f t="shared" si="5"/>
        <v>201080</v>
      </c>
      <c r="L34" s="26"/>
      <c r="M34" s="26">
        <f>+K34*9%</f>
        <v>18097.2</v>
      </c>
      <c r="N34" s="26">
        <f>+K34*9%</f>
        <v>18097.2</v>
      </c>
      <c r="O34" s="26">
        <f t="shared" ref="O34:O50" si="6">+K34*5%</f>
        <v>10054</v>
      </c>
      <c r="P34" s="26">
        <f t="shared" ref="P34:P65" si="7">+K34+L34+M34+N34-O34</f>
        <v>227220.40000000002</v>
      </c>
      <c r="Q34" s="97">
        <f t="shared" ref="Q34:Q65" si="8">+L34+M34+N34</f>
        <v>36194.400000000001</v>
      </c>
      <c r="R34" s="94">
        <v>43396</v>
      </c>
      <c r="S34" s="93" t="s">
        <v>133</v>
      </c>
    </row>
    <row r="35" spans="1:19" x14ac:dyDescent="0.25">
      <c r="A35" s="25">
        <v>38</v>
      </c>
      <c r="B35" s="94">
        <v>43318</v>
      </c>
      <c r="C35" s="95" t="s">
        <v>224</v>
      </c>
      <c r="D35" s="25" t="s">
        <v>113</v>
      </c>
      <c r="E35" s="25" t="s">
        <v>114</v>
      </c>
      <c r="F35" s="25" t="s">
        <v>115</v>
      </c>
      <c r="G35" s="25" t="s">
        <v>48</v>
      </c>
      <c r="H35" s="25" t="s">
        <v>134</v>
      </c>
      <c r="I35" s="26">
        <v>4456384</v>
      </c>
      <c r="J35" s="96">
        <v>0.03</v>
      </c>
      <c r="K35" s="26">
        <f t="shared" si="5"/>
        <v>133691.51999999999</v>
      </c>
      <c r="L35" s="26">
        <v>0</v>
      </c>
      <c r="M35" s="26">
        <f>+K35*9%</f>
        <v>12032.236799999999</v>
      </c>
      <c r="N35" s="26">
        <f>+K35*9%</f>
        <v>12032.236799999999</v>
      </c>
      <c r="O35" s="26">
        <f t="shared" si="6"/>
        <v>6684.576</v>
      </c>
      <c r="P35" s="26">
        <f t="shared" si="7"/>
        <v>151071.41759999999</v>
      </c>
      <c r="Q35" s="97">
        <f t="shared" si="8"/>
        <v>24064.473599999998</v>
      </c>
      <c r="R35" s="94">
        <v>43321</v>
      </c>
      <c r="S35" s="93" t="s">
        <v>134</v>
      </c>
    </row>
    <row r="36" spans="1:19" x14ac:dyDescent="0.25">
      <c r="A36" s="25">
        <v>39</v>
      </c>
      <c r="B36" s="94">
        <v>43320</v>
      </c>
      <c r="C36" s="95" t="s">
        <v>224</v>
      </c>
      <c r="D36" s="25" t="s">
        <v>116</v>
      </c>
      <c r="E36" s="25" t="s">
        <v>117</v>
      </c>
      <c r="F36" s="25" t="s">
        <v>18</v>
      </c>
      <c r="G36" s="25" t="s">
        <v>19</v>
      </c>
      <c r="H36" s="25" t="s">
        <v>134</v>
      </c>
      <c r="I36" s="26">
        <v>2817920</v>
      </c>
      <c r="J36" s="96">
        <v>0.03</v>
      </c>
      <c r="K36" s="26">
        <f t="shared" si="5"/>
        <v>84537.599999999991</v>
      </c>
      <c r="L36" s="26">
        <v>0</v>
      </c>
      <c r="M36" s="26">
        <f>+K36*9%</f>
        <v>7608.3839999999991</v>
      </c>
      <c r="N36" s="26">
        <f>+K36*9%</f>
        <v>7608.3839999999991</v>
      </c>
      <c r="O36" s="26">
        <f t="shared" si="6"/>
        <v>4226.88</v>
      </c>
      <c r="P36" s="26">
        <f t="shared" si="7"/>
        <v>95527.487999999998</v>
      </c>
      <c r="Q36" s="97">
        <f t="shared" si="8"/>
        <v>15216.767999999998</v>
      </c>
      <c r="R36" s="94">
        <v>43454</v>
      </c>
      <c r="S36" s="93" t="s">
        <v>134</v>
      </c>
    </row>
    <row r="37" spans="1:19" x14ac:dyDescent="0.25">
      <c r="A37" s="25">
        <v>40</v>
      </c>
      <c r="B37" s="94">
        <v>43320</v>
      </c>
      <c r="C37" s="95" t="s">
        <v>224</v>
      </c>
      <c r="D37" s="25" t="s">
        <v>116</v>
      </c>
      <c r="E37" s="25" t="s">
        <v>118</v>
      </c>
      <c r="F37" s="25" t="s">
        <v>18</v>
      </c>
      <c r="G37" s="25" t="s">
        <v>19</v>
      </c>
      <c r="H37" s="25" t="s">
        <v>134</v>
      </c>
      <c r="I37" s="26">
        <v>2861120</v>
      </c>
      <c r="J37" s="96">
        <v>0.03</v>
      </c>
      <c r="K37" s="26">
        <f t="shared" si="5"/>
        <v>85833.599999999991</v>
      </c>
      <c r="L37" s="26">
        <v>0</v>
      </c>
      <c r="M37" s="26">
        <f>+K37*9%</f>
        <v>7725.0239999999985</v>
      </c>
      <c r="N37" s="26">
        <f>+K37*9%</f>
        <v>7725.0239999999985</v>
      </c>
      <c r="O37" s="26">
        <f t="shared" si="6"/>
        <v>4291.6799999999994</v>
      </c>
      <c r="P37" s="26">
        <f t="shared" si="7"/>
        <v>96991.968000000008</v>
      </c>
      <c r="Q37" s="97">
        <f t="shared" si="8"/>
        <v>15450.047999999997</v>
      </c>
      <c r="R37" s="94">
        <v>43454</v>
      </c>
      <c r="S37" s="93" t="s">
        <v>134</v>
      </c>
    </row>
    <row r="38" spans="1:19" x14ac:dyDescent="0.25">
      <c r="A38" s="25">
        <v>41</v>
      </c>
      <c r="B38" s="94">
        <v>43336</v>
      </c>
      <c r="C38" s="95" t="s">
        <v>224</v>
      </c>
      <c r="D38" s="25" t="s">
        <v>119</v>
      </c>
      <c r="E38" s="25" t="s">
        <v>120</v>
      </c>
      <c r="F38" s="25" t="s">
        <v>107</v>
      </c>
      <c r="G38" s="25" t="s">
        <v>108</v>
      </c>
      <c r="H38" s="25" t="s">
        <v>135</v>
      </c>
      <c r="I38" s="26">
        <v>8628200</v>
      </c>
      <c r="J38" s="96">
        <v>0.02</v>
      </c>
      <c r="K38" s="26">
        <f t="shared" si="5"/>
        <v>172564</v>
      </c>
      <c r="L38" s="26">
        <f>+K38*18%</f>
        <v>31061.52</v>
      </c>
      <c r="M38" s="26"/>
      <c r="N38" s="26"/>
      <c r="O38" s="26">
        <f t="shared" si="6"/>
        <v>8628.2000000000007</v>
      </c>
      <c r="P38" s="26">
        <f t="shared" si="7"/>
        <v>194997.31999999998</v>
      </c>
      <c r="Q38" s="97">
        <f t="shared" si="8"/>
        <v>31061.52</v>
      </c>
      <c r="R38" s="94">
        <v>43416</v>
      </c>
      <c r="S38" s="93" t="s">
        <v>134</v>
      </c>
    </row>
    <row r="39" spans="1:19" x14ac:dyDescent="0.25">
      <c r="A39" s="25">
        <v>42</v>
      </c>
      <c r="B39" s="94">
        <v>43332</v>
      </c>
      <c r="C39" s="95" t="s">
        <v>224</v>
      </c>
      <c r="D39" s="25" t="s">
        <v>121</v>
      </c>
      <c r="E39" s="25" t="s">
        <v>122</v>
      </c>
      <c r="F39" s="25" t="s">
        <v>13</v>
      </c>
      <c r="G39" s="25" t="s">
        <v>14</v>
      </c>
      <c r="H39" s="25" t="s">
        <v>133</v>
      </c>
      <c r="I39" s="26">
        <v>5821517</v>
      </c>
      <c r="J39" s="96">
        <v>0.02</v>
      </c>
      <c r="K39" s="26">
        <f t="shared" si="5"/>
        <v>116430.34</v>
      </c>
      <c r="L39" s="26">
        <v>0</v>
      </c>
      <c r="M39" s="26">
        <f t="shared" ref="M39:M47" si="9">+K39*9%</f>
        <v>10478.730599999999</v>
      </c>
      <c r="N39" s="26">
        <f t="shared" ref="N39:N47" si="10">+K39*9%</f>
        <v>10478.730599999999</v>
      </c>
      <c r="O39" s="26">
        <f t="shared" si="6"/>
        <v>5821.5169999999998</v>
      </c>
      <c r="P39" s="26">
        <f t="shared" si="7"/>
        <v>131566.28419999999</v>
      </c>
      <c r="Q39" s="97">
        <f t="shared" si="8"/>
        <v>20957.461199999998</v>
      </c>
      <c r="R39" s="94">
        <v>43353</v>
      </c>
      <c r="S39" s="93" t="s">
        <v>133</v>
      </c>
    </row>
    <row r="40" spans="1:19" x14ac:dyDescent="0.25">
      <c r="A40" s="25">
        <v>43</v>
      </c>
      <c r="B40" s="94">
        <v>43364</v>
      </c>
      <c r="C40" s="99" t="s">
        <v>220</v>
      </c>
      <c r="D40" s="25" t="s">
        <v>139</v>
      </c>
      <c r="E40" s="25" t="s">
        <v>140</v>
      </c>
      <c r="F40" s="25" t="s">
        <v>91</v>
      </c>
      <c r="G40" s="25" t="s">
        <v>141</v>
      </c>
      <c r="H40" s="25" t="s">
        <v>133</v>
      </c>
      <c r="I40" s="26">
        <v>8600645</v>
      </c>
      <c r="J40" s="96">
        <v>1.2E-2</v>
      </c>
      <c r="K40" s="26">
        <f t="shared" si="5"/>
        <v>103207.74</v>
      </c>
      <c r="L40" s="26"/>
      <c r="M40" s="26">
        <f t="shared" si="9"/>
        <v>9288.6965999999993</v>
      </c>
      <c r="N40" s="26">
        <f t="shared" si="10"/>
        <v>9288.6965999999993</v>
      </c>
      <c r="O40" s="26">
        <f t="shared" si="6"/>
        <v>5160.3870000000006</v>
      </c>
      <c r="P40" s="26">
        <f t="shared" si="7"/>
        <v>116624.74619999999</v>
      </c>
      <c r="Q40" s="97">
        <f t="shared" si="8"/>
        <v>18577.393199999999</v>
      </c>
      <c r="R40" s="94">
        <v>43388</v>
      </c>
      <c r="S40" s="93" t="s">
        <v>133</v>
      </c>
    </row>
    <row r="41" spans="1:19" x14ac:dyDescent="0.25">
      <c r="A41" s="25">
        <v>44</v>
      </c>
      <c r="B41" s="94">
        <v>43336</v>
      </c>
      <c r="C41" s="95" t="s">
        <v>224</v>
      </c>
      <c r="D41" s="25" t="s">
        <v>142</v>
      </c>
      <c r="E41" s="25" t="s">
        <v>143</v>
      </c>
      <c r="F41" s="25" t="s">
        <v>47</v>
      </c>
      <c r="G41" s="25" t="s">
        <v>131</v>
      </c>
      <c r="H41" s="25" t="s">
        <v>134</v>
      </c>
      <c r="I41" s="26">
        <v>4201518</v>
      </c>
      <c r="J41" s="96">
        <v>0.03</v>
      </c>
      <c r="K41" s="26">
        <f t="shared" si="5"/>
        <v>126045.54</v>
      </c>
      <c r="L41" s="26"/>
      <c r="M41" s="26">
        <f t="shared" si="9"/>
        <v>11344.098599999999</v>
      </c>
      <c r="N41" s="26">
        <f t="shared" si="10"/>
        <v>11344.098599999999</v>
      </c>
      <c r="O41" s="26">
        <f t="shared" si="6"/>
        <v>6302.277</v>
      </c>
      <c r="P41" s="26">
        <f t="shared" si="7"/>
        <v>142431.4602</v>
      </c>
      <c r="Q41" s="97">
        <f t="shared" si="8"/>
        <v>22688.197199999999</v>
      </c>
      <c r="R41" s="25" t="s">
        <v>144</v>
      </c>
      <c r="S41" s="93" t="s">
        <v>134</v>
      </c>
    </row>
    <row r="42" spans="1:19" x14ac:dyDescent="0.25">
      <c r="A42" s="25">
        <v>45</v>
      </c>
      <c r="B42" s="25" t="s">
        <v>147</v>
      </c>
      <c r="C42" s="95" t="s">
        <v>224</v>
      </c>
      <c r="D42" s="25" t="s">
        <v>148</v>
      </c>
      <c r="E42" s="25" t="s">
        <v>149</v>
      </c>
      <c r="F42" s="25" t="s">
        <v>18</v>
      </c>
      <c r="G42" s="25" t="s">
        <v>127</v>
      </c>
      <c r="H42" s="25" t="s">
        <v>134</v>
      </c>
      <c r="I42" s="26">
        <v>4572300</v>
      </c>
      <c r="J42" s="96">
        <v>0.03</v>
      </c>
      <c r="K42" s="26">
        <f t="shared" si="5"/>
        <v>137169</v>
      </c>
      <c r="L42" s="26"/>
      <c r="M42" s="26">
        <f t="shared" si="9"/>
        <v>12345.21</v>
      </c>
      <c r="N42" s="26">
        <f t="shared" si="10"/>
        <v>12345.21</v>
      </c>
      <c r="O42" s="26">
        <f t="shared" si="6"/>
        <v>6858.4500000000007</v>
      </c>
      <c r="P42" s="26">
        <f t="shared" si="7"/>
        <v>155000.96999999997</v>
      </c>
      <c r="Q42" s="97">
        <f t="shared" si="8"/>
        <v>24690.42</v>
      </c>
      <c r="R42" s="94">
        <v>43454</v>
      </c>
      <c r="S42" s="93" t="s">
        <v>134</v>
      </c>
    </row>
    <row r="43" spans="1:19" x14ac:dyDescent="0.25">
      <c r="A43" s="25">
        <v>46</v>
      </c>
      <c r="B43" s="94">
        <v>43347</v>
      </c>
      <c r="C43" s="99" t="s">
        <v>220</v>
      </c>
      <c r="D43" s="25" t="s">
        <v>154</v>
      </c>
      <c r="E43" s="25" t="s">
        <v>155</v>
      </c>
      <c r="F43" s="25" t="s">
        <v>156</v>
      </c>
      <c r="G43" s="25" t="s">
        <v>157</v>
      </c>
      <c r="H43" s="25" t="s">
        <v>133</v>
      </c>
      <c r="I43" s="26">
        <v>3937674</v>
      </c>
      <c r="J43" s="96">
        <v>0.02</v>
      </c>
      <c r="K43" s="26">
        <f t="shared" si="5"/>
        <v>78753.48</v>
      </c>
      <c r="L43" s="26"/>
      <c r="M43" s="26">
        <f t="shared" si="9"/>
        <v>7087.8131999999996</v>
      </c>
      <c r="N43" s="26">
        <f t="shared" si="10"/>
        <v>7087.8131999999996</v>
      </c>
      <c r="O43" s="26">
        <f t="shared" si="6"/>
        <v>3937.674</v>
      </c>
      <c r="P43" s="26">
        <f t="shared" si="7"/>
        <v>88991.432400000005</v>
      </c>
      <c r="Q43" s="97">
        <f t="shared" si="8"/>
        <v>14175.626399999999</v>
      </c>
      <c r="R43" s="94">
        <v>43370</v>
      </c>
      <c r="S43" s="93" t="s">
        <v>133</v>
      </c>
    </row>
    <row r="44" spans="1:19" x14ac:dyDescent="0.25">
      <c r="A44" s="25">
        <v>47</v>
      </c>
      <c r="B44" s="94">
        <v>43348</v>
      </c>
      <c r="C44" s="99" t="s">
        <v>220</v>
      </c>
      <c r="D44" s="25" t="s">
        <v>151</v>
      </c>
      <c r="E44" s="25" t="s">
        <v>152</v>
      </c>
      <c r="F44" s="25" t="s">
        <v>78</v>
      </c>
      <c r="G44" s="25" t="s">
        <v>153</v>
      </c>
      <c r="H44" s="25" t="s">
        <v>134</v>
      </c>
      <c r="I44" s="26">
        <v>4105008</v>
      </c>
      <c r="J44" s="96">
        <v>0.02</v>
      </c>
      <c r="K44" s="26">
        <f t="shared" si="5"/>
        <v>82100.160000000003</v>
      </c>
      <c r="L44" s="26"/>
      <c r="M44" s="26">
        <f t="shared" si="9"/>
        <v>7389.0144</v>
      </c>
      <c r="N44" s="26">
        <f t="shared" si="10"/>
        <v>7389.0144</v>
      </c>
      <c r="O44" s="26">
        <f t="shared" si="6"/>
        <v>4105.0080000000007</v>
      </c>
      <c r="P44" s="26">
        <f t="shared" si="7"/>
        <v>92773.180800000002</v>
      </c>
      <c r="Q44" s="97">
        <f t="shared" si="8"/>
        <v>14778.0288</v>
      </c>
      <c r="R44" s="94">
        <v>43440</v>
      </c>
      <c r="S44" s="93" t="s">
        <v>134</v>
      </c>
    </row>
    <row r="45" spans="1:19" x14ac:dyDescent="0.25">
      <c r="A45" s="25">
        <v>48</v>
      </c>
      <c r="B45" s="94">
        <v>43372</v>
      </c>
      <c r="C45" s="99" t="s">
        <v>220</v>
      </c>
      <c r="D45" s="25" t="s">
        <v>158</v>
      </c>
      <c r="E45" s="25" t="s">
        <v>159</v>
      </c>
      <c r="F45" s="25" t="s">
        <v>91</v>
      </c>
      <c r="G45" s="25" t="s">
        <v>141</v>
      </c>
      <c r="H45" s="25" t="s">
        <v>133</v>
      </c>
      <c r="I45" s="26">
        <v>5800203</v>
      </c>
      <c r="J45" s="96">
        <v>1.2E-2</v>
      </c>
      <c r="K45" s="26">
        <f t="shared" si="5"/>
        <v>69602.436000000002</v>
      </c>
      <c r="L45" s="26"/>
      <c r="M45" s="26">
        <f t="shared" si="9"/>
        <v>6264.2192400000004</v>
      </c>
      <c r="N45" s="26">
        <f t="shared" si="10"/>
        <v>6264.2192400000004</v>
      </c>
      <c r="O45" s="26">
        <f t="shared" si="6"/>
        <v>3480.1218000000003</v>
      </c>
      <c r="P45" s="26">
        <f t="shared" si="7"/>
        <v>78650.75268000002</v>
      </c>
      <c r="Q45" s="97">
        <f t="shared" si="8"/>
        <v>12528.438480000001</v>
      </c>
      <c r="R45" s="94">
        <v>43388</v>
      </c>
      <c r="S45" s="93" t="s">
        <v>133</v>
      </c>
    </row>
    <row r="46" spans="1:19" x14ac:dyDescent="0.25">
      <c r="A46" s="25"/>
      <c r="B46" s="94">
        <v>43374</v>
      </c>
      <c r="C46" s="95" t="s">
        <v>222</v>
      </c>
      <c r="D46" s="25" t="s">
        <v>309</v>
      </c>
      <c r="E46" s="25" t="s">
        <v>311</v>
      </c>
      <c r="F46" s="25" t="s">
        <v>310</v>
      </c>
      <c r="G46" s="25" t="s">
        <v>310</v>
      </c>
      <c r="H46" s="25" t="s">
        <v>134</v>
      </c>
      <c r="I46" s="26"/>
      <c r="J46" s="96">
        <v>0.02</v>
      </c>
      <c r="K46" s="26">
        <v>201078</v>
      </c>
      <c r="L46" s="26"/>
      <c r="M46" s="26">
        <f t="shared" si="9"/>
        <v>18097.02</v>
      </c>
      <c r="N46" s="26">
        <f t="shared" si="10"/>
        <v>18097.02</v>
      </c>
      <c r="O46" s="26">
        <f t="shared" si="6"/>
        <v>10053.900000000001</v>
      </c>
      <c r="P46" s="26">
        <f t="shared" si="7"/>
        <v>227218.13999999998</v>
      </c>
      <c r="Q46" s="97">
        <f t="shared" si="8"/>
        <v>36194.04</v>
      </c>
      <c r="R46" s="94"/>
      <c r="S46" s="93" t="s">
        <v>134</v>
      </c>
    </row>
    <row r="47" spans="1:19" x14ac:dyDescent="0.25">
      <c r="A47" s="25">
        <v>49</v>
      </c>
      <c r="B47" s="94">
        <v>43430</v>
      </c>
      <c r="C47" s="102" t="s">
        <v>225</v>
      </c>
      <c r="D47" s="25" t="s">
        <v>162</v>
      </c>
      <c r="E47" s="25" t="s">
        <v>163</v>
      </c>
      <c r="F47" s="25" t="s">
        <v>91</v>
      </c>
      <c r="G47" s="25" t="s">
        <v>92</v>
      </c>
      <c r="H47" s="25" t="s">
        <v>133</v>
      </c>
      <c r="I47" s="26">
        <v>6457500</v>
      </c>
      <c r="J47" s="96">
        <v>0.02</v>
      </c>
      <c r="K47" s="26">
        <f t="shared" ref="K47:K72" si="11">+I47*J47</f>
        <v>129150</v>
      </c>
      <c r="L47" s="26"/>
      <c r="M47" s="26">
        <f t="shared" si="9"/>
        <v>11623.5</v>
      </c>
      <c r="N47" s="26">
        <f t="shared" si="10"/>
        <v>11623.5</v>
      </c>
      <c r="O47" s="26">
        <f t="shared" si="6"/>
        <v>6457.5</v>
      </c>
      <c r="P47" s="26">
        <f t="shared" si="7"/>
        <v>145939.5</v>
      </c>
      <c r="Q47" s="97">
        <f t="shared" si="8"/>
        <v>23247</v>
      </c>
      <c r="R47" s="94">
        <v>43466</v>
      </c>
      <c r="S47" s="93" t="s">
        <v>133</v>
      </c>
    </row>
    <row r="48" spans="1:19" x14ac:dyDescent="0.25">
      <c r="A48" s="25">
        <v>50</v>
      </c>
      <c r="B48" s="94">
        <v>43377</v>
      </c>
      <c r="C48" s="95" t="s">
        <v>222</v>
      </c>
      <c r="D48" s="25" t="s">
        <v>164</v>
      </c>
      <c r="E48" s="25" t="s">
        <v>165</v>
      </c>
      <c r="F48" s="25" t="s">
        <v>166</v>
      </c>
      <c r="G48" s="25" t="s">
        <v>167</v>
      </c>
      <c r="H48" s="25" t="s">
        <v>135</v>
      </c>
      <c r="I48" s="26">
        <v>10037780</v>
      </c>
      <c r="J48" s="96">
        <v>0.02</v>
      </c>
      <c r="K48" s="26">
        <f t="shared" si="11"/>
        <v>200755.6</v>
      </c>
      <c r="L48" s="26">
        <f>+K48*18%</f>
        <v>36136.008000000002</v>
      </c>
      <c r="M48" s="26">
        <v>0</v>
      </c>
      <c r="N48" s="26">
        <v>0</v>
      </c>
      <c r="O48" s="26">
        <f t="shared" si="6"/>
        <v>10037.780000000001</v>
      </c>
      <c r="P48" s="26">
        <f t="shared" si="7"/>
        <v>226853.82800000001</v>
      </c>
      <c r="Q48" s="97">
        <f t="shared" si="8"/>
        <v>36136.008000000002</v>
      </c>
      <c r="R48" s="94">
        <v>43416</v>
      </c>
      <c r="S48" s="93" t="s">
        <v>134</v>
      </c>
    </row>
    <row r="49" spans="1:19" x14ac:dyDescent="0.25">
      <c r="A49" s="25">
        <v>51</v>
      </c>
      <c r="B49" s="94">
        <v>43371</v>
      </c>
      <c r="C49" s="99" t="s">
        <v>220</v>
      </c>
      <c r="D49" s="25" t="s">
        <v>168</v>
      </c>
      <c r="E49" s="25" t="s">
        <v>169</v>
      </c>
      <c r="F49" s="25" t="s">
        <v>170</v>
      </c>
      <c r="G49" s="25" t="s">
        <v>171</v>
      </c>
      <c r="H49" s="25" t="s">
        <v>134</v>
      </c>
      <c r="I49" s="26">
        <v>8527200</v>
      </c>
      <c r="J49" s="96">
        <v>2.5000000000000001E-2</v>
      </c>
      <c r="K49" s="26">
        <f t="shared" si="11"/>
        <v>213180</v>
      </c>
      <c r="L49" s="26"/>
      <c r="M49" s="26">
        <f>+K49*9%</f>
        <v>19186.2</v>
      </c>
      <c r="N49" s="26">
        <f>+K49*9%</f>
        <v>19186.2</v>
      </c>
      <c r="O49" s="26">
        <f t="shared" si="6"/>
        <v>10659</v>
      </c>
      <c r="P49" s="26">
        <f t="shared" si="7"/>
        <v>240893.40000000002</v>
      </c>
      <c r="Q49" s="97">
        <f t="shared" si="8"/>
        <v>38372.400000000001</v>
      </c>
      <c r="R49" s="94">
        <v>43403</v>
      </c>
      <c r="S49" s="93" t="s">
        <v>134</v>
      </c>
    </row>
    <row r="50" spans="1:19" x14ac:dyDescent="0.25">
      <c r="A50" s="25">
        <v>52</v>
      </c>
      <c r="B50" s="25" t="s">
        <v>144</v>
      </c>
      <c r="C50" s="95" t="s">
        <v>222</v>
      </c>
      <c r="D50" s="25" t="s">
        <v>172</v>
      </c>
      <c r="E50" s="25" t="s">
        <v>173</v>
      </c>
      <c r="F50" s="25" t="s">
        <v>78</v>
      </c>
      <c r="G50" s="25" t="s">
        <v>174</v>
      </c>
      <c r="H50" s="25" t="s">
        <v>134</v>
      </c>
      <c r="I50" s="26">
        <v>5103696</v>
      </c>
      <c r="J50" s="96">
        <v>0.03</v>
      </c>
      <c r="K50" s="26">
        <f t="shared" si="11"/>
        <v>153110.88</v>
      </c>
      <c r="L50" s="26"/>
      <c r="M50" s="26">
        <f>+K50*9%</f>
        <v>13779.9792</v>
      </c>
      <c r="N50" s="26">
        <f>+K50*9%</f>
        <v>13779.9792</v>
      </c>
      <c r="O50" s="26">
        <f t="shared" si="6"/>
        <v>7655.5440000000008</v>
      </c>
      <c r="P50" s="26">
        <f t="shared" si="7"/>
        <v>173015.29440000001</v>
      </c>
      <c r="Q50" s="97">
        <f t="shared" si="8"/>
        <v>27559.9584</v>
      </c>
      <c r="R50" s="25" t="s">
        <v>130</v>
      </c>
      <c r="S50" s="93" t="s">
        <v>134</v>
      </c>
    </row>
    <row r="51" spans="1:19" x14ac:dyDescent="0.25">
      <c r="A51" s="25">
        <v>53</v>
      </c>
      <c r="B51" s="25" t="s">
        <v>180</v>
      </c>
      <c r="C51" s="95" t="s">
        <v>222</v>
      </c>
      <c r="D51" s="25" t="s">
        <v>181</v>
      </c>
      <c r="E51" s="25" t="s">
        <v>182</v>
      </c>
      <c r="F51" s="25" t="s">
        <v>18</v>
      </c>
      <c r="G51" s="25" t="s">
        <v>127</v>
      </c>
      <c r="H51" s="25" t="s">
        <v>134</v>
      </c>
      <c r="I51" s="26">
        <v>4935900</v>
      </c>
      <c r="J51" s="96">
        <v>0.03</v>
      </c>
      <c r="K51" s="26">
        <f t="shared" si="11"/>
        <v>148077</v>
      </c>
      <c r="L51" s="26"/>
      <c r="M51" s="26">
        <v>13326.93</v>
      </c>
      <c r="N51" s="26">
        <v>13326.93</v>
      </c>
      <c r="O51" s="26">
        <v>7403.85</v>
      </c>
      <c r="P51" s="26">
        <f t="shared" si="7"/>
        <v>167327.00999999998</v>
      </c>
      <c r="Q51" s="97">
        <f t="shared" si="8"/>
        <v>26653.86</v>
      </c>
      <c r="R51" s="94">
        <v>43454</v>
      </c>
      <c r="S51" s="93" t="s">
        <v>134</v>
      </c>
    </row>
    <row r="52" spans="1:19" x14ac:dyDescent="0.25">
      <c r="A52" s="25">
        <v>54</v>
      </c>
      <c r="B52" s="94">
        <v>43376</v>
      </c>
      <c r="C52" s="95" t="s">
        <v>222</v>
      </c>
      <c r="D52" s="25" t="s">
        <v>183</v>
      </c>
      <c r="E52" s="25" t="s">
        <v>150</v>
      </c>
      <c r="F52" s="25" t="s">
        <v>18</v>
      </c>
      <c r="G52" s="25" t="s">
        <v>127</v>
      </c>
      <c r="H52" s="25" t="s">
        <v>134</v>
      </c>
      <c r="I52" s="26">
        <v>4980000</v>
      </c>
      <c r="J52" s="96">
        <v>0.02</v>
      </c>
      <c r="K52" s="26">
        <f t="shared" si="11"/>
        <v>99600</v>
      </c>
      <c r="L52" s="26"/>
      <c r="M52" s="26">
        <f>+K52*9%</f>
        <v>8964</v>
      </c>
      <c r="N52" s="26">
        <f>+K52*9%</f>
        <v>8964</v>
      </c>
      <c r="O52" s="26">
        <f t="shared" ref="O52:O79" si="12">+K52*5%</f>
        <v>4980</v>
      </c>
      <c r="P52" s="26">
        <f t="shared" si="7"/>
        <v>112548</v>
      </c>
      <c r="Q52" s="97">
        <f t="shared" si="8"/>
        <v>17928</v>
      </c>
      <c r="R52" s="94">
        <v>43454</v>
      </c>
      <c r="S52" s="93" t="s">
        <v>134</v>
      </c>
    </row>
    <row r="53" spans="1:19" x14ac:dyDescent="0.25">
      <c r="A53" s="25">
        <v>55</v>
      </c>
      <c r="B53" s="25" t="s">
        <v>175</v>
      </c>
      <c r="C53" s="95" t="s">
        <v>222</v>
      </c>
      <c r="D53" s="25" t="s">
        <v>176</v>
      </c>
      <c r="E53" s="25" t="s">
        <v>177</v>
      </c>
      <c r="F53" s="25" t="s">
        <v>178</v>
      </c>
      <c r="G53" s="25"/>
      <c r="H53" s="25" t="s">
        <v>179</v>
      </c>
      <c r="I53" s="26">
        <v>3000000</v>
      </c>
      <c r="J53" s="96">
        <v>1.2500000000000001E-2</v>
      </c>
      <c r="K53" s="26">
        <f t="shared" si="11"/>
        <v>37500</v>
      </c>
      <c r="L53" s="26">
        <f>+K53*18%</f>
        <v>6750</v>
      </c>
      <c r="M53" s="26"/>
      <c r="N53" s="26"/>
      <c r="O53" s="26">
        <f t="shared" si="12"/>
        <v>1875</v>
      </c>
      <c r="P53" s="26">
        <f t="shared" si="7"/>
        <v>42375</v>
      </c>
      <c r="Q53" s="97">
        <f t="shared" si="8"/>
        <v>6750</v>
      </c>
      <c r="R53" s="25" t="s">
        <v>130</v>
      </c>
      <c r="S53" s="93" t="s">
        <v>134</v>
      </c>
    </row>
    <row r="54" spans="1:19" x14ac:dyDescent="0.25">
      <c r="A54" s="103"/>
      <c r="B54" s="104">
        <v>43425</v>
      </c>
      <c r="C54" s="102" t="s">
        <v>225</v>
      </c>
      <c r="D54" s="103" t="s">
        <v>312</v>
      </c>
      <c r="E54" s="103" t="s">
        <v>313</v>
      </c>
      <c r="F54" s="103" t="s">
        <v>170</v>
      </c>
      <c r="G54" s="103" t="s">
        <v>314</v>
      </c>
      <c r="H54" s="103" t="s">
        <v>134</v>
      </c>
      <c r="I54" s="105">
        <v>7156500</v>
      </c>
      <c r="J54" s="106">
        <v>2.5000000000000001E-2</v>
      </c>
      <c r="K54" s="105">
        <f t="shared" si="11"/>
        <v>178912.5</v>
      </c>
      <c r="L54" s="105"/>
      <c r="M54" s="26">
        <f>+K54*9%</f>
        <v>16102.125</v>
      </c>
      <c r="N54" s="26">
        <f>+K54*9%</f>
        <v>16102.125</v>
      </c>
      <c r="O54" s="26">
        <f t="shared" si="12"/>
        <v>8945.625</v>
      </c>
      <c r="P54" s="26">
        <f t="shared" si="7"/>
        <v>202171.125</v>
      </c>
      <c r="Q54" s="97">
        <f t="shared" si="8"/>
        <v>32204.25</v>
      </c>
      <c r="R54" s="103"/>
      <c r="S54" s="93" t="s">
        <v>134</v>
      </c>
    </row>
    <row r="55" spans="1:19" x14ac:dyDescent="0.25">
      <c r="A55" s="25">
        <v>61</v>
      </c>
      <c r="B55" s="94">
        <v>43487</v>
      </c>
      <c r="C55" s="95" t="s">
        <v>227</v>
      </c>
      <c r="D55" s="25" t="s">
        <v>193</v>
      </c>
      <c r="E55" s="25" t="s">
        <v>145</v>
      </c>
      <c r="F55" s="25" t="s">
        <v>27</v>
      </c>
      <c r="G55" s="25" t="s">
        <v>28</v>
      </c>
      <c r="H55" s="25" t="s">
        <v>133</v>
      </c>
      <c r="I55" s="26">
        <v>6237633</v>
      </c>
      <c r="J55" s="96">
        <v>0.02</v>
      </c>
      <c r="K55" s="26">
        <f t="shared" si="11"/>
        <v>124752.66</v>
      </c>
      <c r="L55" s="26"/>
      <c r="M55" s="26">
        <f>+K55*9%</f>
        <v>11227.7394</v>
      </c>
      <c r="N55" s="26">
        <f>+K55*9%</f>
        <v>11227.7394</v>
      </c>
      <c r="O55" s="26">
        <f t="shared" si="12"/>
        <v>6237.6330000000007</v>
      </c>
      <c r="P55" s="26">
        <f t="shared" si="7"/>
        <v>140970.50579999998</v>
      </c>
      <c r="Q55" s="97">
        <f t="shared" si="8"/>
        <v>22455.478800000001</v>
      </c>
      <c r="R55" s="25" t="s">
        <v>130</v>
      </c>
      <c r="S55" s="25" t="s">
        <v>133</v>
      </c>
    </row>
    <row r="56" spans="1:19" x14ac:dyDescent="0.25">
      <c r="A56" s="25">
        <v>62</v>
      </c>
      <c r="B56" s="94">
        <v>43426</v>
      </c>
      <c r="C56" s="102" t="s">
        <v>225</v>
      </c>
      <c r="D56" s="25" t="s">
        <v>192</v>
      </c>
      <c r="E56" s="25" t="s">
        <v>146</v>
      </c>
      <c r="F56" s="25" t="s">
        <v>27</v>
      </c>
      <c r="G56" s="25" t="s">
        <v>28</v>
      </c>
      <c r="H56" s="25" t="s">
        <v>133</v>
      </c>
      <c r="I56" s="26">
        <v>6241733</v>
      </c>
      <c r="J56" s="96">
        <v>0.02</v>
      </c>
      <c r="K56" s="26">
        <f t="shared" si="11"/>
        <v>124834.66</v>
      </c>
      <c r="L56" s="26"/>
      <c r="M56" s="26">
        <f>+K56*9%</f>
        <v>11235.1194</v>
      </c>
      <c r="N56" s="26">
        <f>+K56*9%</f>
        <v>11235.1194</v>
      </c>
      <c r="O56" s="26">
        <f t="shared" si="12"/>
        <v>6241.7330000000002</v>
      </c>
      <c r="P56" s="26">
        <f t="shared" si="7"/>
        <v>141063.16579999999</v>
      </c>
      <c r="Q56" s="97">
        <f t="shared" si="8"/>
        <v>22470.238799999999</v>
      </c>
      <c r="R56" s="25" t="s">
        <v>130</v>
      </c>
      <c r="S56" s="25" t="s">
        <v>133</v>
      </c>
    </row>
    <row r="57" spans="1:19" x14ac:dyDescent="0.25">
      <c r="A57" s="25">
        <v>63</v>
      </c>
      <c r="B57" s="94">
        <v>43435</v>
      </c>
      <c r="C57" s="95" t="s">
        <v>226</v>
      </c>
      <c r="D57" s="25" t="s">
        <v>194</v>
      </c>
      <c r="E57" s="25" t="s">
        <v>195</v>
      </c>
      <c r="F57" s="25" t="s">
        <v>52</v>
      </c>
      <c r="G57" s="25" t="s">
        <v>53</v>
      </c>
      <c r="H57" s="25" t="s">
        <v>135</v>
      </c>
      <c r="I57" s="26">
        <v>43200000</v>
      </c>
      <c r="J57" s="27">
        <v>0.02</v>
      </c>
      <c r="K57" s="26">
        <f t="shared" si="11"/>
        <v>864000</v>
      </c>
      <c r="L57" s="26">
        <f>+K57*18%</f>
        <v>155520</v>
      </c>
      <c r="M57" s="26">
        <v>0</v>
      </c>
      <c r="N57" s="26">
        <v>0</v>
      </c>
      <c r="O57" s="26">
        <f t="shared" si="12"/>
        <v>43200</v>
      </c>
      <c r="P57" s="26">
        <f t="shared" si="7"/>
        <v>976320</v>
      </c>
      <c r="Q57" s="97">
        <f t="shared" si="8"/>
        <v>155520</v>
      </c>
      <c r="R57" s="94">
        <v>43439</v>
      </c>
      <c r="S57" s="25" t="s">
        <v>134</v>
      </c>
    </row>
    <row r="58" spans="1:19" x14ac:dyDescent="0.25">
      <c r="A58" s="25">
        <v>64</v>
      </c>
      <c r="B58" s="94">
        <v>43440</v>
      </c>
      <c r="C58" s="95" t="s">
        <v>226</v>
      </c>
      <c r="D58" s="25" t="s">
        <v>196</v>
      </c>
      <c r="E58" s="25" t="s">
        <v>197</v>
      </c>
      <c r="F58" s="25" t="s">
        <v>111</v>
      </c>
      <c r="G58" s="25" t="s">
        <v>112</v>
      </c>
      <c r="H58" s="25" t="s">
        <v>133</v>
      </c>
      <c r="I58" s="26">
        <v>8751000</v>
      </c>
      <c r="J58" s="27">
        <v>0.03</v>
      </c>
      <c r="K58" s="26">
        <f t="shared" si="11"/>
        <v>262530</v>
      </c>
      <c r="L58" s="26"/>
      <c r="M58" s="26">
        <f t="shared" ref="M58:M65" si="13">+K58*9%</f>
        <v>23627.7</v>
      </c>
      <c r="N58" s="26">
        <f t="shared" ref="N58:N65" si="14">+K58*9%</f>
        <v>23627.7</v>
      </c>
      <c r="O58" s="26">
        <f t="shared" si="12"/>
        <v>13126.5</v>
      </c>
      <c r="P58" s="26">
        <f t="shared" si="7"/>
        <v>296658.90000000002</v>
      </c>
      <c r="Q58" s="97">
        <f t="shared" si="8"/>
        <v>47255.4</v>
      </c>
      <c r="R58" s="25" t="s">
        <v>130</v>
      </c>
      <c r="S58" s="25" t="s">
        <v>133</v>
      </c>
    </row>
    <row r="59" spans="1:19" x14ac:dyDescent="0.25">
      <c r="A59" s="25">
        <v>65</v>
      </c>
      <c r="B59" s="94">
        <v>43453</v>
      </c>
      <c r="C59" s="95" t="s">
        <v>226</v>
      </c>
      <c r="D59" s="25" t="s">
        <v>198</v>
      </c>
      <c r="E59" s="25" t="s">
        <v>199</v>
      </c>
      <c r="F59" s="25" t="s">
        <v>78</v>
      </c>
      <c r="G59" s="25" t="s">
        <v>153</v>
      </c>
      <c r="H59" s="25" t="s">
        <v>134</v>
      </c>
      <c r="I59" s="26">
        <v>6471407</v>
      </c>
      <c r="J59" s="27">
        <v>0.02</v>
      </c>
      <c r="K59" s="26">
        <f t="shared" si="11"/>
        <v>129428.14</v>
      </c>
      <c r="L59" s="25"/>
      <c r="M59" s="26">
        <f t="shared" si="13"/>
        <v>11648.532599999999</v>
      </c>
      <c r="N59" s="26">
        <f t="shared" si="14"/>
        <v>11648.532599999999</v>
      </c>
      <c r="O59" s="26">
        <f t="shared" si="12"/>
        <v>6471.4070000000002</v>
      </c>
      <c r="P59" s="26">
        <f t="shared" si="7"/>
        <v>146253.79819999999</v>
      </c>
      <c r="Q59" s="97">
        <f t="shared" si="8"/>
        <v>23297.065199999997</v>
      </c>
      <c r="R59" s="25" t="s">
        <v>130</v>
      </c>
      <c r="S59" s="25" t="s">
        <v>134</v>
      </c>
    </row>
    <row r="60" spans="1:19" x14ac:dyDescent="0.25">
      <c r="A60" s="25">
        <v>66</v>
      </c>
      <c r="B60" s="94">
        <v>43473</v>
      </c>
      <c r="C60" s="95" t="s">
        <v>227</v>
      </c>
      <c r="D60" s="94" t="s">
        <v>200</v>
      </c>
      <c r="E60" s="25" t="s">
        <v>201</v>
      </c>
      <c r="F60" s="25" t="s">
        <v>202</v>
      </c>
      <c r="G60" s="25" t="s">
        <v>203</v>
      </c>
      <c r="H60" s="25" t="s">
        <v>134</v>
      </c>
      <c r="I60" s="26">
        <v>9414344</v>
      </c>
      <c r="J60" s="27">
        <v>0.02</v>
      </c>
      <c r="K60" s="26">
        <f t="shared" si="11"/>
        <v>188286.88</v>
      </c>
      <c r="L60" s="25"/>
      <c r="M60" s="26">
        <f t="shared" si="13"/>
        <v>16945.819199999998</v>
      </c>
      <c r="N60" s="26">
        <f t="shared" si="14"/>
        <v>16945.819199999998</v>
      </c>
      <c r="O60" s="26">
        <f t="shared" si="12"/>
        <v>9414.344000000001</v>
      </c>
      <c r="P60" s="26">
        <f t="shared" si="7"/>
        <v>212764.17439999999</v>
      </c>
      <c r="Q60" s="97">
        <f t="shared" si="8"/>
        <v>33891.638399999996</v>
      </c>
      <c r="R60" s="25" t="s">
        <v>130</v>
      </c>
      <c r="S60" s="25" t="s">
        <v>134</v>
      </c>
    </row>
    <row r="61" spans="1:19" x14ac:dyDescent="0.25">
      <c r="A61" s="25">
        <v>67</v>
      </c>
      <c r="B61" s="94">
        <v>43525</v>
      </c>
      <c r="C61" s="95" t="s">
        <v>283</v>
      </c>
      <c r="D61" s="25" t="s">
        <v>204</v>
      </c>
      <c r="E61" s="25" t="s">
        <v>206</v>
      </c>
      <c r="F61" s="25" t="s">
        <v>111</v>
      </c>
      <c r="G61" s="25" t="s">
        <v>208</v>
      </c>
      <c r="H61" s="25" t="s">
        <v>133</v>
      </c>
      <c r="I61" s="26">
        <v>8708000</v>
      </c>
      <c r="J61" s="27">
        <v>0.03</v>
      </c>
      <c r="K61" s="26">
        <f t="shared" si="11"/>
        <v>261240</v>
      </c>
      <c r="L61" s="25"/>
      <c r="M61" s="26">
        <f t="shared" si="13"/>
        <v>23511.599999999999</v>
      </c>
      <c r="N61" s="26">
        <f t="shared" si="14"/>
        <v>23511.599999999999</v>
      </c>
      <c r="O61" s="26">
        <f t="shared" si="12"/>
        <v>13062</v>
      </c>
      <c r="P61" s="26">
        <f t="shared" si="7"/>
        <v>295201.19999999995</v>
      </c>
      <c r="Q61" s="97">
        <f t="shared" si="8"/>
        <v>47023.199999999997</v>
      </c>
      <c r="R61" s="25" t="s">
        <v>130</v>
      </c>
      <c r="S61" s="25" t="s">
        <v>133</v>
      </c>
    </row>
    <row r="62" spans="1:19" x14ac:dyDescent="0.25">
      <c r="A62" s="25">
        <v>68</v>
      </c>
      <c r="B62" s="94">
        <v>43445</v>
      </c>
      <c r="C62" s="95" t="s">
        <v>226</v>
      </c>
      <c r="D62" s="25" t="s">
        <v>205</v>
      </c>
      <c r="E62" s="25" t="s">
        <v>207</v>
      </c>
      <c r="F62" s="25" t="s">
        <v>111</v>
      </c>
      <c r="G62" s="25" t="s">
        <v>208</v>
      </c>
      <c r="H62" s="25" t="s">
        <v>133</v>
      </c>
      <c r="I62" s="26">
        <v>7967000</v>
      </c>
      <c r="J62" s="27">
        <v>2.75E-2</v>
      </c>
      <c r="K62" s="26">
        <f t="shared" si="11"/>
        <v>219092.5</v>
      </c>
      <c r="L62" s="25"/>
      <c r="M62" s="26">
        <f t="shared" si="13"/>
        <v>19718.325000000001</v>
      </c>
      <c r="N62" s="26">
        <f t="shared" si="14"/>
        <v>19718.325000000001</v>
      </c>
      <c r="O62" s="26">
        <f t="shared" si="12"/>
        <v>10954.625</v>
      </c>
      <c r="P62" s="26">
        <f t="shared" si="7"/>
        <v>247574.52500000002</v>
      </c>
      <c r="Q62" s="97">
        <f t="shared" si="8"/>
        <v>39436.65</v>
      </c>
      <c r="R62" s="25" t="s">
        <v>130</v>
      </c>
      <c r="S62" s="25" t="s">
        <v>133</v>
      </c>
    </row>
    <row r="63" spans="1:19" x14ac:dyDescent="0.25">
      <c r="A63" s="26">
        <v>69</v>
      </c>
      <c r="B63" s="94">
        <v>43485</v>
      </c>
      <c r="C63" s="95" t="s">
        <v>227</v>
      </c>
      <c r="D63" s="25" t="s">
        <v>209</v>
      </c>
      <c r="E63" s="25" t="s">
        <v>210</v>
      </c>
      <c r="F63" s="25" t="s">
        <v>91</v>
      </c>
      <c r="G63" s="25" t="s">
        <v>211</v>
      </c>
      <c r="H63" s="25" t="s">
        <v>133</v>
      </c>
      <c r="I63" s="26">
        <v>5644839</v>
      </c>
      <c r="J63" s="27">
        <v>0.02</v>
      </c>
      <c r="K63" s="26">
        <f t="shared" si="11"/>
        <v>112896.78</v>
      </c>
      <c r="L63" s="25"/>
      <c r="M63" s="26">
        <f t="shared" si="13"/>
        <v>10160.7102</v>
      </c>
      <c r="N63" s="26">
        <f t="shared" si="14"/>
        <v>10160.7102</v>
      </c>
      <c r="O63" s="26">
        <f t="shared" si="12"/>
        <v>5644.8389999999999</v>
      </c>
      <c r="P63" s="26">
        <f t="shared" si="7"/>
        <v>127573.36139999999</v>
      </c>
      <c r="Q63" s="97">
        <f t="shared" si="8"/>
        <v>20321.420399999999</v>
      </c>
      <c r="R63" s="25" t="s">
        <v>130</v>
      </c>
      <c r="S63" s="25" t="s">
        <v>133</v>
      </c>
    </row>
    <row r="64" spans="1:19" x14ac:dyDescent="0.25">
      <c r="A64" s="25">
        <v>71</v>
      </c>
      <c r="B64" s="94">
        <v>43482</v>
      </c>
      <c r="C64" s="95" t="s">
        <v>227</v>
      </c>
      <c r="D64" s="25" t="s">
        <v>240</v>
      </c>
      <c r="E64" s="25" t="s">
        <v>241</v>
      </c>
      <c r="F64" s="25" t="s">
        <v>242</v>
      </c>
      <c r="G64" s="25" t="s">
        <v>243</v>
      </c>
      <c r="H64" s="25" t="s">
        <v>133</v>
      </c>
      <c r="I64" s="26">
        <v>11060649</v>
      </c>
      <c r="J64" s="27">
        <v>2.5000000000000001E-2</v>
      </c>
      <c r="K64" s="26">
        <f t="shared" si="11"/>
        <v>276516.22500000003</v>
      </c>
      <c r="L64" s="25"/>
      <c r="M64" s="26">
        <f t="shared" si="13"/>
        <v>24886.460250000004</v>
      </c>
      <c r="N64" s="26">
        <f t="shared" si="14"/>
        <v>24886.460250000004</v>
      </c>
      <c r="O64" s="26">
        <f t="shared" si="12"/>
        <v>13825.811250000002</v>
      </c>
      <c r="P64" s="26">
        <f t="shared" si="7"/>
        <v>312463.33425000001</v>
      </c>
      <c r="Q64" s="97">
        <f t="shared" si="8"/>
        <v>49772.920500000007</v>
      </c>
      <c r="R64" s="25"/>
      <c r="S64" s="25" t="s">
        <v>133</v>
      </c>
    </row>
    <row r="65" spans="1:19" x14ac:dyDescent="0.25">
      <c r="A65" s="25"/>
      <c r="B65" s="94">
        <v>43487</v>
      </c>
      <c r="C65" s="95" t="s">
        <v>227</v>
      </c>
      <c r="D65" s="25" t="s">
        <v>321</v>
      </c>
      <c r="E65" s="25" t="s">
        <v>322</v>
      </c>
      <c r="F65" s="25" t="s">
        <v>27</v>
      </c>
      <c r="G65" s="25" t="s">
        <v>28</v>
      </c>
      <c r="H65" s="25" t="s">
        <v>133</v>
      </c>
      <c r="I65" s="26">
        <v>6284200</v>
      </c>
      <c r="J65" s="27">
        <v>2.2499999999999999E-2</v>
      </c>
      <c r="K65" s="26">
        <f t="shared" si="11"/>
        <v>141394.5</v>
      </c>
      <c r="L65" s="25"/>
      <c r="M65" s="26">
        <f t="shared" si="13"/>
        <v>12725.504999999999</v>
      </c>
      <c r="N65" s="26">
        <f t="shared" si="14"/>
        <v>12725.504999999999</v>
      </c>
      <c r="O65" s="26">
        <f t="shared" si="12"/>
        <v>7069.7250000000004</v>
      </c>
      <c r="P65" s="26">
        <f t="shared" si="7"/>
        <v>159775.785</v>
      </c>
      <c r="Q65" s="97">
        <f t="shared" si="8"/>
        <v>25451.01</v>
      </c>
      <c r="R65" s="25"/>
      <c r="S65" s="25" t="s">
        <v>133</v>
      </c>
    </row>
    <row r="66" spans="1:19" x14ac:dyDescent="0.25">
      <c r="A66" s="25">
        <v>72</v>
      </c>
      <c r="B66" s="94">
        <v>43482</v>
      </c>
      <c r="C66" s="95" t="s">
        <v>227</v>
      </c>
      <c r="D66" s="25" t="s">
        <v>244</v>
      </c>
      <c r="E66" s="25" t="s">
        <v>245</v>
      </c>
      <c r="F66" s="25" t="s">
        <v>52</v>
      </c>
      <c r="G66" s="25" t="s">
        <v>53</v>
      </c>
      <c r="H66" s="25" t="s">
        <v>135</v>
      </c>
      <c r="I66" s="26">
        <v>1800000</v>
      </c>
      <c r="J66" s="27">
        <v>0.02</v>
      </c>
      <c r="K66" s="26">
        <f t="shared" si="11"/>
        <v>36000</v>
      </c>
      <c r="L66" s="26">
        <f>+K66*18%</f>
        <v>6480</v>
      </c>
      <c r="M66" s="26">
        <v>0</v>
      </c>
      <c r="N66" s="26">
        <v>0</v>
      </c>
      <c r="O66" s="26">
        <f t="shared" si="12"/>
        <v>1800</v>
      </c>
      <c r="P66" s="26">
        <f t="shared" ref="P66:P79" si="15">+K66+L66+M66+N66-O66</f>
        <v>40680</v>
      </c>
      <c r="Q66" s="97">
        <f t="shared" ref="Q66:Q79" si="16">+L66+M66+N66</f>
        <v>6480</v>
      </c>
      <c r="R66" s="25"/>
      <c r="S66" s="25" t="s">
        <v>134</v>
      </c>
    </row>
    <row r="67" spans="1:19" x14ac:dyDescent="0.25">
      <c r="A67" s="25">
        <v>73</v>
      </c>
      <c r="B67" s="94">
        <v>43501</v>
      </c>
      <c r="C67" s="95" t="s">
        <v>246</v>
      </c>
      <c r="D67" s="25" t="s">
        <v>247</v>
      </c>
      <c r="E67" s="25" t="s">
        <v>248</v>
      </c>
      <c r="F67" s="25" t="s">
        <v>111</v>
      </c>
      <c r="G67" s="25" t="s">
        <v>112</v>
      </c>
      <c r="H67" s="25" t="s">
        <v>133</v>
      </c>
      <c r="I67" s="26">
        <v>8240000</v>
      </c>
      <c r="J67" s="27">
        <v>0.03</v>
      </c>
      <c r="K67" s="26">
        <f t="shared" si="11"/>
        <v>247200</v>
      </c>
      <c r="L67" s="25"/>
      <c r="M67" s="26">
        <f>+K67*9%</f>
        <v>22248</v>
      </c>
      <c r="N67" s="26">
        <f>+K67*9%</f>
        <v>22248</v>
      </c>
      <c r="O67" s="26">
        <f t="shared" si="12"/>
        <v>12360</v>
      </c>
      <c r="P67" s="26">
        <f t="shared" si="15"/>
        <v>279336</v>
      </c>
      <c r="Q67" s="97">
        <f t="shared" si="16"/>
        <v>44496</v>
      </c>
      <c r="R67" s="25"/>
      <c r="S67" s="25" t="s">
        <v>133</v>
      </c>
    </row>
    <row r="68" spans="1:19" x14ac:dyDescent="0.25">
      <c r="A68" s="25">
        <v>74</v>
      </c>
      <c r="B68" s="94">
        <v>43503</v>
      </c>
      <c r="C68" s="95" t="s">
        <v>246</v>
      </c>
      <c r="D68" s="25" t="s">
        <v>249</v>
      </c>
      <c r="E68" s="25" t="s">
        <v>250</v>
      </c>
      <c r="F68" s="25" t="s">
        <v>251</v>
      </c>
      <c r="G68" s="25" t="s">
        <v>53</v>
      </c>
      <c r="H68" s="25" t="s">
        <v>135</v>
      </c>
      <c r="I68" s="26">
        <v>5400000</v>
      </c>
      <c r="J68" s="27">
        <v>0.02</v>
      </c>
      <c r="K68" s="26">
        <f t="shared" si="11"/>
        <v>108000</v>
      </c>
      <c r="L68" s="26">
        <f>+K68*18%</f>
        <v>19440</v>
      </c>
      <c r="M68" s="26">
        <v>0</v>
      </c>
      <c r="N68" s="26">
        <v>0</v>
      </c>
      <c r="O68" s="26">
        <f t="shared" si="12"/>
        <v>5400</v>
      </c>
      <c r="P68" s="26">
        <f t="shared" si="15"/>
        <v>122040</v>
      </c>
      <c r="Q68" s="97">
        <f t="shared" si="16"/>
        <v>19440</v>
      </c>
      <c r="R68" s="94">
        <v>43504</v>
      </c>
      <c r="S68" s="25" t="s">
        <v>134</v>
      </c>
    </row>
    <row r="69" spans="1:19" x14ac:dyDescent="0.25">
      <c r="A69" s="25">
        <v>75</v>
      </c>
      <c r="B69" s="94">
        <v>43551</v>
      </c>
      <c r="C69" s="95" t="s">
        <v>283</v>
      </c>
      <c r="D69" s="25" t="s">
        <v>270</v>
      </c>
      <c r="E69" s="25" t="s">
        <v>277</v>
      </c>
      <c r="F69" s="25" t="s">
        <v>278</v>
      </c>
      <c r="G69" s="25" t="s">
        <v>279</v>
      </c>
      <c r="H69" s="25" t="s">
        <v>134</v>
      </c>
      <c r="I69" s="26">
        <v>5228017</v>
      </c>
      <c r="J69" s="27">
        <v>0.02</v>
      </c>
      <c r="K69" s="26">
        <f t="shared" si="11"/>
        <v>104560.34</v>
      </c>
      <c r="L69" s="25"/>
      <c r="M69" s="26">
        <f t="shared" ref="M69:M79" si="17">+K69*9%</f>
        <v>9410.4305999999997</v>
      </c>
      <c r="N69" s="26">
        <f t="shared" ref="N69:N79" si="18">+K69*9%</f>
        <v>9410.4305999999997</v>
      </c>
      <c r="O69" s="26">
        <f t="shared" si="12"/>
        <v>5228.0169999999998</v>
      </c>
      <c r="P69" s="26">
        <f t="shared" si="15"/>
        <v>118153.18419999999</v>
      </c>
      <c r="Q69" s="97">
        <f t="shared" si="16"/>
        <v>18820.861199999999</v>
      </c>
      <c r="R69" s="25"/>
      <c r="S69" s="25" t="s">
        <v>134</v>
      </c>
    </row>
    <row r="70" spans="1:19" x14ac:dyDescent="0.25">
      <c r="A70" s="25">
        <v>76</v>
      </c>
      <c r="B70" s="94">
        <v>43510</v>
      </c>
      <c r="C70" s="95" t="s">
        <v>246</v>
      </c>
      <c r="D70" s="25" t="s">
        <v>275</v>
      </c>
      <c r="E70" s="25" t="s">
        <v>276</v>
      </c>
      <c r="F70" s="25" t="s">
        <v>272</v>
      </c>
      <c r="G70" s="25" t="s">
        <v>273</v>
      </c>
      <c r="H70" s="25" t="s">
        <v>134</v>
      </c>
      <c r="I70" s="26">
        <v>2568201</v>
      </c>
      <c r="J70" s="27">
        <v>0.02</v>
      </c>
      <c r="K70" s="26">
        <f t="shared" si="11"/>
        <v>51364.020000000004</v>
      </c>
      <c r="L70" s="25"/>
      <c r="M70" s="26">
        <f t="shared" si="17"/>
        <v>4622.7618000000002</v>
      </c>
      <c r="N70" s="26">
        <f t="shared" si="18"/>
        <v>4622.7618000000002</v>
      </c>
      <c r="O70" s="26">
        <f t="shared" si="12"/>
        <v>2568.2010000000005</v>
      </c>
      <c r="P70" s="26">
        <f t="shared" si="15"/>
        <v>58041.342600000004</v>
      </c>
      <c r="Q70" s="97">
        <f t="shared" si="16"/>
        <v>9245.5236000000004</v>
      </c>
      <c r="R70" s="25"/>
      <c r="S70" s="25" t="s">
        <v>134</v>
      </c>
    </row>
    <row r="71" spans="1:19" x14ac:dyDescent="0.25">
      <c r="A71" s="25">
        <v>77</v>
      </c>
      <c r="B71" s="94">
        <v>43510</v>
      </c>
      <c r="C71" s="95" t="s">
        <v>246</v>
      </c>
      <c r="D71" s="25" t="s">
        <v>274</v>
      </c>
      <c r="E71" s="25" t="s">
        <v>271</v>
      </c>
      <c r="F71" s="25" t="s">
        <v>272</v>
      </c>
      <c r="G71" s="25" t="s">
        <v>273</v>
      </c>
      <c r="H71" s="25" t="s">
        <v>134</v>
      </c>
      <c r="I71" s="26">
        <v>2568201</v>
      </c>
      <c r="J71" s="27">
        <v>0.02</v>
      </c>
      <c r="K71" s="26">
        <f t="shared" si="11"/>
        <v>51364.020000000004</v>
      </c>
      <c r="L71" s="25"/>
      <c r="M71" s="26">
        <f t="shared" si="17"/>
        <v>4622.7618000000002</v>
      </c>
      <c r="N71" s="26">
        <f t="shared" si="18"/>
        <v>4622.7618000000002</v>
      </c>
      <c r="O71" s="26">
        <f t="shared" si="12"/>
        <v>2568.2010000000005</v>
      </c>
      <c r="P71" s="26">
        <f t="shared" si="15"/>
        <v>58041.342600000004</v>
      </c>
      <c r="Q71" s="97">
        <f t="shared" si="16"/>
        <v>9245.5236000000004</v>
      </c>
      <c r="R71" s="25"/>
      <c r="S71" s="25" t="s">
        <v>134</v>
      </c>
    </row>
    <row r="72" spans="1:19" x14ac:dyDescent="0.25">
      <c r="A72" s="25">
        <v>78</v>
      </c>
      <c r="B72" s="94">
        <v>43529</v>
      </c>
      <c r="C72" s="95" t="s">
        <v>283</v>
      </c>
      <c r="D72" s="25" t="s">
        <v>284</v>
      </c>
      <c r="E72" s="25" t="s">
        <v>281</v>
      </c>
      <c r="F72" s="25" t="s">
        <v>280</v>
      </c>
      <c r="G72" s="25" t="s">
        <v>282</v>
      </c>
      <c r="H72" s="25" t="s">
        <v>133</v>
      </c>
      <c r="I72" s="26">
        <v>7632175</v>
      </c>
      <c r="J72" s="27">
        <v>0.02</v>
      </c>
      <c r="K72" s="26">
        <f t="shared" si="11"/>
        <v>152643.5</v>
      </c>
      <c r="L72" s="25"/>
      <c r="M72" s="26">
        <f t="shared" si="17"/>
        <v>13737.914999999999</v>
      </c>
      <c r="N72" s="26">
        <f t="shared" si="18"/>
        <v>13737.914999999999</v>
      </c>
      <c r="O72" s="26">
        <f t="shared" si="12"/>
        <v>7632.1750000000002</v>
      </c>
      <c r="P72" s="26">
        <f t="shared" si="15"/>
        <v>172487.15500000003</v>
      </c>
      <c r="Q72" s="97">
        <f t="shared" si="16"/>
        <v>27475.829999999998</v>
      </c>
      <c r="R72" s="25"/>
      <c r="S72" s="25" t="s">
        <v>133</v>
      </c>
    </row>
    <row r="73" spans="1:19" x14ac:dyDescent="0.25">
      <c r="A73" s="25">
        <v>79</v>
      </c>
      <c r="B73" s="94">
        <v>43530</v>
      </c>
      <c r="C73" s="95" t="s">
        <v>283</v>
      </c>
      <c r="D73" s="25" t="s">
        <v>287</v>
      </c>
      <c r="E73" s="25" t="s">
        <v>285</v>
      </c>
      <c r="F73" s="25" t="s">
        <v>111</v>
      </c>
      <c r="G73" s="25" t="s">
        <v>112</v>
      </c>
      <c r="H73" s="25" t="s">
        <v>133</v>
      </c>
      <c r="I73" s="26">
        <v>14753000</v>
      </c>
      <c r="J73" s="27">
        <v>0.03</v>
      </c>
      <c r="K73" s="26">
        <f>+I73*J73-150000</f>
        <v>292590</v>
      </c>
      <c r="L73" s="25"/>
      <c r="M73" s="26">
        <f t="shared" si="17"/>
        <v>26333.1</v>
      </c>
      <c r="N73" s="26">
        <f t="shared" si="18"/>
        <v>26333.1</v>
      </c>
      <c r="O73" s="26">
        <f t="shared" si="12"/>
        <v>14629.5</v>
      </c>
      <c r="P73" s="26">
        <f t="shared" si="15"/>
        <v>330626.69999999995</v>
      </c>
      <c r="Q73" s="97">
        <f t="shared" si="16"/>
        <v>52666.2</v>
      </c>
      <c r="R73" s="25"/>
      <c r="S73" s="25" t="s">
        <v>133</v>
      </c>
    </row>
    <row r="74" spans="1:19" x14ac:dyDescent="0.25">
      <c r="A74" s="25">
        <v>80</v>
      </c>
      <c r="B74" s="94">
        <v>43530</v>
      </c>
      <c r="C74" s="95" t="s">
        <v>283</v>
      </c>
      <c r="D74" s="25" t="s">
        <v>288</v>
      </c>
      <c r="E74" s="25" t="s">
        <v>289</v>
      </c>
      <c r="F74" s="25" t="s">
        <v>290</v>
      </c>
      <c r="G74" s="25" t="s">
        <v>291</v>
      </c>
      <c r="H74" s="25" t="s">
        <v>133</v>
      </c>
      <c r="I74" s="26">
        <v>16587464</v>
      </c>
      <c r="J74" s="27">
        <v>2.5000000000000001E-2</v>
      </c>
      <c r="K74" s="26">
        <f>+I74*J74</f>
        <v>414686.60000000003</v>
      </c>
      <c r="L74" s="25"/>
      <c r="M74" s="26">
        <f t="shared" si="17"/>
        <v>37321.794000000002</v>
      </c>
      <c r="N74" s="26">
        <f t="shared" si="18"/>
        <v>37321.794000000002</v>
      </c>
      <c r="O74" s="26">
        <f t="shared" si="12"/>
        <v>20734.330000000002</v>
      </c>
      <c r="P74" s="26">
        <f t="shared" si="15"/>
        <v>468595.85800000001</v>
      </c>
      <c r="Q74" s="97">
        <f t="shared" si="16"/>
        <v>74643.588000000003</v>
      </c>
      <c r="R74" s="25"/>
      <c r="S74" s="25" t="s">
        <v>133</v>
      </c>
    </row>
    <row r="75" spans="1:19" x14ac:dyDescent="0.25">
      <c r="A75" s="25">
        <v>81</v>
      </c>
      <c r="B75" s="94">
        <v>43543</v>
      </c>
      <c r="C75" s="95" t="s">
        <v>283</v>
      </c>
      <c r="D75" s="25" t="s">
        <v>292</v>
      </c>
      <c r="E75" s="25" t="s">
        <v>296</v>
      </c>
      <c r="F75" s="25" t="s">
        <v>37</v>
      </c>
      <c r="G75" s="25" t="s">
        <v>38</v>
      </c>
      <c r="H75" s="25" t="s">
        <v>134</v>
      </c>
      <c r="I75" s="26">
        <v>4375980</v>
      </c>
      <c r="J75" s="27">
        <v>0.02</v>
      </c>
      <c r="K75" s="26">
        <f>+I75*J75-26256</f>
        <v>61263.600000000006</v>
      </c>
      <c r="L75" s="25"/>
      <c r="M75" s="26">
        <f t="shared" si="17"/>
        <v>5513.7240000000002</v>
      </c>
      <c r="N75" s="26">
        <f t="shared" si="18"/>
        <v>5513.7240000000002</v>
      </c>
      <c r="O75" s="26">
        <f t="shared" si="12"/>
        <v>3063.1800000000003</v>
      </c>
      <c r="P75" s="26">
        <f t="shared" si="15"/>
        <v>69227.868000000017</v>
      </c>
      <c r="Q75" s="97">
        <f t="shared" si="16"/>
        <v>11027.448</v>
      </c>
      <c r="R75" s="25"/>
      <c r="S75" s="25" t="s">
        <v>134</v>
      </c>
    </row>
    <row r="76" spans="1:19" x14ac:dyDescent="0.25">
      <c r="A76" s="25">
        <v>82</v>
      </c>
      <c r="B76" s="94">
        <v>43543</v>
      </c>
      <c r="C76" s="95" t="s">
        <v>283</v>
      </c>
      <c r="D76" s="25" t="s">
        <v>293</v>
      </c>
      <c r="E76" s="25" t="s">
        <v>297</v>
      </c>
      <c r="F76" s="25" t="s">
        <v>37</v>
      </c>
      <c r="G76" s="25" t="s">
        <v>38</v>
      </c>
      <c r="H76" s="25" t="s">
        <v>134</v>
      </c>
      <c r="I76" s="26">
        <v>5757456</v>
      </c>
      <c r="J76" s="27">
        <v>0.02</v>
      </c>
      <c r="K76" s="26">
        <f>+I76*J76-34545</f>
        <v>80604.12</v>
      </c>
      <c r="L76" s="25"/>
      <c r="M76" s="26">
        <f t="shared" si="17"/>
        <v>7254.3707999999997</v>
      </c>
      <c r="N76" s="26">
        <f t="shared" si="18"/>
        <v>7254.3707999999997</v>
      </c>
      <c r="O76" s="26">
        <f t="shared" si="12"/>
        <v>4030.2060000000001</v>
      </c>
      <c r="P76" s="26">
        <f t="shared" si="15"/>
        <v>91082.655599999998</v>
      </c>
      <c r="Q76" s="97">
        <f t="shared" si="16"/>
        <v>14508.741599999999</v>
      </c>
      <c r="R76" s="25"/>
      <c r="S76" s="25" t="s">
        <v>134</v>
      </c>
    </row>
    <row r="77" spans="1:19" x14ac:dyDescent="0.25">
      <c r="A77" s="25">
        <v>83</v>
      </c>
      <c r="B77" s="94">
        <v>43543</v>
      </c>
      <c r="C77" s="95" t="s">
        <v>283</v>
      </c>
      <c r="D77" s="25" t="s">
        <v>294</v>
      </c>
      <c r="E77" s="25" t="s">
        <v>298</v>
      </c>
      <c r="F77" s="25" t="s">
        <v>37</v>
      </c>
      <c r="G77" s="25" t="s">
        <v>38</v>
      </c>
      <c r="H77" s="25" t="s">
        <v>134</v>
      </c>
      <c r="I77" s="26">
        <v>4248083</v>
      </c>
      <c r="J77" s="27">
        <v>2.5000000000000001E-2</v>
      </c>
      <c r="K77" s="26">
        <f>+I77*J77-31861</f>
        <v>74341.075000000012</v>
      </c>
      <c r="L77" s="25"/>
      <c r="M77" s="26">
        <f t="shared" si="17"/>
        <v>6690.696750000001</v>
      </c>
      <c r="N77" s="26">
        <f t="shared" si="18"/>
        <v>6690.696750000001</v>
      </c>
      <c r="O77" s="26">
        <f t="shared" si="12"/>
        <v>3717.0537500000009</v>
      </c>
      <c r="P77" s="26">
        <f t="shared" si="15"/>
        <v>84005.414750000011</v>
      </c>
      <c r="Q77" s="97">
        <f t="shared" si="16"/>
        <v>13381.393500000002</v>
      </c>
      <c r="R77" s="25"/>
      <c r="S77" s="25" t="s">
        <v>134</v>
      </c>
    </row>
    <row r="78" spans="1:19" x14ac:dyDescent="0.25">
      <c r="A78" s="25">
        <v>84</v>
      </c>
      <c r="B78" s="94">
        <v>43543</v>
      </c>
      <c r="C78" s="95" t="s">
        <v>283</v>
      </c>
      <c r="D78" s="25" t="s">
        <v>295</v>
      </c>
      <c r="E78" s="25" t="s">
        <v>299</v>
      </c>
      <c r="F78" s="25" t="s">
        <v>37</v>
      </c>
      <c r="G78" s="25" t="s">
        <v>38</v>
      </c>
      <c r="H78" s="25" t="s">
        <v>134</v>
      </c>
      <c r="I78" s="25">
        <v>5673996</v>
      </c>
      <c r="J78" s="27">
        <v>0.02</v>
      </c>
      <c r="K78" s="26">
        <f>+I78*J78</f>
        <v>113479.92</v>
      </c>
      <c r="L78" s="25"/>
      <c r="M78" s="26">
        <f t="shared" si="17"/>
        <v>10213.192799999999</v>
      </c>
      <c r="N78" s="26">
        <f t="shared" si="18"/>
        <v>10213.192799999999</v>
      </c>
      <c r="O78" s="26">
        <f t="shared" si="12"/>
        <v>5673.9960000000001</v>
      </c>
      <c r="P78" s="26">
        <f t="shared" si="15"/>
        <v>128232.30959999999</v>
      </c>
      <c r="Q78" s="97">
        <f t="shared" si="16"/>
        <v>20426.385599999998</v>
      </c>
      <c r="R78" s="25"/>
      <c r="S78" s="25" t="s">
        <v>134</v>
      </c>
    </row>
    <row r="79" spans="1:19" x14ac:dyDescent="0.25">
      <c r="A79" s="25"/>
      <c r="B79" s="94">
        <v>43550</v>
      </c>
      <c r="C79" s="95" t="s">
        <v>283</v>
      </c>
      <c r="D79" s="25" t="s">
        <v>315</v>
      </c>
      <c r="E79" s="25" t="s">
        <v>316</v>
      </c>
      <c r="F79" s="25" t="s">
        <v>317</v>
      </c>
      <c r="G79" s="25" t="s">
        <v>318</v>
      </c>
      <c r="H79" s="25" t="s">
        <v>134</v>
      </c>
      <c r="I79" s="25">
        <v>2729500</v>
      </c>
      <c r="J79" s="27">
        <v>2.5000000000000001E-2</v>
      </c>
      <c r="K79" s="26">
        <f>+I79*J79</f>
        <v>68237.5</v>
      </c>
      <c r="L79" s="25"/>
      <c r="M79" s="26">
        <f t="shared" si="17"/>
        <v>6141.375</v>
      </c>
      <c r="N79" s="26">
        <f t="shared" si="18"/>
        <v>6141.375</v>
      </c>
      <c r="O79" s="26">
        <f t="shared" si="12"/>
        <v>3411.875</v>
      </c>
      <c r="P79" s="26">
        <f t="shared" si="15"/>
        <v>77108.375</v>
      </c>
      <c r="Q79" s="97">
        <f t="shared" si="16"/>
        <v>12282.75</v>
      </c>
      <c r="R79" s="25"/>
      <c r="S79" s="25" t="s">
        <v>134</v>
      </c>
    </row>
    <row r="80" spans="1:19" x14ac:dyDescent="0.25">
      <c r="A80" s="25"/>
      <c r="B80" s="94">
        <v>43553</v>
      </c>
      <c r="C80" s="95" t="s">
        <v>283</v>
      </c>
      <c r="D80" s="25" t="s">
        <v>323</v>
      </c>
      <c r="E80" s="25"/>
      <c r="F80" s="25" t="s">
        <v>324</v>
      </c>
      <c r="G80" s="93" t="s">
        <v>328</v>
      </c>
      <c r="H80" s="25" t="s">
        <v>135</v>
      </c>
      <c r="I80" s="25">
        <f>6600*3436</f>
        <v>22677600</v>
      </c>
      <c r="J80" s="27">
        <v>0.03</v>
      </c>
      <c r="K80" s="26">
        <f>+I80*J80</f>
        <v>680328</v>
      </c>
      <c r="L80" s="25"/>
      <c r="M80" s="26">
        <f t="shared" ref="M80" si="19">+K80*9%</f>
        <v>61229.52</v>
      </c>
      <c r="N80" s="26">
        <f t="shared" ref="N80" si="20">+K80*9%</f>
        <v>61229.52</v>
      </c>
      <c r="O80" s="26">
        <f t="shared" ref="O80" si="21">+K80*5%</f>
        <v>34016.400000000001</v>
      </c>
      <c r="P80" s="26">
        <f t="shared" ref="P80" si="22">+K80+L80+M80+N80-O80</f>
        <v>768770.64</v>
      </c>
      <c r="Q80" s="97">
        <f t="shared" ref="Q80" si="23">+L80+M80+N80</f>
        <v>122459.04</v>
      </c>
      <c r="R80" s="25"/>
      <c r="S80" s="25" t="s">
        <v>133</v>
      </c>
    </row>
    <row r="81" spans="2:19" x14ac:dyDescent="0.25">
      <c r="B81" s="94">
        <v>43554</v>
      </c>
      <c r="C81" s="95" t="s">
        <v>283</v>
      </c>
      <c r="D81" s="25" t="s">
        <v>327</v>
      </c>
      <c r="E81" s="93" t="s">
        <v>326</v>
      </c>
      <c r="F81" s="25" t="s">
        <v>324</v>
      </c>
      <c r="G81" s="93" t="s">
        <v>328</v>
      </c>
      <c r="H81" s="25" t="s">
        <v>135</v>
      </c>
      <c r="I81" s="93">
        <v>6200000</v>
      </c>
      <c r="J81" s="110">
        <v>0.03</v>
      </c>
      <c r="K81" s="26">
        <f>+I81*J81</f>
        <v>186000</v>
      </c>
      <c r="L81" s="25"/>
      <c r="M81" s="26">
        <f t="shared" ref="M81" si="24">+K81*9%</f>
        <v>16740</v>
      </c>
      <c r="N81" s="26">
        <f t="shared" ref="N81" si="25">+K81*9%</f>
        <v>16740</v>
      </c>
      <c r="O81" s="26">
        <f t="shared" ref="O80:O81" si="26">+K81*5%</f>
        <v>9300</v>
      </c>
      <c r="P81" s="26">
        <f t="shared" ref="P80:P81" si="27">+K81+L81+M81+N81-O81</f>
        <v>210180</v>
      </c>
      <c r="Q81" s="97">
        <f t="shared" ref="Q80:Q81" si="28">+L81+M81+N81</f>
        <v>33480</v>
      </c>
      <c r="R81" s="107"/>
      <c r="S81" s="25" t="s">
        <v>133</v>
      </c>
    </row>
    <row r="82" spans="2:19" x14ac:dyDescent="0.25">
      <c r="K82" s="108"/>
    </row>
    <row r="84" spans="2:19" x14ac:dyDescent="0.25">
      <c r="K84" s="108">
        <f>SUM(K2:K83)</f>
        <v>12538142.174799995</v>
      </c>
    </row>
  </sheetData>
  <autoFilter ref="A1:U81"/>
  <pageMargins left="0.7" right="0.7" top="0.75" bottom="0.75" header="0.3" footer="0.3"/>
  <pageSetup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8"/>
  <sheetViews>
    <sheetView topLeftCell="B22" workbookViewId="0">
      <selection activeCell="L76" sqref="L76:N76"/>
    </sheetView>
  </sheetViews>
  <sheetFormatPr defaultRowHeight="15" x14ac:dyDescent="0.25"/>
  <cols>
    <col min="2" max="2" width="10.42578125" bestFit="1" customWidth="1"/>
    <col min="3" max="3" width="9.7109375" bestFit="1" customWidth="1"/>
    <col min="4" max="4" width="14.7109375" bestFit="1" customWidth="1"/>
    <col min="5" max="5" width="39.140625" hidden="1" customWidth="1"/>
    <col min="6" max="6" width="45.7109375" bestFit="1" customWidth="1"/>
    <col min="7" max="7" width="21" hidden="1" customWidth="1"/>
    <col min="9" max="9" width="17.7109375" bestFit="1" customWidth="1"/>
    <col min="11" max="11" width="14" bestFit="1" customWidth="1"/>
    <col min="12" max="15" width="12.42578125" bestFit="1" customWidth="1"/>
    <col min="16" max="16" width="12.42578125" style="1" customWidth="1"/>
    <col min="17" max="17" width="14" bestFit="1" customWidth="1"/>
  </cols>
  <sheetData>
    <row r="1" spans="1:17" s="1" customFormat="1" x14ac:dyDescent="0.25"/>
    <row r="2" spans="1:17" s="1" customFormat="1" x14ac:dyDescent="0.25"/>
    <row r="3" spans="1:17" x14ac:dyDescent="0.25">
      <c r="A3" s="7" t="s">
        <v>0</v>
      </c>
      <c r="B3" s="7" t="s">
        <v>1</v>
      </c>
      <c r="C3" s="7" t="s">
        <v>217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132</v>
      </c>
      <c r="I3" s="7" t="s">
        <v>7</v>
      </c>
      <c r="J3" s="7" t="s">
        <v>6</v>
      </c>
      <c r="K3" s="7" t="s">
        <v>8</v>
      </c>
      <c r="L3" s="7" t="s">
        <v>123</v>
      </c>
      <c r="M3" s="7" t="s">
        <v>124</v>
      </c>
      <c r="N3" s="7" t="s">
        <v>125</v>
      </c>
      <c r="O3" s="7" t="s">
        <v>9</v>
      </c>
      <c r="P3" s="7" t="s">
        <v>232</v>
      </c>
      <c r="Q3" s="7" t="s">
        <v>10</v>
      </c>
    </row>
    <row r="4" spans="1:17" x14ac:dyDescent="0.25">
      <c r="A4" s="2">
        <v>1</v>
      </c>
      <c r="B4" s="3">
        <v>43201</v>
      </c>
      <c r="C4" s="29" t="s">
        <v>218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133</v>
      </c>
      <c r="I4" s="8">
        <v>5578649.4400000004</v>
      </c>
      <c r="J4" s="5">
        <v>0.02</v>
      </c>
      <c r="K4" s="8">
        <f>+I4*J4</f>
        <v>111572.98880000001</v>
      </c>
      <c r="L4" s="8">
        <f>+K4*18%</f>
        <v>20083.137984000001</v>
      </c>
      <c r="M4" s="8">
        <v>0</v>
      </c>
      <c r="N4" s="8">
        <v>0</v>
      </c>
      <c r="O4" s="8">
        <v>5578.6494400000011</v>
      </c>
      <c r="P4" s="8">
        <f>L4+M4+N4</f>
        <v>20083.137984000001</v>
      </c>
      <c r="Q4" s="8">
        <v>126077.47734400001</v>
      </c>
    </row>
    <row r="5" spans="1:17" x14ac:dyDescent="0.25">
      <c r="A5" s="2"/>
      <c r="B5" s="3">
        <v>43201</v>
      </c>
      <c r="C5" s="29" t="s">
        <v>218</v>
      </c>
      <c r="D5" s="2" t="s">
        <v>15</v>
      </c>
      <c r="E5" s="2" t="s">
        <v>212</v>
      </c>
      <c r="F5" s="2" t="s">
        <v>13</v>
      </c>
      <c r="G5" s="2" t="s">
        <v>14</v>
      </c>
      <c r="H5" s="2" t="s">
        <v>133</v>
      </c>
      <c r="I5" s="8">
        <v>8092706</v>
      </c>
      <c r="J5" s="5">
        <v>0.02</v>
      </c>
      <c r="K5" s="8">
        <f t="shared" ref="K5:K25" si="0">+I5*J5</f>
        <v>161854.12</v>
      </c>
      <c r="L5" s="8">
        <f>+K5*18%</f>
        <v>29133.741599999998</v>
      </c>
      <c r="M5" s="8">
        <v>0</v>
      </c>
      <c r="N5" s="8">
        <v>0</v>
      </c>
      <c r="O5" s="8">
        <v>8092.7060000000001</v>
      </c>
      <c r="P5" s="8">
        <f t="shared" ref="P5:P26" si="1">L5+M5+N5</f>
        <v>29133.741599999998</v>
      </c>
      <c r="Q5" s="8">
        <v>182895.1556</v>
      </c>
    </row>
    <row r="6" spans="1:17" x14ac:dyDescent="0.25">
      <c r="A6" s="2">
        <v>2</v>
      </c>
      <c r="B6" s="3">
        <v>43202</v>
      </c>
      <c r="C6" s="29" t="s">
        <v>218</v>
      </c>
      <c r="D6" s="2" t="s">
        <v>16</v>
      </c>
      <c r="E6" s="2" t="s">
        <v>17</v>
      </c>
      <c r="F6" s="2" t="s">
        <v>18</v>
      </c>
      <c r="G6" s="2" t="s">
        <v>127</v>
      </c>
      <c r="H6" s="2" t="s">
        <v>134</v>
      </c>
      <c r="I6" s="8">
        <v>6147675</v>
      </c>
      <c r="J6" s="5">
        <v>0.03</v>
      </c>
      <c r="K6" s="8">
        <f t="shared" si="0"/>
        <v>184430.25</v>
      </c>
      <c r="L6" s="8">
        <v>0</v>
      </c>
      <c r="M6" s="8">
        <f>+K6*9%</f>
        <v>16598.7225</v>
      </c>
      <c r="N6" s="8">
        <v>16598.7225</v>
      </c>
      <c r="O6" s="8">
        <v>9221.5125000000007</v>
      </c>
      <c r="P6" s="8">
        <f t="shared" si="1"/>
        <v>33197.445</v>
      </c>
      <c r="Q6" s="8">
        <v>208406.1825</v>
      </c>
    </row>
    <row r="7" spans="1:17" x14ac:dyDescent="0.25">
      <c r="A7" s="2">
        <v>3</v>
      </c>
      <c r="B7" s="3">
        <v>43208</v>
      </c>
      <c r="C7" s="29" t="s">
        <v>218</v>
      </c>
      <c r="D7" s="2" t="s">
        <v>20</v>
      </c>
      <c r="E7" s="2" t="s">
        <v>21</v>
      </c>
      <c r="F7" s="2" t="s">
        <v>22</v>
      </c>
      <c r="G7" s="2" t="s">
        <v>128</v>
      </c>
      <c r="H7" s="2" t="s">
        <v>134</v>
      </c>
      <c r="I7" s="8">
        <v>4533600</v>
      </c>
      <c r="J7" s="5">
        <v>0.02</v>
      </c>
      <c r="K7" s="8">
        <f t="shared" si="0"/>
        <v>90672</v>
      </c>
      <c r="L7" s="8"/>
      <c r="M7" s="8">
        <f t="shared" ref="M7:M8" si="2">+K7*9%</f>
        <v>8160.48</v>
      </c>
      <c r="N7" s="8">
        <v>8160.48</v>
      </c>
      <c r="O7" s="8">
        <v>4533.6000000000004</v>
      </c>
      <c r="P7" s="8">
        <f t="shared" si="1"/>
        <v>16320.96</v>
      </c>
      <c r="Q7" s="8">
        <v>118780.31999999998</v>
      </c>
    </row>
    <row r="8" spans="1:17" x14ac:dyDescent="0.25">
      <c r="A8" s="2">
        <v>4</v>
      </c>
      <c r="B8" s="9">
        <v>43212</v>
      </c>
      <c r="C8" s="29" t="s">
        <v>218</v>
      </c>
      <c r="D8" s="4" t="s">
        <v>23</v>
      </c>
      <c r="E8" s="4" t="s">
        <v>24</v>
      </c>
      <c r="F8" s="4" t="s">
        <v>22</v>
      </c>
      <c r="G8" s="4" t="s">
        <v>128</v>
      </c>
      <c r="H8" s="4" t="s">
        <v>134</v>
      </c>
      <c r="I8" s="10">
        <v>5135700</v>
      </c>
      <c r="J8" s="11">
        <v>0.02</v>
      </c>
      <c r="K8" s="8">
        <f t="shared" si="0"/>
        <v>102714</v>
      </c>
      <c r="L8" s="8"/>
      <c r="M8" s="8">
        <f t="shared" si="2"/>
        <v>9244.26</v>
      </c>
      <c r="N8" s="10">
        <v>9244.26</v>
      </c>
      <c r="O8" s="10">
        <v>5135.7000000000007</v>
      </c>
      <c r="P8" s="8">
        <f t="shared" si="1"/>
        <v>18488.52</v>
      </c>
      <c r="Q8" s="8">
        <v>134555.34</v>
      </c>
    </row>
    <row r="9" spans="1:17" x14ac:dyDescent="0.25">
      <c r="A9" s="2">
        <v>5</v>
      </c>
      <c r="B9" s="12">
        <v>43216</v>
      </c>
      <c r="C9" s="29" t="s">
        <v>218</v>
      </c>
      <c r="D9" s="13" t="s">
        <v>25</v>
      </c>
      <c r="E9" s="13" t="s">
        <v>26</v>
      </c>
      <c r="F9" s="13" t="s">
        <v>27</v>
      </c>
      <c r="G9" s="13" t="s">
        <v>28</v>
      </c>
      <c r="H9" s="13" t="s">
        <v>133</v>
      </c>
      <c r="I9" s="14">
        <v>6284200</v>
      </c>
      <c r="J9" s="15">
        <v>2.2499999999999999E-2</v>
      </c>
      <c r="K9" s="8">
        <f t="shared" si="0"/>
        <v>141394.5</v>
      </c>
      <c r="L9" s="8">
        <f t="shared" ref="L9" si="3">+K9*18%</f>
        <v>25451.01</v>
      </c>
      <c r="M9" s="14"/>
      <c r="N9" s="14"/>
      <c r="O9" s="14">
        <v>7069.7250000000004</v>
      </c>
      <c r="P9" s="8">
        <f t="shared" si="1"/>
        <v>25451.01</v>
      </c>
      <c r="Q9" s="8">
        <v>159775.785</v>
      </c>
    </row>
    <row r="10" spans="1:17" x14ac:dyDescent="0.25">
      <c r="A10" s="2">
        <v>6</v>
      </c>
      <c r="B10" s="9">
        <v>43224</v>
      </c>
      <c r="C10" s="30" t="s">
        <v>219</v>
      </c>
      <c r="D10" s="4" t="s">
        <v>29</v>
      </c>
      <c r="E10" s="4" t="s">
        <v>30</v>
      </c>
      <c r="F10" s="4" t="s">
        <v>31</v>
      </c>
      <c r="G10" s="4" t="s">
        <v>32</v>
      </c>
      <c r="H10" s="4" t="s">
        <v>133</v>
      </c>
      <c r="I10" s="10">
        <v>6750000</v>
      </c>
      <c r="J10" s="11">
        <v>0.02</v>
      </c>
      <c r="K10" s="8">
        <f t="shared" si="0"/>
        <v>135000</v>
      </c>
      <c r="L10" s="10">
        <v>0</v>
      </c>
      <c r="M10" s="10">
        <v>12150</v>
      </c>
      <c r="N10" s="10">
        <v>12150</v>
      </c>
      <c r="O10" s="10">
        <v>6750</v>
      </c>
      <c r="P10" s="8">
        <f t="shared" si="1"/>
        <v>24300</v>
      </c>
      <c r="Q10" s="8">
        <v>152550</v>
      </c>
    </row>
    <row r="11" spans="1:17" x14ac:dyDescent="0.25">
      <c r="A11" s="2">
        <v>7</v>
      </c>
      <c r="B11" s="9">
        <v>43233</v>
      </c>
      <c r="C11" s="30" t="s">
        <v>219</v>
      </c>
      <c r="D11" s="4" t="s">
        <v>33</v>
      </c>
      <c r="E11" s="4" t="s">
        <v>34</v>
      </c>
      <c r="F11" s="4" t="s">
        <v>13</v>
      </c>
      <c r="G11" s="4" t="s">
        <v>35</v>
      </c>
      <c r="H11" s="4" t="s">
        <v>133</v>
      </c>
      <c r="I11" s="10">
        <v>6421229</v>
      </c>
      <c r="J11" s="11">
        <v>0.02</v>
      </c>
      <c r="K11" s="8">
        <f t="shared" si="0"/>
        <v>128424.58</v>
      </c>
      <c r="L11" s="8">
        <f>+K11*18%</f>
        <v>23116.4244</v>
      </c>
      <c r="M11" s="10"/>
      <c r="N11" s="10"/>
      <c r="O11" s="10">
        <v>6421.2290000000003</v>
      </c>
      <c r="P11" s="8">
        <f t="shared" si="1"/>
        <v>23116.4244</v>
      </c>
      <c r="Q11" s="8">
        <v>145119.77540000001</v>
      </c>
    </row>
    <row r="12" spans="1:17" x14ac:dyDescent="0.25">
      <c r="A12" s="2">
        <v>8</v>
      </c>
      <c r="B12" s="9">
        <v>43230</v>
      </c>
      <c r="C12" s="30" t="s">
        <v>219</v>
      </c>
      <c r="D12" s="4" t="s">
        <v>36</v>
      </c>
      <c r="E12" s="4" t="s">
        <v>39</v>
      </c>
      <c r="F12" s="4" t="s">
        <v>37</v>
      </c>
      <c r="G12" s="4" t="s">
        <v>38</v>
      </c>
      <c r="H12" s="4" t="s">
        <v>134</v>
      </c>
      <c r="I12" s="10">
        <v>4163523</v>
      </c>
      <c r="J12" s="11">
        <v>2.5000000000000001E-2</v>
      </c>
      <c r="K12" s="8">
        <f t="shared" si="0"/>
        <v>104088.07500000001</v>
      </c>
      <c r="L12" s="10"/>
      <c r="M12" s="10">
        <v>9367.9267500000005</v>
      </c>
      <c r="N12" s="10">
        <v>9367.9267500000005</v>
      </c>
      <c r="O12" s="10">
        <v>5204.4037500000013</v>
      </c>
      <c r="P12" s="8">
        <f t="shared" si="1"/>
        <v>18735.853500000001</v>
      </c>
      <c r="Q12" s="8">
        <v>117619.52475000001</v>
      </c>
    </row>
    <row r="13" spans="1:17" x14ac:dyDescent="0.25">
      <c r="A13" s="2">
        <v>9</v>
      </c>
      <c r="B13" s="9">
        <v>43234</v>
      </c>
      <c r="C13" s="30" t="s">
        <v>219</v>
      </c>
      <c r="D13" s="4" t="s">
        <v>40</v>
      </c>
      <c r="E13" s="4" t="s">
        <v>129</v>
      </c>
      <c r="F13" s="4" t="s">
        <v>13</v>
      </c>
      <c r="G13" s="4" t="s">
        <v>14</v>
      </c>
      <c r="H13" s="4" t="s">
        <v>133</v>
      </c>
      <c r="I13" s="10">
        <v>8092706.0599999996</v>
      </c>
      <c r="J13" s="11">
        <v>0.02</v>
      </c>
      <c r="K13" s="8">
        <f t="shared" si="0"/>
        <v>161854.12119999999</v>
      </c>
      <c r="L13" s="8">
        <f>+K13*18%</f>
        <v>29133.741815999998</v>
      </c>
      <c r="M13" s="10"/>
      <c r="N13" s="10"/>
      <c r="O13" s="10">
        <v>8092.7060600000004</v>
      </c>
      <c r="P13" s="8">
        <f t="shared" si="1"/>
        <v>29133.741815999998</v>
      </c>
      <c r="Q13" s="8">
        <v>182895.15695599999</v>
      </c>
    </row>
    <row r="14" spans="1:17" x14ac:dyDescent="0.25">
      <c r="A14" s="2">
        <v>10</v>
      </c>
      <c r="B14" s="9">
        <v>43255</v>
      </c>
      <c r="C14" s="30" t="s">
        <v>221</v>
      </c>
      <c r="D14" s="4" t="s">
        <v>41</v>
      </c>
      <c r="E14" s="4" t="s">
        <v>42</v>
      </c>
      <c r="F14" s="4" t="s">
        <v>43</v>
      </c>
      <c r="G14" s="4" t="s">
        <v>44</v>
      </c>
      <c r="H14" s="4" t="s">
        <v>134</v>
      </c>
      <c r="I14" s="10">
        <v>2722200</v>
      </c>
      <c r="J14" s="11">
        <v>0.02</v>
      </c>
      <c r="K14" s="8">
        <f t="shared" si="0"/>
        <v>54444</v>
      </c>
      <c r="L14" s="10">
        <v>0</v>
      </c>
      <c r="M14" s="10">
        <v>4899.96</v>
      </c>
      <c r="N14" s="10">
        <v>4899.96</v>
      </c>
      <c r="O14" s="10">
        <v>2722.2000000000003</v>
      </c>
      <c r="P14" s="8">
        <f t="shared" si="1"/>
        <v>9799.92</v>
      </c>
      <c r="Q14" s="8">
        <v>61521.72</v>
      </c>
    </row>
    <row r="15" spans="1:17" x14ac:dyDescent="0.25">
      <c r="A15" s="2">
        <v>11</v>
      </c>
      <c r="B15" s="9">
        <v>43260</v>
      </c>
      <c r="C15" s="30" t="s">
        <v>221</v>
      </c>
      <c r="D15" s="4" t="s">
        <v>45</v>
      </c>
      <c r="E15" s="4" t="s">
        <v>46</v>
      </c>
      <c r="F15" s="4" t="s">
        <v>47</v>
      </c>
      <c r="G15" s="4" t="s">
        <v>131</v>
      </c>
      <c r="H15" s="4" t="s">
        <v>134</v>
      </c>
      <c r="I15" s="10">
        <v>4680780</v>
      </c>
      <c r="J15" s="11">
        <v>0.03</v>
      </c>
      <c r="K15" s="8">
        <f t="shared" si="0"/>
        <v>140423.4</v>
      </c>
      <c r="L15" s="10">
        <v>0</v>
      </c>
      <c r="M15" s="10">
        <v>12638.106</v>
      </c>
      <c r="N15" s="10">
        <v>12638.106</v>
      </c>
      <c r="O15" s="10">
        <v>7021.17</v>
      </c>
      <c r="P15" s="8">
        <f t="shared" si="1"/>
        <v>25276.212</v>
      </c>
      <c r="Q15" s="8">
        <v>158678.44199999998</v>
      </c>
    </row>
    <row r="16" spans="1:17" x14ac:dyDescent="0.25">
      <c r="A16" s="2">
        <v>12</v>
      </c>
      <c r="B16" s="9">
        <v>43260</v>
      </c>
      <c r="C16" s="30" t="s">
        <v>221</v>
      </c>
      <c r="D16" s="4" t="s">
        <v>45</v>
      </c>
      <c r="E16" s="4" t="s">
        <v>49</v>
      </c>
      <c r="F16" s="4" t="s">
        <v>47</v>
      </c>
      <c r="G16" s="4" t="s">
        <v>131</v>
      </c>
      <c r="H16" s="4" t="s">
        <v>134</v>
      </c>
      <c r="I16" s="10">
        <v>5042455</v>
      </c>
      <c r="J16" s="11">
        <v>0.03</v>
      </c>
      <c r="K16" s="8">
        <f t="shared" si="0"/>
        <v>151273.65</v>
      </c>
      <c r="L16" s="10">
        <v>0</v>
      </c>
      <c r="M16" s="10">
        <v>13614.628499999999</v>
      </c>
      <c r="N16" s="10">
        <v>13614.628499999999</v>
      </c>
      <c r="O16" s="10">
        <v>7563.6824999999999</v>
      </c>
      <c r="P16" s="8">
        <f t="shared" si="1"/>
        <v>27229.256999999998</v>
      </c>
      <c r="Q16" s="8">
        <v>170939.22449999998</v>
      </c>
    </row>
    <row r="17" spans="1:17" x14ac:dyDescent="0.25">
      <c r="A17" s="2">
        <v>13</v>
      </c>
      <c r="B17" s="9">
        <v>43279</v>
      </c>
      <c r="C17" s="30" t="s">
        <v>221</v>
      </c>
      <c r="D17" s="4" t="s">
        <v>50</v>
      </c>
      <c r="E17" s="4" t="s">
        <v>51</v>
      </c>
      <c r="F17" s="4" t="s">
        <v>52</v>
      </c>
      <c r="G17" s="4" t="s">
        <v>53</v>
      </c>
      <c r="H17" s="4" t="s">
        <v>135</v>
      </c>
      <c r="I17" s="10">
        <v>5400000</v>
      </c>
      <c r="J17" s="11">
        <v>0.02</v>
      </c>
      <c r="K17" s="8">
        <f t="shared" si="0"/>
        <v>108000</v>
      </c>
      <c r="L17" s="8">
        <f t="shared" ref="L17:L19" si="4">+K17*18%</f>
        <v>19440</v>
      </c>
      <c r="M17" s="10"/>
      <c r="N17" s="10"/>
      <c r="O17" s="10">
        <v>5400</v>
      </c>
      <c r="P17" s="8">
        <f t="shared" si="1"/>
        <v>19440</v>
      </c>
      <c r="Q17" s="8">
        <v>122040</v>
      </c>
    </row>
    <row r="18" spans="1:17" x14ac:dyDescent="0.25">
      <c r="A18" s="2">
        <v>14</v>
      </c>
      <c r="B18" s="9">
        <v>43279</v>
      </c>
      <c r="C18" s="30" t="s">
        <v>221</v>
      </c>
      <c r="D18" s="4" t="s">
        <v>55</v>
      </c>
      <c r="E18" s="4" t="s">
        <v>56</v>
      </c>
      <c r="F18" s="4" t="s">
        <v>54</v>
      </c>
      <c r="G18" s="4" t="s">
        <v>53</v>
      </c>
      <c r="H18" s="4" t="s">
        <v>135</v>
      </c>
      <c r="I18" s="10">
        <v>1800000</v>
      </c>
      <c r="J18" s="11">
        <v>0.02</v>
      </c>
      <c r="K18" s="8">
        <f t="shared" si="0"/>
        <v>36000</v>
      </c>
      <c r="L18" s="8">
        <f t="shared" si="4"/>
        <v>6480</v>
      </c>
      <c r="M18" s="10"/>
      <c r="N18" s="10"/>
      <c r="O18" s="10">
        <v>1800</v>
      </c>
      <c r="P18" s="8">
        <f t="shared" si="1"/>
        <v>6480</v>
      </c>
      <c r="Q18" s="8">
        <v>40680</v>
      </c>
    </row>
    <row r="19" spans="1:17" x14ac:dyDescent="0.25">
      <c r="A19" s="2">
        <v>15</v>
      </c>
      <c r="B19" s="9">
        <v>43279</v>
      </c>
      <c r="C19" s="30" t="s">
        <v>221</v>
      </c>
      <c r="D19" s="4" t="s">
        <v>57</v>
      </c>
      <c r="E19" s="4" t="s">
        <v>58</v>
      </c>
      <c r="F19" s="4" t="s">
        <v>52</v>
      </c>
      <c r="G19" s="4" t="s">
        <v>53</v>
      </c>
      <c r="H19" s="4" t="s">
        <v>135</v>
      </c>
      <c r="I19" s="10">
        <v>2700000</v>
      </c>
      <c r="J19" s="11">
        <v>0.02</v>
      </c>
      <c r="K19" s="8">
        <f t="shared" si="0"/>
        <v>54000</v>
      </c>
      <c r="L19" s="8">
        <f t="shared" si="4"/>
        <v>9720</v>
      </c>
      <c r="M19" s="10"/>
      <c r="N19" s="10"/>
      <c r="O19" s="10">
        <v>2700</v>
      </c>
      <c r="P19" s="8">
        <f t="shared" si="1"/>
        <v>9720</v>
      </c>
      <c r="Q19" s="8">
        <v>61020</v>
      </c>
    </row>
    <row r="20" spans="1:17" x14ac:dyDescent="0.25">
      <c r="A20" s="2">
        <v>17</v>
      </c>
      <c r="B20" s="9">
        <v>43259</v>
      </c>
      <c r="C20" s="30" t="s">
        <v>221</v>
      </c>
      <c r="D20" s="4" t="s">
        <v>61</v>
      </c>
      <c r="E20" s="4" t="s">
        <v>62</v>
      </c>
      <c r="F20" s="4" t="s">
        <v>63</v>
      </c>
      <c r="G20" s="4" t="s">
        <v>64</v>
      </c>
      <c r="H20" s="4" t="s">
        <v>134</v>
      </c>
      <c r="I20" s="6">
        <v>9226266</v>
      </c>
      <c r="J20" s="11">
        <v>0.02</v>
      </c>
      <c r="K20" s="8">
        <f t="shared" si="0"/>
        <v>184525.32</v>
      </c>
      <c r="L20" s="10">
        <v>0</v>
      </c>
      <c r="M20" s="10">
        <v>16607.2788</v>
      </c>
      <c r="N20" s="10">
        <v>16607.2788</v>
      </c>
      <c r="O20" s="10">
        <v>9226.2660000000014</v>
      </c>
      <c r="P20" s="8">
        <f t="shared" si="1"/>
        <v>33214.5576</v>
      </c>
      <c r="Q20" s="8">
        <v>208513.6116</v>
      </c>
    </row>
    <row r="21" spans="1:17" x14ac:dyDescent="0.25">
      <c r="A21" s="2">
        <v>18</v>
      </c>
      <c r="B21" s="9">
        <v>43262</v>
      </c>
      <c r="C21" s="30" t="s">
        <v>221</v>
      </c>
      <c r="D21" s="4" t="s">
        <v>65</v>
      </c>
      <c r="E21" s="4" t="s">
        <v>66</v>
      </c>
      <c r="F21" s="4" t="s">
        <v>37</v>
      </c>
      <c r="G21" s="4" t="s">
        <v>38</v>
      </c>
      <c r="H21" s="4" t="s">
        <v>134</v>
      </c>
      <c r="I21" s="10">
        <v>4988394</v>
      </c>
      <c r="J21" s="11">
        <v>2.5000000000000001E-2</v>
      </c>
      <c r="K21" s="8">
        <f t="shared" si="0"/>
        <v>124709.85</v>
      </c>
      <c r="L21" s="10">
        <v>0</v>
      </c>
      <c r="M21" s="10">
        <v>11223.886500000001</v>
      </c>
      <c r="N21" s="10">
        <v>11223.886500000001</v>
      </c>
      <c r="O21" s="10">
        <v>6235.4925000000003</v>
      </c>
      <c r="P21" s="8">
        <f t="shared" si="1"/>
        <v>22447.773000000001</v>
      </c>
      <c r="Q21" s="8">
        <v>140922.1305</v>
      </c>
    </row>
    <row r="22" spans="1:17" x14ac:dyDescent="0.25">
      <c r="A22" s="2">
        <v>19</v>
      </c>
      <c r="B22" s="9">
        <v>43262</v>
      </c>
      <c r="C22" s="30" t="s">
        <v>221</v>
      </c>
      <c r="D22" s="4" t="s">
        <v>68</v>
      </c>
      <c r="E22" s="4" t="s">
        <v>67</v>
      </c>
      <c r="F22" s="4" t="s">
        <v>37</v>
      </c>
      <c r="G22" s="4" t="s">
        <v>38</v>
      </c>
      <c r="H22" s="4" t="s">
        <v>134</v>
      </c>
      <c r="I22" s="10">
        <v>6280505</v>
      </c>
      <c r="J22" s="11">
        <v>0.02</v>
      </c>
      <c r="K22" s="8">
        <f t="shared" si="0"/>
        <v>125610.1</v>
      </c>
      <c r="L22" s="10">
        <v>0</v>
      </c>
      <c r="M22" s="10">
        <v>11304.909</v>
      </c>
      <c r="N22" s="10">
        <v>11304.909</v>
      </c>
      <c r="O22" s="10">
        <v>6280.505000000001</v>
      </c>
      <c r="P22" s="8">
        <f t="shared" si="1"/>
        <v>22609.817999999999</v>
      </c>
      <c r="Q22" s="8">
        <v>141939.413</v>
      </c>
    </row>
    <row r="23" spans="1:17" x14ac:dyDescent="0.25">
      <c r="A23" s="2">
        <v>20</v>
      </c>
      <c r="B23" s="9">
        <v>43262</v>
      </c>
      <c r="C23" s="30" t="s">
        <v>221</v>
      </c>
      <c r="D23" s="4" t="s">
        <v>69</v>
      </c>
      <c r="E23" s="4" t="s">
        <v>70</v>
      </c>
      <c r="F23" s="4" t="s">
        <v>37</v>
      </c>
      <c r="G23" s="4" t="s">
        <v>38</v>
      </c>
      <c r="H23" s="4" t="s">
        <v>134</v>
      </c>
      <c r="I23" s="10">
        <v>5180940</v>
      </c>
      <c r="J23" s="11">
        <v>0.02</v>
      </c>
      <c r="K23" s="8">
        <f t="shared" si="0"/>
        <v>103618.8</v>
      </c>
      <c r="L23" s="10">
        <v>0</v>
      </c>
      <c r="M23" s="10">
        <v>9325.6919999999991</v>
      </c>
      <c r="N23" s="10">
        <v>9325.6919999999991</v>
      </c>
      <c r="O23" s="10">
        <v>5180.9400000000005</v>
      </c>
      <c r="P23" s="8">
        <f t="shared" si="1"/>
        <v>18651.383999999998</v>
      </c>
      <c r="Q23" s="8">
        <v>117089.24399999999</v>
      </c>
    </row>
    <row r="24" spans="1:17" x14ac:dyDescent="0.25">
      <c r="A24" s="2">
        <v>21</v>
      </c>
      <c r="B24" s="9">
        <v>43255</v>
      </c>
      <c r="C24" s="30" t="s">
        <v>221</v>
      </c>
      <c r="D24" s="4" t="s">
        <v>71</v>
      </c>
      <c r="E24" s="4" t="s">
        <v>74</v>
      </c>
      <c r="F24" s="4" t="s">
        <v>72</v>
      </c>
      <c r="G24" s="4" t="s">
        <v>73</v>
      </c>
      <c r="H24" s="4" t="s">
        <v>134</v>
      </c>
      <c r="I24" s="10">
        <v>7264650</v>
      </c>
      <c r="J24" s="11">
        <v>0.02</v>
      </c>
      <c r="K24" s="8">
        <f t="shared" si="0"/>
        <v>145293</v>
      </c>
      <c r="L24" s="8">
        <f>+K24*18%</f>
        <v>26152.739999999998</v>
      </c>
      <c r="M24" s="10"/>
      <c r="N24" s="10"/>
      <c r="O24" s="10">
        <v>7264.6500000000005</v>
      </c>
      <c r="P24" s="8">
        <f t="shared" si="1"/>
        <v>26152.739999999998</v>
      </c>
      <c r="Q24" s="8">
        <v>164181.09</v>
      </c>
    </row>
    <row r="25" spans="1:17" x14ac:dyDescent="0.25">
      <c r="A25" s="2">
        <v>22</v>
      </c>
      <c r="B25" s="9">
        <v>43268</v>
      </c>
      <c r="C25" s="30" t="s">
        <v>221</v>
      </c>
      <c r="D25" s="4" t="s">
        <v>75</v>
      </c>
      <c r="E25" s="4" t="s">
        <v>76</v>
      </c>
      <c r="F25" s="4" t="s">
        <v>18</v>
      </c>
      <c r="G25" s="4" t="s">
        <v>19</v>
      </c>
      <c r="H25" s="4" t="s">
        <v>134</v>
      </c>
      <c r="I25" s="10">
        <v>5760525</v>
      </c>
      <c r="J25" s="11">
        <v>0.03</v>
      </c>
      <c r="K25" s="8">
        <f t="shared" si="0"/>
        <v>172815.75</v>
      </c>
      <c r="L25" s="10">
        <v>0</v>
      </c>
      <c r="M25" s="10">
        <v>15553.4175</v>
      </c>
      <c r="N25" s="10">
        <v>15553.4175</v>
      </c>
      <c r="O25" s="10">
        <v>8640.7875000000004</v>
      </c>
      <c r="P25" s="8">
        <f t="shared" si="1"/>
        <v>31106.834999999999</v>
      </c>
      <c r="Q25" s="8">
        <v>195281.79750000002</v>
      </c>
    </row>
    <row r="26" spans="1:17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8">
        <f t="shared" si="1"/>
        <v>0</v>
      </c>
      <c r="Q26" s="2"/>
    </row>
    <row r="27" spans="1:17" ht="15.75" x14ac:dyDescent="0.25">
      <c r="A27" s="109" t="s">
        <v>228</v>
      </c>
      <c r="B27" s="109"/>
      <c r="C27" s="109"/>
      <c r="D27" s="109"/>
      <c r="E27" s="109"/>
      <c r="F27" s="109"/>
      <c r="G27" s="109"/>
      <c r="H27" s="109"/>
      <c r="I27" s="32">
        <f>SUM(I4:I26)</f>
        <v>122246703.5</v>
      </c>
      <c r="J27" s="33"/>
      <c r="K27" s="32">
        <f>SUM(K4:K26)</f>
        <v>2722718.5049999999</v>
      </c>
      <c r="L27" s="32">
        <f t="shared" ref="L27:Q27" si="5">SUM(L4:L26)</f>
        <v>188710.79579999996</v>
      </c>
      <c r="M27" s="32">
        <f t="shared" si="5"/>
        <v>150689.26754999999</v>
      </c>
      <c r="N27" s="32">
        <f t="shared" si="5"/>
        <v>150689.26754999999</v>
      </c>
      <c r="O27" s="32">
        <f t="shared" si="5"/>
        <v>136135.92525</v>
      </c>
      <c r="P27" s="32">
        <f>SUM(P4:P26)</f>
        <v>490089.33089999994</v>
      </c>
      <c r="Q27" s="32">
        <f t="shared" si="5"/>
        <v>3111481.39065</v>
      </c>
    </row>
    <row r="29" spans="1:17" x14ac:dyDescent="0.25">
      <c r="A29" s="2"/>
      <c r="B29" s="28">
        <v>43348</v>
      </c>
      <c r="C29" s="31" t="s">
        <v>220</v>
      </c>
      <c r="D29" s="4" t="s">
        <v>213</v>
      </c>
      <c r="E29" s="4" t="s">
        <v>214</v>
      </c>
      <c r="F29" s="4" t="s">
        <v>215</v>
      </c>
      <c r="G29" s="4" t="s">
        <v>216</v>
      </c>
      <c r="H29" s="4" t="s">
        <v>135</v>
      </c>
      <c r="I29" s="10">
        <v>5208000</v>
      </c>
      <c r="J29" s="11">
        <v>0.03</v>
      </c>
      <c r="K29" s="8">
        <v>156240</v>
      </c>
      <c r="L29" s="10"/>
      <c r="M29" s="10">
        <v>14061.6</v>
      </c>
      <c r="N29" s="10">
        <v>14061.6</v>
      </c>
      <c r="O29" s="10">
        <v>7812</v>
      </c>
      <c r="P29" s="10"/>
      <c r="Q29" s="8">
        <v>176551.2</v>
      </c>
    </row>
    <row r="30" spans="1:17" x14ac:dyDescent="0.25">
      <c r="A30" s="2">
        <v>23</v>
      </c>
      <c r="B30" s="9">
        <v>43290</v>
      </c>
      <c r="C30" s="30" t="s">
        <v>223</v>
      </c>
      <c r="D30" s="4" t="s">
        <v>77</v>
      </c>
      <c r="E30" s="4" t="s">
        <v>136</v>
      </c>
      <c r="F30" s="4" t="s">
        <v>78</v>
      </c>
      <c r="G30" s="4" t="s">
        <v>79</v>
      </c>
      <c r="H30" s="4" t="s">
        <v>134</v>
      </c>
      <c r="I30" s="10">
        <v>2695041</v>
      </c>
      <c r="J30" s="11">
        <v>0.02</v>
      </c>
      <c r="K30" s="8">
        <v>53900.82</v>
      </c>
      <c r="L30" s="10">
        <v>0</v>
      </c>
      <c r="M30" s="10">
        <v>4851.0738000000001</v>
      </c>
      <c r="N30" s="10">
        <v>4851.0738000000001</v>
      </c>
      <c r="O30" s="10">
        <v>2695.0410000000002</v>
      </c>
      <c r="P30" s="10"/>
      <c r="Q30" s="8">
        <v>60907.926599999999</v>
      </c>
    </row>
    <row r="31" spans="1:17" x14ac:dyDescent="0.25">
      <c r="A31" s="2">
        <v>24</v>
      </c>
      <c r="B31" s="9">
        <v>43290</v>
      </c>
      <c r="C31" s="30" t="s">
        <v>223</v>
      </c>
      <c r="D31" s="4" t="s">
        <v>80</v>
      </c>
      <c r="E31" s="4" t="s">
        <v>137</v>
      </c>
      <c r="F31" s="4" t="s">
        <v>78</v>
      </c>
      <c r="G31" s="4" t="s">
        <v>79</v>
      </c>
      <c r="H31" s="4" t="s">
        <v>134</v>
      </c>
      <c r="I31" s="10">
        <v>4197207</v>
      </c>
      <c r="J31" s="11">
        <v>0.02</v>
      </c>
      <c r="K31" s="8">
        <v>83944.14</v>
      </c>
      <c r="L31" s="10">
        <v>0</v>
      </c>
      <c r="M31" s="10">
        <v>7554.9726000000001</v>
      </c>
      <c r="N31" s="10">
        <v>7554.9726000000001</v>
      </c>
      <c r="O31" s="10">
        <v>4197.2070000000003</v>
      </c>
      <c r="P31" s="10"/>
      <c r="Q31" s="8">
        <v>94856.878199999992</v>
      </c>
    </row>
    <row r="32" spans="1:17" x14ac:dyDescent="0.25">
      <c r="A32" s="2">
        <v>25</v>
      </c>
      <c r="B32" s="3">
        <v>43298</v>
      </c>
      <c r="C32" s="30" t="s">
        <v>223</v>
      </c>
      <c r="D32" s="2" t="s">
        <v>81</v>
      </c>
      <c r="E32" s="2" t="s">
        <v>82</v>
      </c>
      <c r="F32" s="2" t="s">
        <v>83</v>
      </c>
      <c r="G32" s="2" t="s">
        <v>84</v>
      </c>
      <c r="H32" s="2" t="s">
        <v>133</v>
      </c>
      <c r="I32" s="8">
        <v>4550580</v>
      </c>
      <c r="J32" s="5">
        <v>0.02</v>
      </c>
      <c r="K32" s="8">
        <v>91011.6</v>
      </c>
      <c r="L32" s="8">
        <v>0</v>
      </c>
      <c r="M32" s="8">
        <v>8191.0439999999999</v>
      </c>
      <c r="N32" s="8">
        <v>8191.0439999999999</v>
      </c>
      <c r="O32" s="8">
        <v>4550.5800000000008</v>
      </c>
      <c r="P32" s="8"/>
      <c r="Q32" s="8">
        <v>102843.10799999999</v>
      </c>
    </row>
    <row r="33" spans="1:17" x14ac:dyDescent="0.25">
      <c r="A33" s="2">
        <v>26</v>
      </c>
      <c r="B33" s="3">
        <v>43298</v>
      </c>
      <c r="C33" s="30" t="s">
        <v>223</v>
      </c>
      <c r="D33" s="2" t="s">
        <v>85</v>
      </c>
      <c r="E33" s="2" t="s">
        <v>82</v>
      </c>
      <c r="F33" s="2" t="s">
        <v>83</v>
      </c>
      <c r="G33" s="2" t="s">
        <v>84</v>
      </c>
      <c r="H33" s="2" t="s">
        <v>133</v>
      </c>
      <c r="I33" s="8">
        <v>3339000</v>
      </c>
      <c r="J33" s="5">
        <v>0.02</v>
      </c>
      <c r="K33" s="8">
        <v>66780</v>
      </c>
      <c r="L33" s="8">
        <v>0</v>
      </c>
      <c r="M33" s="8">
        <v>6010.2</v>
      </c>
      <c r="N33" s="8">
        <v>6010.2</v>
      </c>
      <c r="O33" s="8">
        <v>3339</v>
      </c>
      <c r="P33" s="8"/>
      <c r="Q33" s="8">
        <v>75461.399999999994</v>
      </c>
    </row>
    <row r="34" spans="1:17" x14ac:dyDescent="0.25">
      <c r="A34" s="2">
        <v>27</v>
      </c>
      <c r="B34" s="3">
        <v>43293</v>
      </c>
      <c r="C34" s="30" t="s">
        <v>223</v>
      </c>
      <c r="D34" s="2" t="s">
        <v>86</v>
      </c>
      <c r="E34" s="2" t="s">
        <v>87</v>
      </c>
      <c r="F34" s="2" t="s">
        <v>88</v>
      </c>
      <c r="G34" s="2" t="s">
        <v>89</v>
      </c>
      <c r="H34" s="2" t="s">
        <v>135</v>
      </c>
      <c r="I34" s="8">
        <v>4603500</v>
      </c>
      <c r="J34" s="5">
        <v>0.03</v>
      </c>
      <c r="K34" s="8">
        <v>138105</v>
      </c>
      <c r="L34" s="8">
        <v>24858.899999999998</v>
      </c>
      <c r="M34" s="8"/>
      <c r="N34" s="8"/>
      <c r="O34" s="8">
        <v>6905.25</v>
      </c>
      <c r="P34" s="8"/>
      <c r="Q34" s="8">
        <v>156058.65</v>
      </c>
    </row>
    <row r="35" spans="1:17" x14ac:dyDescent="0.25">
      <c r="A35" s="2">
        <v>29</v>
      </c>
      <c r="B35" s="3">
        <v>43326</v>
      </c>
      <c r="C35" s="29" t="s">
        <v>224</v>
      </c>
      <c r="D35" s="2" t="s">
        <v>138</v>
      </c>
      <c r="E35" s="2" t="s">
        <v>90</v>
      </c>
      <c r="F35" s="2" t="s">
        <v>91</v>
      </c>
      <c r="G35" s="2" t="s">
        <v>92</v>
      </c>
      <c r="H35" s="2" t="s">
        <v>133</v>
      </c>
      <c r="I35" s="8">
        <v>6179238</v>
      </c>
      <c r="J35" s="5">
        <v>0.02</v>
      </c>
      <c r="K35" s="8">
        <v>123584.76000000001</v>
      </c>
      <c r="L35" s="8">
        <v>0</v>
      </c>
      <c r="M35" s="8">
        <v>11122.6284</v>
      </c>
      <c r="N35" s="8">
        <v>11122.6284</v>
      </c>
      <c r="O35" s="8">
        <v>6179.2380000000012</v>
      </c>
      <c r="P35" s="8"/>
      <c r="Q35" s="8">
        <v>139650.77879999997</v>
      </c>
    </row>
    <row r="36" spans="1:17" x14ac:dyDescent="0.25">
      <c r="A36" s="2">
        <v>30</v>
      </c>
      <c r="B36" s="3">
        <v>43300</v>
      </c>
      <c r="C36" s="30" t="s">
        <v>223</v>
      </c>
      <c r="D36" s="2" t="s">
        <v>93</v>
      </c>
      <c r="E36" s="2" t="s">
        <v>94</v>
      </c>
      <c r="F36" s="2" t="s">
        <v>95</v>
      </c>
      <c r="G36" s="2" t="s">
        <v>96</v>
      </c>
      <c r="H36" s="2" t="s">
        <v>135</v>
      </c>
      <c r="I36" s="8">
        <v>9287700</v>
      </c>
      <c r="J36" s="5">
        <v>0.02</v>
      </c>
      <c r="K36" s="8">
        <v>185754</v>
      </c>
      <c r="L36" s="8">
        <v>33435.72</v>
      </c>
      <c r="M36" s="8"/>
      <c r="N36" s="8"/>
      <c r="O36" s="8">
        <v>9287.7000000000007</v>
      </c>
      <c r="P36" s="8"/>
      <c r="Q36" s="8">
        <v>209902.02</v>
      </c>
    </row>
    <row r="37" spans="1:17" x14ac:dyDescent="0.25">
      <c r="A37" s="2">
        <v>31</v>
      </c>
      <c r="B37" s="3">
        <v>43308</v>
      </c>
      <c r="C37" s="30" t="s">
        <v>223</v>
      </c>
      <c r="D37" s="2" t="s">
        <v>97</v>
      </c>
      <c r="E37" s="2" t="s">
        <v>98</v>
      </c>
      <c r="F37" s="2" t="s">
        <v>115</v>
      </c>
      <c r="G37" s="2" t="s">
        <v>48</v>
      </c>
      <c r="H37" s="2" t="s">
        <v>134</v>
      </c>
      <c r="I37" s="8">
        <v>7663644</v>
      </c>
      <c r="J37" s="5">
        <v>0.03</v>
      </c>
      <c r="K37" s="8">
        <v>229909.31999999998</v>
      </c>
      <c r="L37" s="8">
        <v>0</v>
      </c>
      <c r="M37" s="8">
        <v>20691.838799999998</v>
      </c>
      <c r="N37" s="8">
        <v>20691.838799999998</v>
      </c>
      <c r="O37" s="8">
        <v>11495.466</v>
      </c>
      <c r="P37" s="8"/>
      <c r="Q37" s="8">
        <v>259797.53159999999</v>
      </c>
    </row>
    <row r="38" spans="1:17" x14ac:dyDescent="0.25">
      <c r="A38" s="2">
        <v>32</v>
      </c>
      <c r="B38" s="3">
        <v>43315</v>
      </c>
      <c r="C38" s="29" t="s">
        <v>224</v>
      </c>
      <c r="D38" s="2" t="s">
        <v>99</v>
      </c>
      <c r="E38" s="2" t="s">
        <v>100</v>
      </c>
      <c r="F38" s="2" t="s">
        <v>101</v>
      </c>
      <c r="G38" s="2" t="s">
        <v>102</v>
      </c>
      <c r="H38" s="2" t="s">
        <v>133</v>
      </c>
      <c r="I38" s="8">
        <v>36200000</v>
      </c>
      <c r="J38" s="5">
        <v>0.02</v>
      </c>
      <c r="K38" s="8">
        <v>724000</v>
      </c>
      <c r="L38" s="8">
        <v>130320</v>
      </c>
      <c r="M38" s="8"/>
      <c r="N38" s="8"/>
      <c r="O38" s="8">
        <v>36200</v>
      </c>
      <c r="P38" s="8"/>
      <c r="Q38" s="8">
        <v>818120</v>
      </c>
    </row>
    <row r="39" spans="1:17" x14ac:dyDescent="0.25">
      <c r="A39" s="2">
        <v>33</v>
      </c>
      <c r="B39" s="3">
        <v>43305</v>
      </c>
      <c r="C39" s="30" t="s">
        <v>223</v>
      </c>
      <c r="D39" s="2" t="s">
        <v>103</v>
      </c>
      <c r="E39" s="2" t="s">
        <v>104</v>
      </c>
      <c r="F39" s="2" t="s">
        <v>13</v>
      </c>
      <c r="G39" s="2" t="s">
        <v>14</v>
      </c>
      <c r="H39" s="2" t="s">
        <v>133</v>
      </c>
      <c r="I39" s="8">
        <v>6299727</v>
      </c>
      <c r="J39" s="5">
        <v>0.02</v>
      </c>
      <c r="K39" s="8">
        <v>125994.54000000001</v>
      </c>
      <c r="L39" s="8"/>
      <c r="M39" s="8">
        <v>11339.508600000001</v>
      </c>
      <c r="N39" s="8">
        <v>11339.508600000001</v>
      </c>
      <c r="O39" s="8">
        <v>6299.7270000000008</v>
      </c>
      <c r="P39" s="8"/>
      <c r="Q39" s="8">
        <v>142373.8302</v>
      </c>
    </row>
    <row r="40" spans="1:17" x14ac:dyDescent="0.25">
      <c r="A40" s="2">
        <v>34</v>
      </c>
      <c r="B40" s="3">
        <v>43316</v>
      </c>
      <c r="C40" s="29" t="s">
        <v>224</v>
      </c>
      <c r="D40" s="2" t="s">
        <v>105</v>
      </c>
      <c r="E40" s="2" t="s">
        <v>106</v>
      </c>
      <c r="F40" s="2" t="s">
        <v>107</v>
      </c>
      <c r="G40" s="2" t="s">
        <v>108</v>
      </c>
      <c r="H40" s="2" t="s">
        <v>135</v>
      </c>
      <c r="I40" s="8">
        <v>7087300</v>
      </c>
      <c r="J40" s="5">
        <v>0.02</v>
      </c>
      <c r="K40" s="8">
        <v>141746</v>
      </c>
      <c r="L40" s="8">
        <v>25514.28</v>
      </c>
      <c r="M40" s="8"/>
      <c r="N40" s="8"/>
      <c r="O40" s="8">
        <v>7087.3</v>
      </c>
      <c r="P40" s="8"/>
      <c r="Q40" s="8">
        <v>160172.98000000001</v>
      </c>
    </row>
    <row r="41" spans="1:17" x14ac:dyDescent="0.25">
      <c r="A41" s="2">
        <v>35</v>
      </c>
      <c r="B41" s="3">
        <v>43313</v>
      </c>
      <c r="C41" s="29" t="s">
        <v>224</v>
      </c>
      <c r="D41" s="2" t="s">
        <v>109</v>
      </c>
      <c r="E41" s="2" t="s">
        <v>110</v>
      </c>
      <c r="F41" s="2" t="s">
        <v>111</v>
      </c>
      <c r="G41" s="2" t="s">
        <v>112</v>
      </c>
      <c r="H41" s="2" t="s">
        <v>133</v>
      </c>
      <c r="I41" s="8">
        <v>7312000</v>
      </c>
      <c r="J41" s="16">
        <v>2.75E-2</v>
      </c>
      <c r="K41" s="8">
        <v>201080</v>
      </c>
      <c r="L41" s="8"/>
      <c r="M41" s="8">
        <v>18097.2</v>
      </c>
      <c r="N41" s="8">
        <v>18097.2</v>
      </c>
      <c r="O41" s="8">
        <v>10054</v>
      </c>
      <c r="P41" s="8"/>
      <c r="Q41" s="8">
        <v>227220.40000000002</v>
      </c>
    </row>
    <row r="42" spans="1:17" x14ac:dyDescent="0.25">
      <c r="A42" s="2">
        <v>36</v>
      </c>
      <c r="B42" s="3">
        <v>43318</v>
      </c>
      <c r="C42" s="29" t="s">
        <v>224</v>
      </c>
      <c r="D42" s="2" t="s">
        <v>113</v>
      </c>
      <c r="E42" s="2" t="s">
        <v>114</v>
      </c>
      <c r="F42" s="2" t="s">
        <v>115</v>
      </c>
      <c r="G42" s="2" t="s">
        <v>48</v>
      </c>
      <c r="H42" s="2" t="s">
        <v>134</v>
      </c>
      <c r="I42" s="8">
        <v>4456384</v>
      </c>
      <c r="J42" s="5">
        <v>0.03</v>
      </c>
      <c r="K42" s="8">
        <v>133691.51999999999</v>
      </c>
      <c r="L42" s="8">
        <v>0</v>
      </c>
      <c r="M42" s="8">
        <v>12032.236799999999</v>
      </c>
      <c r="N42" s="8">
        <v>12032.236799999999</v>
      </c>
      <c r="O42" s="8">
        <v>6684.576</v>
      </c>
      <c r="P42" s="8"/>
      <c r="Q42" s="8">
        <v>151071.41759999999</v>
      </c>
    </row>
    <row r="43" spans="1:17" x14ac:dyDescent="0.25">
      <c r="A43" s="2">
        <v>37</v>
      </c>
      <c r="B43" s="3">
        <v>43320</v>
      </c>
      <c r="C43" s="29" t="s">
        <v>224</v>
      </c>
      <c r="D43" s="2" t="s">
        <v>116</v>
      </c>
      <c r="E43" s="2" t="s">
        <v>117</v>
      </c>
      <c r="F43" s="2" t="s">
        <v>18</v>
      </c>
      <c r="G43" s="2" t="s">
        <v>19</v>
      </c>
      <c r="H43" s="2" t="s">
        <v>134</v>
      </c>
      <c r="I43" s="8">
        <v>2817920</v>
      </c>
      <c r="J43" s="5">
        <v>0.03</v>
      </c>
      <c r="K43" s="8">
        <v>84537.599999999991</v>
      </c>
      <c r="L43" s="8">
        <v>0</v>
      </c>
      <c r="M43" s="8">
        <v>7608.3839999999991</v>
      </c>
      <c r="N43" s="8">
        <v>7608.3839999999991</v>
      </c>
      <c r="O43" s="8">
        <v>4226.88</v>
      </c>
      <c r="P43" s="8"/>
      <c r="Q43" s="8">
        <v>95527.487999999998</v>
      </c>
    </row>
    <row r="44" spans="1:17" x14ac:dyDescent="0.25">
      <c r="A44" s="2">
        <v>38</v>
      </c>
      <c r="B44" s="3">
        <v>43320</v>
      </c>
      <c r="C44" s="29" t="s">
        <v>224</v>
      </c>
      <c r="D44" s="2" t="s">
        <v>116</v>
      </c>
      <c r="E44" s="2" t="s">
        <v>118</v>
      </c>
      <c r="F44" s="2" t="s">
        <v>18</v>
      </c>
      <c r="G44" s="2" t="s">
        <v>19</v>
      </c>
      <c r="H44" s="2" t="s">
        <v>134</v>
      </c>
      <c r="I44" s="8">
        <v>2861120</v>
      </c>
      <c r="J44" s="5">
        <v>0.03</v>
      </c>
      <c r="K44" s="8">
        <v>85833.599999999991</v>
      </c>
      <c r="L44" s="8">
        <v>0</v>
      </c>
      <c r="M44" s="8">
        <v>7725.0239999999985</v>
      </c>
      <c r="N44" s="8">
        <v>7725.0239999999985</v>
      </c>
      <c r="O44" s="8">
        <v>4291.6799999999994</v>
      </c>
      <c r="P44" s="8"/>
      <c r="Q44" s="8">
        <v>96991.968000000008</v>
      </c>
    </row>
    <row r="45" spans="1:17" x14ac:dyDescent="0.25">
      <c r="A45" s="2">
        <v>39</v>
      </c>
      <c r="B45" s="3">
        <v>43336</v>
      </c>
      <c r="C45" s="29" t="s">
        <v>224</v>
      </c>
      <c r="D45" s="2" t="s">
        <v>119</v>
      </c>
      <c r="E45" s="2" t="s">
        <v>120</v>
      </c>
      <c r="F45" s="2" t="s">
        <v>107</v>
      </c>
      <c r="G45" s="2" t="s">
        <v>108</v>
      </c>
      <c r="H45" s="2" t="s">
        <v>135</v>
      </c>
      <c r="I45" s="8">
        <v>8628200</v>
      </c>
      <c r="J45" s="5">
        <v>0.02</v>
      </c>
      <c r="K45" s="8">
        <v>172564</v>
      </c>
      <c r="L45" s="8">
        <v>31061.52</v>
      </c>
      <c r="M45" s="8"/>
      <c r="N45" s="8"/>
      <c r="O45" s="8">
        <v>8628.2000000000007</v>
      </c>
      <c r="P45" s="8"/>
      <c r="Q45" s="8">
        <v>194997.31999999998</v>
      </c>
    </row>
    <row r="46" spans="1:17" x14ac:dyDescent="0.25">
      <c r="A46" s="2">
        <v>40</v>
      </c>
      <c r="B46" s="3">
        <v>43332</v>
      </c>
      <c r="C46" s="29" t="s">
        <v>224</v>
      </c>
      <c r="D46" s="2" t="s">
        <v>121</v>
      </c>
      <c r="E46" s="2" t="s">
        <v>122</v>
      </c>
      <c r="F46" s="2" t="s">
        <v>13</v>
      </c>
      <c r="G46" s="2" t="s">
        <v>14</v>
      </c>
      <c r="H46" s="2" t="s">
        <v>133</v>
      </c>
      <c r="I46" s="8">
        <v>5821517</v>
      </c>
      <c r="J46" s="5">
        <v>0.02</v>
      </c>
      <c r="K46" s="8">
        <v>116430.34</v>
      </c>
      <c r="L46" s="8">
        <v>0</v>
      </c>
      <c r="M46" s="8">
        <v>10478.730599999999</v>
      </c>
      <c r="N46" s="8">
        <v>10478.730599999999</v>
      </c>
      <c r="O46" s="8">
        <v>5821.5169999999998</v>
      </c>
      <c r="P46" s="8"/>
      <c r="Q46" s="8">
        <v>131566.28419999999</v>
      </c>
    </row>
    <row r="47" spans="1:17" x14ac:dyDescent="0.25">
      <c r="A47" s="2">
        <v>41</v>
      </c>
      <c r="B47" s="3">
        <v>43364</v>
      </c>
      <c r="C47" s="31" t="s">
        <v>220</v>
      </c>
      <c r="D47" s="2" t="s">
        <v>139</v>
      </c>
      <c r="E47" s="2" t="s">
        <v>140</v>
      </c>
      <c r="F47" s="2" t="s">
        <v>91</v>
      </c>
      <c r="G47" s="2" t="s">
        <v>141</v>
      </c>
      <c r="H47" s="2" t="s">
        <v>133</v>
      </c>
      <c r="I47" s="8">
        <v>8600645</v>
      </c>
      <c r="J47" s="5">
        <v>1.2E-2</v>
      </c>
      <c r="K47" s="8">
        <v>103207.74</v>
      </c>
      <c r="L47" s="8"/>
      <c r="M47" s="8">
        <v>9288.6965999999993</v>
      </c>
      <c r="N47" s="8">
        <v>9288.6965999999993</v>
      </c>
      <c r="O47" s="8">
        <v>5160.3870000000006</v>
      </c>
      <c r="P47" s="8"/>
      <c r="Q47" s="8">
        <v>116624.74619999999</v>
      </c>
    </row>
    <row r="48" spans="1:17" x14ac:dyDescent="0.25">
      <c r="A48" s="2">
        <v>42</v>
      </c>
      <c r="B48" s="3">
        <v>43336</v>
      </c>
      <c r="C48" s="29" t="s">
        <v>224</v>
      </c>
      <c r="D48" s="2" t="s">
        <v>142</v>
      </c>
      <c r="E48" s="2" t="s">
        <v>143</v>
      </c>
      <c r="F48" s="2" t="s">
        <v>47</v>
      </c>
      <c r="G48" s="2" t="s">
        <v>131</v>
      </c>
      <c r="H48" s="2" t="s">
        <v>134</v>
      </c>
      <c r="I48" s="8">
        <v>4201518</v>
      </c>
      <c r="J48" s="5">
        <v>0.03</v>
      </c>
      <c r="K48" s="8">
        <v>126045.54</v>
      </c>
      <c r="L48" s="8"/>
      <c r="M48" s="8">
        <v>11344.098599999999</v>
      </c>
      <c r="N48" s="8">
        <v>11344.098599999999</v>
      </c>
      <c r="O48" s="8">
        <v>6302.277</v>
      </c>
      <c r="P48" s="8"/>
      <c r="Q48" s="8">
        <v>142431.4602</v>
      </c>
    </row>
    <row r="49" spans="1:17" x14ac:dyDescent="0.25">
      <c r="A49" s="2">
        <v>43</v>
      </c>
      <c r="B49" s="2" t="s">
        <v>147</v>
      </c>
      <c r="C49" s="29" t="s">
        <v>224</v>
      </c>
      <c r="D49" s="2" t="s">
        <v>148</v>
      </c>
      <c r="E49" s="2" t="s">
        <v>149</v>
      </c>
      <c r="F49" s="2" t="s">
        <v>18</v>
      </c>
      <c r="G49" s="2" t="s">
        <v>127</v>
      </c>
      <c r="H49" s="2" t="s">
        <v>134</v>
      </c>
      <c r="I49" s="8">
        <v>4572300</v>
      </c>
      <c r="J49" s="5">
        <v>0.03</v>
      </c>
      <c r="K49" s="8">
        <v>137169</v>
      </c>
      <c r="L49" s="8"/>
      <c r="M49" s="8">
        <v>12345.21</v>
      </c>
      <c r="N49" s="8">
        <v>12345.21</v>
      </c>
      <c r="O49" s="8">
        <v>6858.4500000000007</v>
      </c>
      <c r="P49" s="8"/>
      <c r="Q49" s="8">
        <v>155000.96999999997</v>
      </c>
    </row>
    <row r="50" spans="1:17" x14ac:dyDescent="0.25">
      <c r="A50" s="2">
        <v>44</v>
      </c>
      <c r="B50" s="3">
        <v>43347</v>
      </c>
      <c r="C50" s="31" t="s">
        <v>220</v>
      </c>
      <c r="D50" s="2" t="s">
        <v>154</v>
      </c>
      <c r="E50" s="2" t="s">
        <v>155</v>
      </c>
      <c r="F50" s="2" t="s">
        <v>156</v>
      </c>
      <c r="G50" s="2" t="s">
        <v>157</v>
      </c>
      <c r="H50" s="2" t="s">
        <v>133</v>
      </c>
      <c r="I50" s="8">
        <v>3937674</v>
      </c>
      <c r="J50" s="5">
        <v>0.02</v>
      </c>
      <c r="K50" s="8">
        <v>78753.48</v>
      </c>
      <c r="L50" s="8"/>
      <c r="M50" s="8">
        <v>7087.8131999999996</v>
      </c>
      <c r="N50" s="8">
        <v>7087.8131999999996</v>
      </c>
      <c r="O50" s="8">
        <v>3937.674</v>
      </c>
      <c r="P50" s="8"/>
      <c r="Q50" s="8">
        <v>88991.432400000005</v>
      </c>
    </row>
    <row r="51" spans="1:17" x14ac:dyDescent="0.25">
      <c r="A51" s="2">
        <v>45</v>
      </c>
      <c r="B51" s="3">
        <v>43348</v>
      </c>
      <c r="C51" s="31" t="s">
        <v>220</v>
      </c>
      <c r="D51" s="2" t="s">
        <v>151</v>
      </c>
      <c r="E51" s="2" t="s">
        <v>152</v>
      </c>
      <c r="F51" s="2" t="s">
        <v>78</v>
      </c>
      <c r="G51" s="2" t="s">
        <v>153</v>
      </c>
      <c r="H51" s="2" t="s">
        <v>134</v>
      </c>
      <c r="I51" s="8">
        <v>4105008</v>
      </c>
      <c r="J51" s="5">
        <v>0.02</v>
      </c>
      <c r="K51" s="8">
        <v>82100.160000000003</v>
      </c>
      <c r="L51" s="8"/>
      <c r="M51" s="8">
        <v>7389.0144</v>
      </c>
      <c r="N51" s="8">
        <v>7389.0144</v>
      </c>
      <c r="O51" s="8">
        <v>4105.0080000000007</v>
      </c>
      <c r="P51" s="8"/>
      <c r="Q51" s="8">
        <v>92773.180800000002</v>
      </c>
    </row>
    <row r="52" spans="1:17" x14ac:dyDescent="0.25">
      <c r="A52" s="2">
        <v>46</v>
      </c>
      <c r="B52" s="3">
        <v>43372</v>
      </c>
      <c r="C52" s="31" t="s">
        <v>220</v>
      </c>
      <c r="D52" s="2" t="s">
        <v>158</v>
      </c>
      <c r="E52" s="2" t="s">
        <v>159</v>
      </c>
      <c r="F52" s="2" t="s">
        <v>91</v>
      </c>
      <c r="G52" s="2" t="s">
        <v>141</v>
      </c>
      <c r="H52" s="2" t="s">
        <v>133</v>
      </c>
      <c r="I52" s="8">
        <v>5800203</v>
      </c>
      <c r="J52" s="5">
        <v>1.2E-2</v>
      </c>
      <c r="K52" s="8">
        <v>69602.436000000002</v>
      </c>
      <c r="L52" s="8"/>
      <c r="M52" s="8">
        <v>6264.2192400000004</v>
      </c>
      <c r="N52" s="8">
        <v>6264.2192400000004</v>
      </c>
      <c r="O52" s="8">
        <v>3480.1218000000003</v>
      </c>
      <c r="P52" s="8"/>
      <c r="Q52" s="8">
        <v>78650.75268000002</v>
      </c>
    </row>
    <row r="53" spans="1:17" x14ac:dyDescent="0.25">
      <c r="A53" s="2">
        <v>47</v>
      </c>
      <c r="B53" s="3">
        <v>43361</v>
      </c>
      <c r="C53" s="31" t="s">
        <v>220</v>
      </c>
      <c r="D53" s="2" t="s">
        <v>162</v>
      </c>
      <c r="E53" s="2" t="s">
        <v>163</v>
      </c>
      <c r="F53" s="2" t="s">
        <v>91</v>
      </c>
      <c r="G53" s="2" t="s">
        <v>92</v>
      </c>
      <c r="H53" s="2" t="s">
        <v>133</v>
      </c>
      <c r="I53" s="8">
        <v>6457500</v>
      </c>
      <c r="J53" s="5">
        <v>0.02</v>
      </c>
      <c r="K53" s="8">
        <v>129150</v>
      </c>
      <c r="L53" s="8"/>
      <c r="M53" s="8">
        <v>11623.5</v>
      </c>
      <c r="N53" s="8">
        <v>11623.5</v>
      </c>
      <c r="O53" s="8">
        <v>6457.5</v>
      </c>
      <c r="P53" s="8"/>
      <c r="Q53" s="8">
        <v>145939.5</v>
      </c>
    </row>
    <row r="54" spans="1:17" x14ac:dyDescent="0.25">
      <c r="A54" s="2">
        <v>48</v>
      </c>
      <c r="B54" s="3">
        <v>43367</v>
      </c>
      <c r="C54" s="31" t="s">
        <v>220</v>
      </c>
      <c r="D54" s="2" t="s">
        <v>164</v>
      </c>
      <c r="E54" s="2" t="s">
        <v>165</v>
      </c>
      <c r="F54" s="2" t="s">
        <v>166</v>
      </c>
      <c r="G54" s="2" t="s">
        <v>167</v>
      </c>
      <c r="H54" s="2" t="s">
        <v>135</v>
      </c>
      <c r="I54" s="8">
        <v>10337780</v>
      </c>
      <c r="J54" s="5">
        <v>0.02</v>
      </c>
      <c r="K54" s="8">
        <v>206755.6</v>
      </c>
      <c r="L54" s="8">
        <v>37216.008000000002</v>
      </c>
      <c r="M54" s="8">
        <v>0</v>
      </c>
      <c r="N54" s="8">
        <v>0</v>
      </c>
      <c r="O54" s="8">
        <v>10337.780000000001</v>
      </c>
      <c r="P54" s="8"/>
      <c r="Q54" s="8">
        <v>233633.82800000001</v>
      </c>
    </row>
    <row r="55" spans="1:17" x14ac:dyDescent="0.25">
      <c r="A55" s="2">
        <v>49</v>
      </c>
      <c r="B55" s="3">
        <v>43371</v>
      </c>
      <c r="C55" s="31" t="s">
        <v>220</v>
      </c>
      <c r="D55" s="2" t="s">
        <v>168</v>
      </c>
      <c r="E55" s="2" t="s">
        <v>169</v>
      </c>
      <c r="F55" s="2" t="s">
        <v>170</v>
      </c>
      <c r="G55" s="2" t="s">
        <v>171</v>
      </c>
      <c r="H55" s="2" t="s">
        <v>134</v>
      </c>
      <c r="I55" s="8">
        <v>8527200</v>
      </c>
      <c r="J55" s="5">
        <v>2.5000000000000001E-2</v>
      </c>
      <c r="K55" s="8">
        <v>213180</v>
      </c>
      <c r="L55" s="8"/>
      <c r="M55" s="8">
        <v>19186.2</v>
      </c>
      <c r="N55" s="8">
        <v>19186.2</v>
      </c>
      <c r="O55" s="8">
        <v>10659</v>
      </c>
      <c r="P55" s="8"/>
      <c r="Q55" s="8">
        <v>240893.40000000002</v>
      </c>
    </row>
    <row r="56" spans="1:17" x14ac:dyDescent="0.25">
      <c r="A56" s="2">
        <v>52</v>
      </c>
      <c r="B56" s="3" t="s">
        <v>147</v>
      </c>
      <c r="C56" s="29" t="s">
        <v>224</v>
      </c>
      <c r="D56" s="2" t="s">
        <v>183</v>
      </c>
      <c r="E56" s="2" t="s">
        <v>150</v>
      </c>
      <c r="F56" s="2" t="s">
        <v>18</v>
      </c>
      <c r="G56" s="2" t="s">
        <v>127</v>
      </c>
      <c r="H56" s="2" t="s">
        <v>134</v>
      </c>
      <c r="I56" s="8">
        <v>4980000</v>
      </c>
      <c r="J56" s="5">
        <v>0.02</v>
      </c>
      <c r="K56" s="8">
        <v>99600</v>
      </c>
      <c r="L56" s="8"/>
      <c r="M56" s="8">
        <v>8964</v>
      </c>
      <c r="N56" s="8">
        <v>8964</v>
      </c>
      <c r="O56" s="8">
        <v>4980</v>
      </c>
      <c r="P56" s="8"/>
      <c r="Q56" s="8">
        <v>112548</v>
      </c>
    </row>
    <row r="58" spans="1:17" s="1" customFormat="1" ht="15.75" x14ac:dyDescent="0.25">
      <c r="A58" s="109" t="s">
        <v>230</v>
      </c>
      <c r="B58" s="109"/>
      <c r="C58" s="109"/>
      <c r="D58" s="109"/>
      <c r="E58" s="109"/>
      <c r="F58" s="109"/>
      <c r="G58" s="109"/>
      <c r="H58" s="109"/>
      <c r="I58" s="32">
        <f>SUM(I29:I57)</f>
        <v>190727906</v>
      </c>
      <c r="J58" s="33"/>
      <c r="K58" s="32">
        <f>SUM(K29:K57)</f>
        <v>4160671.1960000009</v>
      </c>
      <c r="L58" s="32">
        <f t="shared" ref="L58:Q58" si="6">SUM(L29:L57)</f>
        <v>282406.42799999996</v>
      </c>
      <c r="M58" s="32">
        <f t="shared" si="6"/>
        <v>233257.19364000001</v>
      </c>
      <c r="N58" s="32">
        <f t="shared" si="6"/>
        <v>233257.19364000001</v>
      </c>
      <c r="O58" s="32">
        <f t="shared" si="6"/>
        <v>208033.55980000002</v>
      </c>
      <c r="P58" s="32"/>
      <c r="Q58" s="32">
        <f t="shared" si="6"/>
        <v>4701558.4514800003</v>
      </c>
    </row>
    <row r="60" spans="1:17" x14ac:dyDescent="0.25">
      <c r="A60" s="2">
        <v>16</v>
      </c>
      <c r="B60" s="9">
        <v>43036</v>
      </c>
      <c r="C60" s="30" t="s">
        <v>222</v>
      </c>
      <c r="D60" s="4" t="s">
        <v>60</v>
      </c>
      <c r="E60" s="4" t="s">
        <v>59</v>
      </c>
      <c r="F60" s="4" t="s">
        <v>18</v>
      </c>
      <c r="G60" s="4" t="s">
        <v>19</v>
      </c>
      <c r="H60" s="4" t="s">
        <v>134</v>
      </c>
      <c r="I60" s="10">
        <v>5955150</v>
      </c>
      <c r="J60" s="11">
        <v>0.02</v>
      </c>
      <c r="K60" s="8">
        <v>119103</v>
      </c>
      <c r="L60" s="10">
        <v>0</v>
      </c>
      <c r="M60" s="10">
        <v>10719.27</v>
      </c>
      <c r="N60" s="10">
        <v>10719.27</v>
      </c>
      <c r="O60" s="10">
        <v>5955.1500000000005</v>
      </c>
      <c r="P60" s="10"/>
      <c r="Q60" s="8">
        <v>134586.39000000001</v>
      </c>
    </row>
    <row r="61" spans="1:17" x14ac:dyDescent="0.25">
      <c r="A61" s="2">
        <v>28</v>
      </c>
      <c r="B61" s="3">
        <v>43377</v>
      </c>
      <c r="C61" s="30" t="s">
        <v>222</v>
      </c>
      <c r="D61" s="2" t="s">
        <v>160</v>
      </c>
      <c r="E61" s="2" t="s">
        <v>161</v>
      </c>
      <c r="F61" s="2" t="s">
        <v>37</v>
      </c>
      <c r="G61" s="2" t="s">
        <v>38</v>
      </c>
      <c r="H61" s="2" t="s">
        <v>134</v>
      </c>
      <c r="I61" s="8">
        <v>4248083</v>
      </c>
      <c r="J61" s="5">
        <v>0.02</v>
      </c>
      <c r="K61" s="8">
        <v>84961.66</v>
      </c>
      <c r="L61" s="8"/>
      <c r="M61" s="8">
        <v>7646.5493999999999</v>
      </c>
      <c r="N61" s="8">
        <v>7646.5493999999999</v>
      </c>
      <c r="O61" s="8">
        <v>4248.0830000000005</v>
      </c>
      <c r="P61" s="8"/>
      <c r="Q61" s="8">
        <v>96006.675800000012</v>
      </c>
    </row>
    <row r="62" spans="1:17" x14ac:dyDescent="0.25">
      <c r="A62" s="2">
        <v>50</v>
      </c>
      <c r="B62" s="2" t="s">
        <v>144</v>
      </c>
      <c r="C62" s="30" t="s">
        <v>222</v>
      </c>
      <c r="D62" s="2" t="s">
        <v>172</v>
      </c>
      <c r="E62" s="2" t="s">
        <v>173</v>
      </c>
      <c r="F62" s="2" t="s">
        <v>78</v>
      </c>
      <c r="G62" s="2" t="s">
        <v>174</v>
      </c>
      <c r="H62" s="2" t="s">
        <v>134</v>
      </c>
      <c r="I62" s="8">
        <v>5103696</v>
      </c>
      <c r="J62" s="5">
        <v>0.03</v>
      </c>
      <c r="K62" s="8">
        <v>153110.88</v>
      </c>
      <c r="L62" s="8"/>
      <c r="M62" s="8">
        <v>13779.9792</v>
      </c>
      <c r="N62" s="8">
        <v>13779.9792</v>
      </c>
      <c r="O62" s="8">
        <v>7655.5440000000008</v>
      </c>
      <c r="P62" s="8"/>
      <c r="Q62" s="8">
        <v>173015.29440000001</v>
      </c>
    </row>
    <row r="63" spans="1:17" x14ac:dyDescent="0.25">
      <c r="A63" s="2">
        <v>51</v>
      </c>
      <c r="B63" s="2" t="s">
        <v>180</v>
      </c>
      <c r="C63" s="30" t="s">
        <v>222</v>
      </c>
      <c r="D63" s="2" t="s">
        <v>181</v>
      </c>
      <c r="E63" s="2" t="s">
        <v>182</v>
      </c>
      <c r="F63" s="2" t="s">
        <v>18</v>
      </c>
      <c r="G63" s="2" t="s">
        <v>127</v>
      </c>
      <c r="H63" s="2" t="s">
        <v>134</v>
      </c>
      <c r="I63" s="8">
        <v>4935900</v>
      </c>
      <c r="J63" s="5">
        <v>0.03</v>
      </c>
      <c r="K63" s="8">
        <v>148077</v>
      </c>
      <c r="L63" s="8"/>
      <c r="M63" s="8">
        <v>13326.93</v>
      </c>
      <c r="N63" s="8">
        <v>13326.93</v>
      </c>
      <c r="O63" s="8">
        <v>7403.85</v>
      </c>
      <c r="P63" s="8"/>
      <c r="Q63" s="8">
        <v>167327.00999999998</v>
      </c>
    </row>
    <row r="64" spans="1:17" x14ac:dyDescent="0.25">
      <c r="A64" s="2">
        <v>53</v>
      </c>
      <c r="B64" s="2" t="s">
        <v>175</v>
      </c>
      <c r="C64" s="30" t="s">
        <v>222</v>
      </c>
      <c r="D64" s="2" t="s">
        <v>176</v>
      </c>
      <c r="E64" s="2" t="s">
        <v>177</v>
      </c>
      <c r="F64" s="2" t="s">
        <v>178</v>
      </c>
      <c r="G64" s="2"/>
      <c r="H64" s="2" t="s">
        <v>179</v>
      </c>
      <c r="I64" s="8">
        <v>3000000</v>
      </c>
      <c r="J64" s="5">
        <v>1.2500000000000001E-2</v>
      </c>
      <c r="K64" s="8">
        <v>37500</v>
      </c>
      <c r="L64" s="8">
        <v>6750</v>
      </c>
      <c r="M64" s="8"/>
      <c r="N64" s="8"/>
      <c r="O64" s="8">
        <v>1875</v>
      </c>
      <c r="P64" s="8"/>
      <c r="Q64" s="8">
        <v>42375</v>
      </c>
    </row>
    <row r="65" spans="1:17" x14ac:dyDescent="0.25">
      <c r="A65" s="2">
        <v>54</v>
      </c>
      <c r="B65" s="17">
        <v>43383</v>
      </c>
      <c r="C65" s="30" t="s">
        <v>222</v>
      </c>
      <c r="D65" s="18" t="s">
        <v>184</v>
      </c>
      <c r="E65" s="18" t="s">
        <v>185</v>
      </c>
      <c r="F65" s="18" t="s">
        <v>91</v>
      </c>
      <c r="G65" s="18" t="s">
        <v>92</v>
      </c>
      <c r="H65" s="18" t="s">
        <v>133</v>
      </c>
      <c r="I65" s="19">
        <v>4450164</v>
      </c>
      <c r="J65" s="20">
        <v>0.02</v>
      </c>
      <c r="K65" s="8">
        <v>89003.28</v>
      </c>
      <c r="L65" s="19"/>
      <c r="M65" s="19">
        <v>8010.2951999999996</v>
      </c>
      <c r="N65" s="19">
        <v>8010.2951999999996</v>
      </c>
      <c r="O65" s="19">
        <v>4450.1639999999998</v>
      </c>
      <c r="P65" s="19"/>
      <c r="Q65" s="8">
        <v>100573.70639999998</v>
      </c>
    </row>
    <row r="66" spans="1:17" x14ac:dyDescent="0.25">
      <c r="A66" s="2">
        <v>55</v>
      </c>
      <c r="B66" s="3">
        <v>43424</v>
      </c>
      <c r="C66" s="29" t="s">
        <v>225</v>
      </c>
      <c r="D66" s="2" t="s">
        <v>186</v>
      </c>
      <c r="E66" s="2" t="s">
        <v>12</v>
      </c>
      <c r="F66" s="21" t="s">
        <v>13</v>
      </c>
      <c r="G66" s="21" t="s">
        <v>14</v>
      </c>
      <c r="H66" s="21" t="s">
        <v>133</v>
      </c>
      <c r="I66" s="22">
        <v>5578216</v>
      </c>
      <c r="J66" s="23">
        <v>3.5000000000000001E-3</v>
      </c>
      <c r="K66" s="8">
        <v>19523.756000000001</v>
      </c>
      <c r="L66" s="22"/>
      <c r="M66" s="22">
        <v>1757.13804</v>
      </c>
      <c r="N66" s="22">
        <v>1757.13804</v>
      </c>
      <c r="O66" s="22">
        <v>976.18780000000015</v>
      </c>
      <c r="P66" s="22"/>
      <c r="Q66" s="8">
        <v>22061.844280000005</v>
      </c>
    </row>
    <row r="67" spans="1:17" x14ac:dyDescent="0.25">
      <c r="A67" s="2">
        <v>56</v>
      </c>
      <c r="B67" s="3">
        <v>43424</v>
      </c>
      <c r="C67" s="29" t="s">
        <v>225</v>
      </c>
      <c r="D67" s="2" t="s">
        <v>188</v>
      </c>
      <c r="E67" s="2" t="s">
        <v>187</v>
      </c>
      <c r="F67" s="21" t="s">
        <v>13</v>
      </c>
      <c r="G67" s="21" t="s">
        <v>14</v>
      </c>
      <c r="H67" s="21" t="s">
        <v>133</v>
      </c>
      <c r="I67" s="22">
        <v>8092401</v>
      </c>
      <c r="J67" s="23">
        <v>3.5000000000000001E-3</v>
      </c>
      <c r="K67" s="8">
        <v>28323.4035</v>
      </c>
      <c r="L67" s="22"/>
      <c r="M67" s="22">
        <v>2549.106315</v>
      </c>
      <c r="N67" s="22">
        <v>2549.106315</v>
      </c>
      <c r="O67" s="22">
        <v>1416.1701750000002</v>
      </c>
      <c r="P67" s="22"/>
      <c r="Q67" s="8">
        <v>32005.445955000003</v>
      </c>
    </row>
    <row r="68" spans="1:17" x14ac:dyDescent="0.25">
      <c r="A68" s="2">
        <v>57</v>
      </c>
      <c r="B68" s="3">
        <v>43424</v>
      </c>
      <c r="C68" s="29" t="s">
        <v>225</v>
      </c>
      <c r="D68" s="2" t="s">
        <v>189</v>
      </c>
      <c r="E68" s="2" t="s">
        <v>122</v>
      </c>
      <c r="F68" s="21" t="s">
        <v>13</v>
      </c>
      <c r="G68" s="21" t="s">
        <v>14</v>
      </c>
      <c r="H68" s="21" t="s">
        <v>133</v>
      </c>
      <c r="I68" s="22">
        <v>5821517</v>
      </c>
      <c r="J68" s="23">
        <v>3.5000000000000001E-3</v>
      </c>
      <c r="K68" s="8">
        <v>20375.309499999999</v>
      </c>
      <c r="L68" s="22"/>
      <c r="M68" s="22">
        <v>1833.7778549999998</v>
      </c>
      <c r="N68" s="22">
        <v>1833.7778549999998</v>
      </c>
      <c r="O68" s="22">
        <v>1018.765475</v>
      </c>
      <c r="P68" s="22"/>
      <c r="Q68" s="8">
        <v>23024.099735</v>
      </c>
    </row>
    <row r="69" spans="1:17" x14ac:dyDescent="0.25">
      <c r="A69" s="2">
        <v>58</v>
      </c>
      <c r="B69" s="3">
        <v>43431</v>
      </c>
      <c r="C69" s="29" t="s">
        <v>225</v>
      </c>
      <c r="D69" s="2" t="s">
        <v>190</v>
      </c>
      <c r="E69" s="2" t="s">
        <v>191</v>
      </c>
      <c r="F69" s="21" t="s">
        <v>91</v>
      </c>
      <c r="G69" s="21" t="s">
        <v>92</v>
      </c>
      <c r="H69" s="21" t="s">
        <v>133</v>
      </c>
      <c r="I69" s="22">
        <v>5184699</v>
      </c>
      <c r="J69" s="23">
        <v>0.02</v>
      </c>
      <c r="K69" s="8">
        <v>103693.98</v>
      </c>
      <c r="L69" s="22"/>
      <c r="M69" s="22">
        <v>9332.4581999999991</v>
      </c>
      <c r="N69" s="22">
        <v>9332.4581999999991</v>
      </c>
      <c r="O69" s="22">
        <v>5184.6990000000005</v>
      </c>
      <c r="P69" s="22"/>
      <c r="Q69" s="8">
        <v>117174.19739999998</v>
      </c>
    </row>
    <row r="70" spans="1:17" x14ac:dyDescent="0.25">
      <c r="A70" s="2">
        <v>59</v>
      </c>
      <c r="B70" s="3">
        <v>43432</v>
      </c>
      <c r="C70" s="29" t="s">
        <v>225</v>
      </c>
      <c r="D70" s="2" t="s">
        <v>192</v>
      </c>
      <c r="E70" s="2" t="s">
        <v>145</v>
      </c>
      <c r="F70" s="21" t="s">
        <v>27</v>
      </c>
      <c r="G70" s="21" t="s">
        <v>28</v>
      </c>
      <c r="H70" s="21" t="s">
        <v>133</v>
      </c>
      <c r="I70" s="22">
        <v>6237633</v>
      </c>
      <c r="J70" s="24">
        <v>0.02</v>
      </c>
      <c r="K70" s="8">
        <v>124752.66</v>
      </c>
      <c r="L70" s="22"/>
      <c r="M70" s="22">
        <v>11227.7394</v>
      </c>
      <c r="N70" s="22">
        <v>11227.7394</v>
      </c>
      <c r="O70" s="22">
        <v>6237.6330000000007</v>
      </c>
      <c r="P70" s="22"/>
      <c r="Q70" s="8">
        <v>140970.50579999998</v>
      </c>
    </row>
    <row r="71" spans="1:17" x14ac:dyDescent="0.25">
      <c r="A71" s="2">
        <v>60</v>
      </c>
      <c r="B71" s="3">
        <v>43432</v>
      </c>
      <c r="C71" s="29" t="s">
        <v>225</v>
      </c>
      <c r="D71" s="2" t="s">
        <v>193</v>
      </c>
      <c r="E71" s="2" t="s">
        <v>146</v>
      </c>
      <c r="F71" s="21" t="s">
        <v>27</v>
      </c>
      <c r="G71" s="21" t="s">
        <v>28</v>
      </c>
      <c r="H71" s="21" t="s">
        <v>133</v>
      </c>
      <c r="I71" s="22">
        <v>6241733</v>
      </c>
      <c r="J71" s="24">
        <v>0.02</v>
      </c>
      <c r="K71" s="8">
        <v>124834.66</v>
      </c>
      <c r="L71" s="22"/>
      <c r="M71" s="22">
        <v>11235.1194</v>
      </c>
      <c r="N71" s="22">
        <v>11235.1194</v>
      </c>
      <c r="O71" s="22">
        <v>6241.7330000000002</v>
      </c>
      <c r="P71" s="22"/>
      <c r="Q71" s="8">
        <v>141063.16579999999</v>
      </c>
    </row>
    <row r="72" spans="1:17" x14ac:dyDescent="0.25">
      <c r="A72" s="2">
        <v>61</v>
      </c>
      <c r="B72" s="3">
        <v>43435</v>
      </c>
      <c r="C72" s="29" t="s">
        <v>226</v>
      </c>
      <c r="D72" s="2" t="s">
        <v>194</v>
      </c>
      <c r="E72" s="2" t="s">
        <v>195</v>
      </c>
      <c r="F72" s="21" t="s">
        <v>52</v>
      </c>
      <c r="G72" s="21" t="s">
        <v>53</v>
      </c>
      <c r="H72" s="21" t="s">
        <v>135</v>
      </c>
      <c r="I72" s="22">
        <v>43200000</v>
      </c>
      <c r="J72" s="23">
        <v>0.02</v>
      </c>
      <c r="K72" s="8">
        <v>864000</v>
      </c>
      <c r="L72" s="22">
        <v>155520</v>
      </c>
      <c r="M72" s="22">
        <v>0</v>
      </c>
      <c r="N72" s="22">
        <v>0</v>
      </c>
      <c r="O72" s="22">
        <v>43200</v>
      </c>
      <c r="P72" s="22"/>
      <c r="Q72" s="8">
        <v>976320</v>
      </c>
    </row>
    <row r="73" spans="1:17" x14ac:dyDescent="0.25">
      <c r="A73" s="2">
        <v>62</v>
      </c>
      <c r="B73" s="3">
        <v>43440</v>
      </c>
      <c r="C73" s="29" t="s">
        <v>226</v>
      </c>
      <c r="D73" s="2" t="s">
        <v>196</v>
      </c>
      <c r="E73" s="2" t="s">
        <v>197</v>
      </c>
      <c r="F73" s="21" t="s">
        <v>111</v>
      </c>
      <c r="G73" s="21" t="s">
        <v>112</v>
      </c>
      <c r="H73" s="21" t="s">
        <v>133</v>
      </c>
      <c r="I73" s="22">
        <v>8751000</v>
      </c>
      <c r="J73" s="23">
        <v>0.03</v>
      </c>
      <c r="K73" s="8">
        <v>262530</v>
      </c>
      <c r="L73" s="22"/>
      <c r="M73" s="22">
        <v>23627.7</v>
      </c>
      <c r="N73" s="22">
        <v>23627.7</v>
      </c>
      <c r="O73" s="22">
        <v>13126.5</v>
      </c>
      <c r="P73" s="22"/>
      <c r="Q73" s="8">
        <v>296658.90000000002</v>
      </c>
    </row>
    <row r="74" spans="1:17" x14ac:dyDescent="0.25">
      <c r="A74" s="2">
        <v>63</v>
      </c>
      <c r="B74" s="3">
        <v>43453</v>
      </c>
      <c r="C74" s="29" t="s">
        <v>226</v>
      </c>
      <c r="D74" s="2" t="s">
        <v>198</v>
      </c>
      <c r="E74" s="4" t="s">
        <v>199</v>
      </c>
      <c r="F74" s="25" t="s">
        <v>78</v>
      </c>
      <c r="G74" s="25" t="s">
        <v>153</v>
      </c>
      <c r="H74" s="25" t="s">
        <v>134</v>
      </c>
      <c r="I74" s="26">
        <v>6826605</v>
      </c>
      <c r="J74" s="27">
        <v>0.02</v>
      </c>
      <c r="K74" s="10">
        <v>136532.1</v>
      </c>
      <c r="L74" s="2"/>
      <c r="M74" s="26">
        <v>12287.888999999999</v>
      </c>
      <c r="N74" s="26">
        <v>12287.888999999999</v>
      </c>
      <c r="O74" s="26">
        <v>6826.6050000000005</v>
      </c>
      <c r="P74" s="26"/>
      <c r="Q74" s="10">
        <v>154281.27299999999</v>
      </c>
    </row>
    <row r="76" spans="1:17" s="1" customFormat="1" ht="15.75" x14ac:dyDescent="0.25">
      <c r="A76" s="109" t="s">
        <v>229</v>
      </c>
      <c r="B76" s="109"/>
      <c r="C76" s="109"/>
      <c r="D76" s="109"/>
      <c r="E76" s="109"/>
      <c r="F76" s="109"/>
      <c r="G76" s="109"/>
      <c r="H76" s="109"/>
      <c r="I76" s="32">
        <f>SUM(I60:I75)</f>
        <v>123626797</v>
      </c>
      <c r="J76" s="33"/>
      <c r="K76" s="32">
        <f>SUM(K60:K75)</f>
        <v>2316321.6890000002</v>
      </c>
      <c r="L76" s="32">
        <f t="shared" ref="L76:Q76" si="7">SUM(L60:L75)</f>
        <v>162270</v>
      </c>
      <c r="M76" s="32">
        <f t="shared" si="7"/>
        <v>127333.95200999999</v>
      </c>
      <c r="N76" s="32">
        <f t="shared" si="7"/>
        <v>127333.95200999999</v>
      </c>
      <c r="O76" s="32">
        <f t="shared" si="7"/>
        <v>115816.08445000001</v>
      </c>
      <c r="P76" s="32"/>
      <c r="Q76" s="32">
        <f t="shared" si="7"/>
        <v>2617443.5085700001</v>
      </c>
    </row>
    <row r="78" spans="1:17" ht="15.75" x14ac:dyDescent="0.25">
      <c r="B78" s="109" t="s">
        <v>231</v>
      </c>
      <c r="C78" s="109"/>
      <c r="D78" s="109"/>
      <c r="E78" s="109"/>
      <c r="F78" s="109"/>
      <c r="G78" s="109"/>
      <c r="H78" s="109"/>
      <c r="I78" s="109">
        <f>+I27+I58+I76</f>
        <v>436601406.5</v>
      </c>
      <c r="J78" s="33"/>
      <c r="K78" s="32">
        <f>+K27+K58+K76</f>
        <v>9199711.3900000006</v>
      </c>
      <c r="L78" s="32">
        <f t="shared" ref="L78:Q78" si="8">+L27+L58+L76</f>
        <v>633387.22379999992</v>
      </c>
      <c r="M78" s="32">
        <f t="shared" si="8"/>
        <v>511280.41320000001</v>
      </c>
      <c r="N78" s="32">
        <f t="shared" si="8"/>
        <v>511280.41320000001</v>
      </c>
      <c r="O78" s="32">
        <f t="shared" si="8"/>
        <v>459985.56950000004</v>
      </c>
      <c r="P78" s="32"/>
      <c r="Q78" s="32">
        <f t="shared" si="8"/>
        <v>10430483.3507</v>
      </c>
    </row>
  </sheetData>
  <mergeCells count="4">
    <mergeCell ref="A27:H27"/>
    <mergeCell ref="A58:H58"/>
    <mergeCell ref="A76:H76"/>
    <mergeCell ref="B78:I78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5" x14ac:dyDescent="0.25"/>
  <cols>
    <col min="1" max="1" width="23" bestFit="1" customWidth="1"/>
  </cols>
  <sheetData>
    <row r="1" spans="1:7" x14ac:dyDescent="0.25">
      <c r="A1" s="43" t="s">
        <v>302</v>
      </c>
      <c r="B1" s="43">
        <v>72862</v>
      </c>
      <c r="C1" s="43"/>
      <c r="D1" s="44">
        <f>+B1*9%</f>
        <v>6557.58</v>
      </c>
      <c r="E1" s="44">
        <f>+B1*9%</f>
        <v>6557.58</v>
      </c>
      <c r="F1" s="44">
        <f t="shared" ref="F1:F5" si="0">+B1*5%</f>
        <v>3643.1000000000004</v>
      </c>
      <c r="G1" s="44">
        <f t="shared" ref="G1:G5" si="1">+B1+D1+E1-F1</f>
        <v>82334.06</v>
      </c>
    </row>
    <row r="2" spans="1:7" x14ac:dyDescent="0.25">
      <c r="A2" s="43" t="s">
        <v>302</v>
      </c>
      <c r="B2" s="43">
        <v>87927</v>
      </c>
      <c r="C2" s="43"/>
      <c r="D2" s="44">
        <f>+B2*9%</f>
        <v>7913.4299999999994</v>
      </c>
      <c r="E2" s="44">
        <f>+B2*9%</f>
        <v>7913.4299999999994</v>
      </c>
      <c r="F2" s="44">
        <f t="shared" si="0"/>
        <v>4396.3500000000004</v>
      </c>
      <c r="G2" s="45">
        <f t="shared" si="1"/>
        <v>99357.50999999998</v>
      </c>
    </row>
    <row r="3" spans="1:7" x14ac:dyDescent="0.25">
      <c r="A3" s="18" t="s">
        <v>303</v>
      </c>
      <c r="B3" s="18">
        <v>109560</v>
      </c>
      <c r="C3" s="18"/>
      <c r="D3" s="46">
        <f>+B3*9%</f>
        <v>9860.4</v>
      </c>
      <c r="E3" s="46">
        <f>+B3*9%</f>
        <v>9860.4</v>
      </c>
      <c r="F3" s="46">
        <f t="shared" si="0"/>
        <v>5478</v>
      </c>
      <c r="G3" s="46">
        <f t="shared" si="1"/>
        <v>123802.79999999999</v>
      </c>
    </row>
    <row r="4" spans="1:7" x14ac:dyDescent="0.25">
      <c r="A4" s="43" t="s">
        <v>302</v>
      </c>
      <c r="B4" s="43">
        <v>72533</v>
      </c>
      <c r="C4" s="43"/>
      <c r="D4" s="44">
        <f>+B4*9%</f>
        <v>6527.9699999999993</v>
      </c>
      <c r="E4" s="44">
        <f>+B4*9%</f>
        <v>6527.9699999999993</v>
      </c>
      <c r="F4" s="44">
        <f t="shared" si="0"/>
        <v>3626.65</v>
      </c>
      <c r="G4" s="45">
        <f t="shared" si="1"/>
        <v>81962.290000000008</v>
      </c>
    </row>
    <row r="5" spans="1:7" x14ac:dyDescent="0.25">
      <c r="A5" s="43" t="s">
        <v>302</v>
      </c>
      <c r="B5" s="43">
        <v>87297</v>
      </c>
      <c r="C5" s="43"/>
      <c r="D5" s="44">
        <f>+B5*9%</f>
        <v>7856.73</v>
      </c>
      <c r="E5" s="44">
        <f>+B5*9%</f>
        <v>7856.73</v>
      </c>
      <c r="F5" s="44">
        <f t="shared" si="0"/>
        <v>4364.8500000000004</v>
      </c>
      <c r="G5" s="45">
        <f t="shared" si="1"/>
        <v>98645.609999999986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9"/>
  <sheetViews>
    <sheetView topLeftCell="A7" zoomScaleNormal="100" workbookViewId="0">
      <selection activeCell="A39" sqref="A39:XFD39"/>
    </sheetView>
  </sheetViews>
  <sheetFormatPr defaultRowHeight="15" x14ac:dyDescent="0.25"/>
  <cols>
    <col min="3" max="3" width="10.42578125" bestFit="1" customWidth="1"/>
  </cols>
  <sheetData>
    <row r="2" spans="2:5" x14ac:dyDescent="0.25">
      <c r="B2" t="s">
        <v>259</v>
      </c>
      <c r="C2">
        <v>118749</v>
      </c>
      <c r="E2" s="35">
        <f>+C2*304/365*18%</f>
        <v>17802.589808219178</v>
      </c>
    </row>
    <row r="4" spans="2:5" x14ac:dyDescent="0.25">
      <c r="B4" t="s">
        <v>261</v>
      </c>
      <c r="C4">
        <v>30</v>
      </c>
    </row>
    <row r="5" spans="2:5" x14ac:dyDescent="0.25">
      <c r="B5" t="s">
        <v>262</v>
      </c>
      <c r="C5">
        <v>31</v>
      </c>
    </row>
    <row r="6" spans="2:5" x14ac:dyDescent="0.25">
      <c r="B6" t="s">
        <v>300</v>
      </c>
      <c r="C6">
        <v>31</v>
      </c>
    </row>
    <row r="7" spans="2:5" x14ac:dyDescent="0.25">
      <c r="B7" t="s">
        <v>264</v>
      </c>
      <c r="C7">
        <v>30</v>
      </c>
    </row>
    <row r="8" spans="2:5" x14ac:dyDescent="0.25">
      <c r="B8" t="s">
        <v>265</v>
      </c>
      <c r="C8">
        <v>31</v>
      </c>
    </row>
    <row r="9" spans="2:5" x14ac:dyDescent="0.25">
      <c r="B9" t="s">
        <v>266</v>
      </c>
      <c r="C9">
        <v>30</v>
      </c>
    </row>
    <row r="10" spans="2:5" x14ac:dyDescent="0.25">
      <c r="B10" t="s">
        <v>267</v>
      </c>
      <c r="C10">
        <v>31</v>
      </c>
    </row>
    <row r="11" spans="2:5" x14ac:dyDescent="0.25">
      <c r="B11" t="s">
        <v>268</v>
      </c>
      <c r="C11">
        <v>31</v>
      </c>
    </row>
    <row r="12" spans="2:5" x14ac:dyDescent="0.25">
      <c r="B12" t="s">
        <v>269</v>
      </c>
      <c r="C12">
        <v>28</v>
      </c>
    </row>
    <row r="13" spans="2:5" x14ac:dyDescent="0.25">
      <c r="B13" t="s">
        <v>301</v>
      </c>
      <c r="C13">
        <v>23</v>
      </c>
    </row>
    <row r="15" spans="2:5" x14ac:dyDescent="0.25">
      <c r="C15">
        <f>SUM(C4:C14)</f>
        <v>296</v>
      </c>
    </row>
    <row r="18" spans="1:19" x14ac:dyDescent="0.25">
      <c r="B18" t="s">
        <v>259</v>
      </c>
      <c r="C18" s="47">
        <v>43240</v>
      </c>
      <c r="D18">
        <f>10+C15</f>
        <v>306</v>
      </c>
      <c r="E18" s="42">
        <f t="shared" ref="E18:E27" si="0">+D18*50</f>
        <v>15300</v>
      </c>
    </row>
    <row r="19" spans="1:19" x14ac:dyDescent="0.25">
      <c r="B19" t="s">
        <v>260</v>
      </c>
      <c r="C19" s="47">
        <v>43271</v>
      </c>
      <c r="D19">
        <f>243+10</f>
        <v>253</v>
      </c>
      <c r="E19" s="42">
        <f t="shared" si="0"/>
        <v>12650</v>
      </c>
    </row>
    <row r="20" spans="1:19" x14ac:dyDescent="0.25">
      <c r="B20" t="s">
        <v>261</v>
      </c>
      <c r="C20" s="47">
        <v>43301</v>
      </c>
      <c r="D20">
        <f>235+10</f>
        <v>245</v>
      </c>
      <c r="E20" s="42">
        <f t="shared" si="0"/>
        <v>12250</v>
      </c>
    </row>
    <row r="21" spans="1:19" x14ac:dyDescent="0.25">
      <c r="B21" t="s">
        <v>262</v>
      </c>
      <c r="C21" s="47">
        <v>43332</v>
      </c>
      <c r="D21">
        <v>214</v>
      </c>
      <c r="E21" s="42">
        <f t="shared" si="0"/>
        <v>10700</v>
      </c>
    </row>
    <row r="22" spans="1:19" x14ac:dyDescent="0.25">
      <c r="B22" t="s">
        <v>300</v>
      </c>
      <c r="C22" s="47">
        <v>43363</v>
      </c>
      <c r="D22">
        <f>174+10</f>
        <v>184</v>
      </c>
      <c r="E22" s="42">
        <f t="shared" si="0"/>
        <v>9200</v>
      </c>
    </row>
    <row r="23" spans="1:19" x14ac:dyDescent="0.25">
      <c r="B23" t="s">
        <v>304</v>
      </c>
      <c r="C23" s="47">
        <v>43393</v>
      </c>
      <c r="D23">
        <v>153</v>
      </c>
      <c r="E23" s="42">
        <f t="shared" si="0"/>
        <v>7650</v>
      </c>
    </row>
    <row r="24" spans="1:19" x14ac:dyDescent="0.25">
      <c r="B24" t="s">
        <v>305</v>
      </c>
      <c r="C24" s="47">
        <v>43424</v>
      </c>
      <c r="D24">
        <v>123</v>
      </c>
      <c r="E24" s="1">
        <f t="shared" si="0"/>
        <v>6150</v>
      </c>
    </row>
    <row r="25" spans="1:19" x14ac:dyDescent="0.25">
      <c r="B25" t="s">
        <v>306</v>
      </c>
      <c r="C25" s="47">
        <v>43454</v>
      </c>
      <c r="D25">
        <f>82+10</f>
        <v>92</v>
      </c>
      <c r="E25" s="1">
        <f t="shared" si="0"/>
        <v>4600</v>
      </c>
    </row>
    <row r="26" spans="1:19" x14ac:dyDescent="0.25">
      <c r="B26" t="s">
        <v>307</v>
      </c>
      <c r="C26" s="47">
        <v>43485</v>
      </c>
      <c r="D26">
        <v>61</v>
      </c>
      <c r="E26" s="1">
        <f t="shared" si="0"/>
        <v>3050</v>
      </c>
    </row>
    <row r="27" spans="1:19" x14ac:dyDescent="0.25">
      <c r="B27" t="s">
        <v>308</v>
      </c>
      <c r="C27" s="47">
        <v>43516</v>
      </c>
      <c r="D27">
        <v>33</v>
      </c>
      <c r="E27" s="1">
        <f t="shared" si="0"/>
        <v>1650</v>
      </c>
    </row>
    <row r="31" spans="1:19" s="67" customFormat="1" x14ac:dyDescent="0.25">
      <c r="A31" s="83">
        <v>57</v>
      </c>
      <c r="B31" s="84">
        <v>43424</v>
      </c>
      <c r="C31" s="85" t="s">
        <v>225</v>
      </c>
      <c r="D31" s="83" t="s">
        <v>186</v>
      </c>
      <c r="E31" s="83" t="s">
        <v>12</v>
      </c>
      <c r="F31" s="83" t="s">
        <v>13</v>
      </c>
      <c r="G31" s="83" t="s">
        <v>14</v>
      </c>
      <c r="H31" s="83" t="s">
        <v>133</v>
      </c>
      <c r="I31" s="86">
        <v>5578216</v>
      </c>
      <c r="J31" s="87">
        <v>3.5000000000000001E-3</v>
      </c>
      <c r="K31" s="86">
        <f t="shared" ref="K31:K38" si="1">+I31*J31</f>
        <v>19523.756000000001</v>
      </c>
      <c r="L31" s="86"/>
      <c r="M31" s="86">
        <f t="shared" ref="M31:M36" si="2">+K31*9%</f>
        <v>1757.13804</v>
      </c>
      <c r="N31" s="86">
        <f t="shared" ref="N31:N36" si="3">+K31*9%</f>
        <v>1757.13804</v>
      </c>
      <c r="O31" s="86">
        <f t="shared" ref="O31:O39" si="4">+K31*5%</f>
        <v>976.18780000000015</v>
      </c>
      <c r="P31" s="86">
        <f t="shared" ref="P31:P39" si="5">+K31+L31+M31+N31-O31</f>
        <v>22061.844280000005</v>
      </c>
      <c r="Q31" s="88">
        <f t="shared" ref="Q31:Q39" si="6">+L31+M31+N31</f>
        <v>3514.2760800000001</v>
      </c>
      <c r="R31" s="83" t="s">
        <v>130</v>
      </c>
      <c r="S31" s="67" t="s">
        <v>133</v>
      </c>
    </row>
    <row r="32" spans="1:19" s="67" customFormat="1" x14ac:dyDescent="0.25">
      <c r="A32" s="63">
        <v>58</v>
      </c>
      <c r="B32" s="64">
        <v>43424</v>
      </c>
      <c r="C32" s="89" t="s">
        <v>225</v>
      </c>
      <c r="D32" s="63" t="s">
        <v>188</v>
      </c>
      <c r="E32" s="63" t="s">
        <v>187</v>
      </c>
      <c r="F32" s="63" t="s">
        <v>13</v>
      </c>
      <c r="G32" s="63" t="s">
        <v>14</v>
      </c>
      <c r="H32" s="63" t="s">
        <v>133</v>
      </c>
      <c r="I32" s="65">
        <v>8092401</v>
      </c>
      <c r="J32" s="90">
        <v>3.5000000000000001E-3</v>
      </c>
      <c r="K32" s="65">
        <f t="shared" si="1"/>
        <v>28323.4035</v>
      </c>
      <c r="L32" s="65"/>
      <c r="M32" s="65">
        <f t="shared" si="2"/>
        <v>2549.106315</v>
      </c>
      <c r="N32" s="65">
        <f t="shared" si="3"/>
        <v>2549.106315</v>
      </c>
      <c r="O32" s="65">
        <f t="shared" si="4"/>
        <v>1416.1701750000002</v>
      </c>
      <c r="P32" s="65">
        <f t="shared" si="5"/>
        <v>32005.445955000003</v>
      </c>
      <c r="Q32" s="66">
        <f t="shared" si="6"/>
        <v>5098.21263</v>
      </c>
      <c r="R32" s="63" t="s">
        <v>130</v>
      </c>
      <c r="S32" s="63" t="s">
        <v>133</v>
      </c>
    </row>
    <row r="33" spans="1:19" s="67" customFormat="1" x14ac:dyDescent="0.25">
      <c r="A33" s="63">
        <v>59</v>
      </c>
      <c r="B33" s="64">
        <v>43424</v>
      </c>
      <c r="C33" s="89" t="s">
        <v>225</v>
      </c>
      <c r="D33" s="63" t="s">
        <v>189</v>
      </c>
      <c r="E33" s="63" t="s">
        <v>122</v>
      </c>
      <c r="F33" s="63" t="s">
        <v>13</v>
      </c>
      <c r="G33" s="63" t="s">
        <v>14</v>
      </c>
      <c r="H33" s="63" t="s">
        <v>133</v>
      </c>
      <c r="I33" s="65">
        <v>5821517</v>
      </c>
      <c r="J33" s="90">
        <v>3.5000000000000001E-3</v>
      </c>
      <c r="K33" s="65">
        <f t="shared" si="1"/>
        <v>20375.309499999999</v>
      </c>
      <c r="L33" s="65"/>
      <c r="M33" s="65">
        <f t="shared" si="2"/>
        <v>1833.7778549999998</v>
      </c>
      <c r="N33" s="65">
        <f t="shared" si="3"/>
        <v>1833.7778549999998</v>
      </c>
      <c r="O33" s="65">
        <f t="shared" si="4"/>
        <v>1018.765475</v>
      </c>
      <c r="P33" s="65">
        <f t="shared" si="5"/>
        <v>23024.099735</v>
      </c>
      <c r="Q33" s="66">
        <f t="shared" si="6"/>
        <v>3667.5557099999996</v>
      </c>
      <c r="R33" s="63" t="s">
        <v>130</v>
      </c>
      <c r="S33" s="63" t="s">
        <v>133</v>
      </c>
    </row>
    <row r="34" spans="1:19" s="67" customFormat="1" x14ac:dyDescent="0.25">
      <c r="A34" s="63">
        <v>60</v>
      </c>
      <c r="B34" s="64">
        <v>43431</v>
      </c>
      <c r="C34" s="89" t="s">
        <v>225</v>
      </c>
      <c r="D34" s="63" t="s">
        <v>190</v>
      </c>
      <c r="E34" s="63" t="s">
        <v>191</v>
      </c>
      <c r="F34" s="63" t="s">
        <v>91</v>
      </c>
      <c r="G34" s="63" t="s">
        <v>92</v>
      </c>
      <c r="H34" s="63" t="s">
        <v>133</v>
      </c>
      <c r="I34" s="65">
        <v>5184699</v>
      </c>
      <c r="J34" s="90">
        <v>0.02</v>
      </c>
      <c r="K34" s="65">
        <f t="shared" si="1"/>
        <v>103693.98</v>
      </c>
      <c r="L34" s="65"/>
      <c r="M34" s="65">
        <f t="shared" si="2"/>
        <v>9332.4581999999991</v>
      </c>
      <c r="N34" s="65">
        <f t="shared" si="3"/>
        <v>9332.4581999999991</v>
      </c>
      <c r="O34" s="65">
        <f t="shared" si="4"/>
        <v>5184.6990000000005</v>
      </c>
      <c r="P34" s="65">
        <f t="shared" si="5"/>
        <v>117174.19739999998</v>
      </c>
      <c r="Q34" s="66">
        <f t="shared" si="6"/>
        <v>18664.916399999998</v>
      </c>
      <c r="R34" s="63" t="s">
        <v>130</v>
      </c>
      <c r="S34" s="63" t="s">
        <v>133</v>
      </c>
    </row>
    <row r="35" spans="1:19" s="49" customFormat="1" x14ac:dyDescent="0.25">
      <c r="A35" s="48">
        <v>56</v>
      </c>
      <c r="B35" s="56">
        <v>43383</v>
      </c>
      <c r="C35" s="50" t="s">
        <v>222</v>
      </c>
      <c r="D35" s="57" t="s">
        <v>184</v>
      </c>
      <c r="E35" s="57" t="s">
        <v>185</v>
      </c>
      <c r="F35" s="57" t="s">
        <v>91</v>
      </c>
      <c r="G35" s="57" t="s">
        <v>92</v>
      </c>
      <c r="H35" s="57" t="s">
        <v>133</v>
      </c>
      <c r="I35" s="54">
        <v>4450164</v>
      </c>
      <c r="J35" s="58">
        <v>0.02</v>
      </c>
      <c r="K35" s="59">
        <f t="shared" si="1"/>
        <v>89003.28</v>
      </c>
      <c r="L35" s="54"/>
      <c r="M35" s="54">
        <f t="shared" si="2"/>
        <v>8010.2951999999996</v>
      </c>
      <c r="N35" s="54">
        <f t="shared" si="3"/>
        <v>8010.2951999999996</v>
      </c>
      <c r="O35" s="54">
        <f t="shared" si="4"/>
        <v>4450.1639999999998</v>
      </c>
      <c r="P35" s="59">
        <f t="shared" si="5"/>
        <v>100573.70639999998</v>
      </c>
      <c r="Q35" s="60">
        <f t="shared" si="6"/>
        <v>16020.590399999999</v>
      </c>
      <c r="R35" s="57" t="s">
        <v>130</v>
      </c>
      <c r="S35" s="49" t="s">
        <v>133</v>
      </c>
    </row>
    <row r="36" spans="1:19" s="62" customFormat="1" x14ac:dyDescent="0.25">
      <c r="A36" s="57">
        <v>12</v>
      </c>
      <c r="B36" s="56">
        <v>43255</v>
      </c>
      <c r="C36" s="61" t="s">
        <v>221</v>
      </c>
      <c r="D36" s="57" t="s">
        <v>41</v>
      </c>
      <c r="E36" s="57" t="s">
        <v>42</v>
      </c>
      <c r="F36" s="51" t="s">
        <v>43</v>
      </c>
      <c r="G36" s="51" t="s">
        <v>44</v>
      </c>
      <c r="H36" s="51" t="s">
        <v>134</v>
      </c>
      <c r="I36" s="52">
        <v>2722200</v>
      </c>
      <c r="J36" s="53">
        <v>0.02</v>
      </c>
      <c r="K36" s="52">
        <f t="shared" si="1"/>
        <v>54444</v>
      </c>
      <c r="L36" s="52">
        <v>0</v>
      </c>
      <c r="M36" s="52">
        <f t="shared" si="2"/>
        <v>4899.96</v>
      </c>
      <c r="N36" s="52">
        <f t="shared" si="3"/>
        <v>4899.96</v>
      </c>
      <c r="O36" s="52">
        <f t="shared" si="4"/>
        <v>2722.2000000000003</v>
      </c>
      <c r="P36" s="52">
        <f t="shared" si="5"/>
        <v>61521.72</v>
      </c>
      <c r="Q36" s="55">
        <f t="shared" si="6"/>
        <v>9799.92</v>
      </c>
      <c r="R36" s="57" t="s">
        <v>130</v>
      </c>
      <c r="S36" s="62" t="s">
        <v>134</v>
      </c>
    </row>
    <row r="37" spans="1:19" s="76" customFormat="1" x14ac:dyDescent="0.25">
      <c r="A37" s="68">
        <v>11</v>
      </c>
      <c r="B37" s="69">
        <v>43234</v>
      </c>
      <c r="C37" s="70" t="s">
        <v>219</v>
      </c>
      <c r="D37" s="68" t="s">
        <v>40</v>
      </c>
      <c r="E37" s="68" t="s">
        <v>129</v>
      </c>
      <c r="F37" s="71" t="s">
        <v>13</v>
      </c>
      <c r="G37" s="71" t="s">
        <v>14</v>
      </c>
      <c r="H37" s="71" t="s">
        <v>133</v>
      </c>
      <c r="I37" s="72">
        <v>8092706.0599999996</v>
      </c>
      <c r="J37" s="73">
        <v>0.02</v>
      </c>
      <c r="K37" s="72">
        <f t="shared" si="1"/>
        <v>161854.12119999999</v>
      </c>
      <c r="L37" s="74">
        <f>+K37*18%</f>
        <v>29133.741815999998</v>
      </c>
      <c r="M37" s="72"/>
      <c r="N37" s="72"/>
      <c r="O37" s="72">
        <f t="shared" si="4"/>
        <v>8092.7060600000004</v>
      </c>
      <c r="P37" s="72">
        <f t="shared" si="5"/>
        <v>182895.15695599999</v>
      </c>
      <c r="Q37" s="75">
        <f t="shared" si="6"/>
        <v>29133.741815999998</v>
      </c>
      <c r="R37" s="69">
        <v>43292</v>
      </c>
      <c r="S37" s="76" t="s">
        <v>134</v>
      </c>
    </row>
    <row r="38" spans="1:19" s="76" customFormat="1" x14ac:dyDescent="0.25">
      <c r="A38" s="68">
        <v>70</v>
      </c>
      <c r="B38" s="69">
        <v>43481</v>
      </c>
      <c r="C38" s="70" t="s">
        <v>227</v>
      </c>
      <c r="D38" s="68" t="s">
        <v>236</v>
      </c>
      <c r="E38" s="68" t="s">
        <v>237</v>
      </c>
      <c r="F38" s="71" t="s">
        <v>238</v>
      </c>
      <c r="G38" s="71" t="s">
        <v>239</v>
      </c>
      <c r="H38" s="71" t="s">
        <v>133</v>
      </c>
      <c r="I38" s="78">
        <v>7221000</v>
      </c>
      <c r="J38" s="79">
        <v>2.5000000000000001E-2</v>
      </c>
      <c r="K38" s="78">
        <f t="shared" si="1"/>
        <v>180525</v>
      </c>
      <c r="L38" s="78"/>
      <c r="M38" s="78">
        <f>+K38*9%</f>
        <v>16247.25</v>
      </c>
      <c r="N38" s="78">
        <f>+K38*9%</f>
        <v>16247.25</v>
      </c>
      <c r="O38" s="78">
        <f t="shared" si="4"/>
        <v>9026.25</v>
      </c>
      <c r="P38" s="78">
        <f t="shared" si="5"/>
        <v>203993.25</v>
      </c>
      <c r="Q38" s="78">
        <f t="shared" si="6"/>
        <v>32494.5</v>
      </c>
      <c r="R38" s="68"/>
      <c r="S38" s="68" t="s">
        <v>133</v>
      </c>
    </row>
    <row r="39" spans="1:19" s="76" customFormat="1" x14ac:dyDescent="0.25">
      <c r="A39" s="80"/>
      <c r="B39" s="81">
        <v>43550</v>
      </c>
      <c r="C39" s="70" t="s">
        <v>283</v>
      </c>
      <c r="D39" s="68" t="s">
        <v>319</v>
      </c>
      <c r="E39" s="76" t="s">
        <v>320</v>
      </c>
      <c r="F39" s="76" t="s">
        <v>91</v>
      </c>
      <c r="G39" s="76" t="s">
        <v>14</v>
      </c>
      <c r="H39" s="76" t="s">
        <v>133</v>
      </c>
      <c r="I39" s="76">
        <v>7186596</v>
      </c>
      <c r="J39" s="82">
        <v>0.02</v>
      </c>
      <c r="K39" s="77">
        <f>+I39*2%</f>
        <v>143731.92000000001</v>
      </c>
      <c r="L39" s="68"/>
      <c r="M39" s="72">
        <f>+K39*9%</f>
        <v>12935.872800000001</v>
      </c>
      <c r="N39" s="72">
        <f>+K39*9%</f>
        <v>12935.872800000001</v>
      </c>
      <c r="O39" s="72">
        <f t="shared" si="4"/>
        <v>7186.5960000000014</v>
      </c>
      <c r="P39" s="77">
        <f t="shared" si="5"/>
        <v>162417.06960000005</v>
      </c>
      <c r="Q39" s="78">
        <f t="shared" si="6"/>
        <v>25871.745600000002</v>
      </c>
      <c r="R39" s="68"/>
      <c r="S39" s="68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Details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2019-05-06T07:14:47Z</dcterms:modified>
</cp:coreProperties>
</file>