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63reg\MATLAB Temp\"/>
    </mc:Choice>
  </mc:AlternateContent>
  <bookViews>
    <workbookView xWindow="0" yWindow="0" windowWidth="21570" windowHeight="8160" activeTab="3"/>
  </bookViews>
  <sheets>
    <sheet name="BVAD Values" sheetId="1" r:id="rId1"/>
    <sheet name="Nutrient Requirements" sheetId="2" r:id="rId2"/>
    <sheet name="WHO Intake" sheetId="4" r:id="rId3"/>
    <sheet name="USDA Nutrients of Plants" sheetId="3" r:id="rId4"/>
    <sheet name="Chosen Total Requirements" sheetId="5" r:id="rId5"/>
    <sheet name="NASA STD 300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1" i="3" l="1"/>
  <c r="N71" i="3"/>
  <c r="I71" i="3"/>
  <c r="Y105" i="3"/>
  <c r="Y104" i="3"/>
  <c r="Y100" i="3"/>
  <c r="Y99" i="3"/>
  <c r="Y93" i="3"/>
  <c r="Y91" i="3"/>
  <c r="Y90" i="3"/>
  <c r="Y88" i="3"/>
  <c r="Y85" i="3"/>
  <c r="Y81" i="3"/>
  <c r="Y80" i="3"/>
  <c r="Y79" i="3"/>
  <c r="Y75" i="3"/>
  <c r="Y73" i="3"/>
  <c r="X100" i="3"/>
  <c r="X92" i="3"/>
  <c r="X91" i="3"/>
  <c r="X78" i="3"/>
  <c r="W103" i="3"/>
  <c r="W83" i="3"/>
  <c r="V105" i="3"/>
  <c r="V96" i="3"/>
  <c r="V83" i="3"/>
  <c r="V74" i="3"/>
  <c r="U98" i="3"/>
  <c r="U97" i="3"/>
  <c r="U89" i="3"/>
  <c r="U88" i="3"/>
  <c r="U77" i="3"/>
  <c r="U76" i="3"/>
  <c r="U72" i="3"/>
  <c r="T103" i="3"/>
  <c r="T102" i="3"/>
  <c r="T101" i="3"/>
  <c r="T100" i="3"/>
  <c r="T97" i="3"/>
  <c r="T95" i="3"/>
  <c r="T93" i="3"/>
  <c r="T92" i="3"/>
  <c r="T91" i="3"/>
  <c r="T90" i="3"/>
  <c r="T86" i="3"/>
  <c r="T85" i="3"/>
  <c r="T83" i="3"/>
  <c r="T82" i="3"/>
  <c r="T81" i="3"/>
  <c r="T78" i="3"/>
  <c r="T76" i="3"/>
  <c r="T75" i="3"/>
  <c r="T73" i="3"/>
  <c r="S105" i="3"/>
  <c r="S103" i="3"/>
  <c r="S102" i="3"/>
  <c r="S100" i="3"/>
  <c r="S99" i="3"/>
  <c r="S94" i="3"/>
  <c r="S92" i="3"/>
  <c r="S89" i="3"/>
  <c r="S88" i="3"/>
  <c r="S84" i="3"/>
  <c r="S83" i="3"/>
  <c r="S81" i="3"/>
  <c r="S79" i="3"/>
  <c r="S73" i="3"/>
  <c r="S72" i="3"/>
  <c r="Q105" i="3"/>
  <c r="Q104" i="3"/>
  <c r="Q101" i="3"/>
  <c r="Q100" i="3"/>
  <c r="Q98" i="3"/>
  <c r="Q97" i="3"/>
  <c r="Q95" i="3"/>
  <c r="Q93" i="3"/>
  <c r="Q91" i="3"/>
  <c r="Q89" i="3"/>
  <c r="Q88" i="3"/>
  <c r="Q87" i="3"/>
  <c r="Q84" i="3"/>
  <c r="Q83" i="3"/>
  <c r="Q80" i="3"/>
  <c r="Q79" i="3"/>
  <c r="Q77" i="3"/>
  <c r="Q76" i="3"/>
  <c r="Q74" i="3"/>
  <c r="Q73" i="3"/>
  <c r="P102" i="3"/>
  <c r="P95" i="3"/>
  <c r="P92" i="3"/>
  <c r="P90" i="3"/>
  <c r="P86" i="3"/>
  <c r="P79" i="3"/>
  <c r="P76" i="3"/>
  <c r="O104" i="3"/>
  <c r="O88" i="3"/>
  <c r="N105" i="3"/>
  <c r="N95" i="3"/>
  <c r="N90" i="3"/>
  <c r="N87" i="3"/>
  <c r="N77" i="3"/>
  <c r="N74" i="3"/>
  <c r="M105" i="3"/>
  <c r="M97" i="3"/>
  <c r="M95" i="3"/>
  <c r="M90" i="3"/>
  <c r="M88" i="3"/>
  <c r="M79" i="3"/>
  <c r="M77" i="3"/>
  <c r="M74" i="3"/>
  <c r="M73" i="3"/>
  <c r="L103" i="3"/>
  <c r="L102" i="3"/>
  <c r="L101" i="3"/>
  <c r="L100" i="3"/>
  <c r="L98" i="3"/>
  <c r="L97" i="3"/>
  <c r="L93" i="3"/>
  <c r="L92" i="3"/>
  <c r="L91" i="3"/>
  <c r="L90" i="3"/>
  <c r="L87" i="3"/>
  <c r="L85" i="3"/>
  <c r="L83" i="3"/>
  <c r="L82" i="3"/>
  <c r="L81" i="3"/>
  <c r="L79" i="3"/>
  <c r="L76" i="3"/>
  <c r="L75" i="3"/>
  <c r="L73" i="3"/>
  <c r="K105" i="3"/>
  <c r="K104" i="3"/>
  <c r="K103" i="3"/>
  <c r="K100" i="3"/>
  <c r="K99" i="3"/>
  <c r="K94" i="3"/>
  <c r="K92" i="3"/>
  <c r="K89" i="3"/>
  <c r="K88" i="3"/>
  <c r="K85" i="3"/>
  <c r="K83" i="3"/>
  <c r="K81" i="3"/>
  <c r="K78" i="3"/>
  <c r="K73" i="3"/>
  <c r="K72" i="3"/>
  <c r="I105" i="3"/>
  <c r="I104" i="3"/>
  <c r="I101" i="3"/>
  <c r="I100" i="3"/>
  <c r="I99" i="3"/>
  <c r="I98" i="3"/>
  <c r="I95" i="3"/>
  <c r="I93" i="3"/>
  <c r="I91" i="3"/>
  <c r="I90" i="3"/>
  <c r="I89" i="3"/>
  <c r="I87" i="3"/>
  <c r="I84" i="3"/>
  <c r="I83" i="3"/>
  <c r="I81" i="3"/>
  <c r="I80" i="3"/>
  <c r="I77" i="3"/>
  <c r="I76" i="3"/>
  <c r="I74" i="3"/>
  <c r="I73" i="3"/>
  <c r="H102" i="3"/>
  <c r="H101" i="3"/>
  <c r="H98" i="3"/>
  <c r="H97" i="3"/>
  <c r="H90" i="3"/>
  <c r="H87" i="3"/>
  <c r="H83" i="3"/>
  <c r="H82" i="3"/>
  <c r="H75" i="3"/>
  <c r="H73" i="3"/>
  <c r="G103" i="3"/>
  <c r="G89" i="3"/>
  <c r="G77" i="3"/>
  <c r="E105" i="3"/>
  <c r="E103" i="3"/>
  <c r="E101" i="3"/>
  <c r="E100" i="3"/>
  <c r="E99" i="3"/>
  <c r="E98" i="3"/>
  <c r="E97" i="3"/>
  <c r="E96" i="3"/>
  <c r="E93" i="3"/>
  <c r="E92" i="3"/>
  <c r="E91" i="3"/>
  <c r="E90" i="3"/>
  <c r="E89" i="3"/>
  <c r="E88" i="3"/>
  <c r="E87" i="3"/>
  <c r="E84" i="3"/>
  <c r="E83" i="3"/>
  <c r="E82" i="3"/>
  <c r="E81" i="3"/>
  <c r="E80" i="3"/>
  <c r="E79" i="3"/>
  <c r="E77" i="3"/>
  <c r="E75" i="3"/>
  <c r="E74" i="3"/>
  <c r="E73" i="3"/>
  <c r="E72" i="3"/>
  <c r="E71" i="3"/>
  <c r="F105" i="3"/>
  <c r="F104" i="3"/>
  <c r="F101" i="3"/>
  <c r="F100" i="3"/>
  <c r="F99" i="3"/>
  <c r="F96" i="3"/>
  <c r="F95" i="3"/>
  <c r="F93" i="3"/>
  <c r="F92" i="3"/>
  <c r="F89" i="3"/>
  <c r="F87" i="3"/>
  <c r="F86" i="3"/>
  <c r="F84" i="3"/>
  <c r="F83" i="3"/>
  <c r="F81" i="3"/>
  <c r="F80" i="3"/>
  <c r="F77" i="3"/>
  <c r="F75" i="3"/>
  <c r="F73" i="3"/>
  <c r="G68" i="3"/>
  <c r="H68" i="3"/>
  <c r="H93" i="3" s="1"/>
  <c r="I68" i="3"/>
  <c r="I103" i="3" s="1"/>
  <c r="J68" i="3"/>
  <c r="K68" i="3"/>
  <c r="L68" i="3"/>
  <c r="M68" i="3"/>
  <c r="N68" i="3"/>
  <c r="O68" i="3"/>
  <c r="P68" i="3"/>
  <c r="P101" i="3" s="1"/>
  <c r="Q68" i="3"/>
  <c r="Q103" i="3" s="1"/>
  <c r="R68" i="3"/>
  <c r="R95" i="3" s="1"/>
  <c r="S68" i="3"/>
  <c r="T68" i="3"/>
  <c r="U68" i="3"/>
  <c r="V68" i="3"/>
  <c r="W68" i="3"/>
  <c r="X68" i="3"/>
  <c r="X89" i="3" s="1"/>
  <c r="Y68" i="3"/>
  <c r="Y97" i="3" s="1"/>
  <c r="Z68" i="3"/>
  <c r="F68" i="3"/>
  <c r="E68" i="3"/>
  <c r="Z100" i="3" l="1"/>
  <c r="Z92" i="3"/>
  <c r="Z84" i="3"/>
  <c r="Z76" i="3"/>
  <c r="Z104" i="3"/>
  <c r="Z96" i="3"/>
  <c r="Z88" i="3"/>
  <c r="Z80" i="3"/>
  <c r="Z72" i="3"/>
  <c r="Z71" i="3"/>
  <c r="Z105" i="3"/>
  <c r="Z94" i="3"/>
  <c r="Z83" i="3"/>
  <c r="Z73" i="3"/>
  <c r="Z101" i="3"/>
  <c r="Z90" i="3"/>
  <c r="Z79" i="3"/>
  <c r="Z97" i="3"/>
  <c r="Z82" i="3"/>
  <c r="Z95" i="3"/>
  <c r="Z81" i="3"/>
  <c r="Z91" i="3"/>
  <c r="Z77" i="3"/>
  <c r="Z103" i="3"/>
  <c r="Z89" i="3"/>
  <c r="Z75" i="3"/>
  <c r="J100" i="3"/>
  <c r="J92" i="3"/>
  <c r="J84" i="3"/>
  <c r="J76" i="3"/>
  <c r="J99" i="3"/>
  <c r="J90" i="3"/>
  <c r="J81" i="3"/>
  <c r="J72" i="3"/>
  <c r="J71" i="3"/>
  <c r="J104" i="3"/>
  <c r="J94" i="3"/>
  <c r="J83" i="3"/>
  <c r="J73" i="3"/>
  <c r="J101" i="3"/>
  <c r="J89" i="3"/>
  <c r="J79" i="3"/>
  <c r="J98" i="3"/>
  <c r="J85" i="3"/>
  <c r="R80" i="3"/>
  <c r="R96" i="3"/>
  <c r="Z87" i="3"/>
  <c r="W98" i="3"/>
  <c r="W90" i="3"/>
  <c r="W82" i="3"/>
  <c r="W74" i="3"/>
  <c r="W105" i="3"/>
  <c r="W96" i="3"/>
  <c r="W87" i="3"/>
  <c r="W78" i="3"/>
  <c r="W101" i="3"/>
  <c r="W91" i="3"/>
  <c r="W80" i="3"/>
  <c r="W71" i="3"/>
  <c r="W100" i="3"/>
  <c r="W89" i="3"/>
  <c r="W79" i="3"/>
  <c r="W97" i="3"/>
  <c r="W86" i="3"/>
  <c r="W76" i="3"/>
  <c r="W95" i="3"/>
  <c r="W85" i="3"/>
  <c r="W75" i="3"/>
  <c r="O98" i="3"/>
  <c r="O90" i="3"/>
  <c r="O82" i="3"/>
  <c r="O74" i="3"/>
  <c r="O71" i="3"/>
  <c r="O103" i="3"/>
  <c r="O94" i="3"/>
  <c r="O85" i="3"/>
  <c r="O76" i="3"/>
  <c r="O101" i="3"/>
  <c r="O91" i="3"/>
  <c r="O80" i="3"/>
  <c r="O97" i="3"/>
  <c r="O87" i="3"/>
  <c r="O77" i="3"/>
  <c r="O96" i="3"/>
  <c r="O86" i="3"/>
  <c r="O75" i="3"/>
  <c r="G98" i="3"/>
  <c r="G101" i="3"/>
  <c r="G92" i="3"/>
  <c r="G84" i="3"/>
  <c r="G76" i="3"/>
  <c r="G102" i="3"/>
  <c r="G91" i="3"/>
  <c r="G82" i="3"/>
  <c r="G73" i="3"/>
  <c r="G97" i="3"/>
  <c r="G88" i="3"/>
  <c r="G79" i="3"/>
  <c r="G81" i="3"/>
  <c r="G94" i="3"/>
  <c r="J75" i="3"/>
  <c r="J88" i="3"/>
  <c r="J105" i="3"/>
  <c r="O78" i="3"/>
  <c r="O93" i="3"/>
  <c r="R86" i="3"/>
  <c r="R103" i="3"/>
  <c r="W92" i="3"/>
  <c r="Z99" i="3"/>
  <c r="V100" i="3"/>
  <c r="V92" i="3"/>
  <c r="V84" i="3"/>
  <c r="V76" i="3"/>
  <c r="V71" i="3"/>
  <c r="V103" i="3"/>
  <c r="V94" i="3"/>
  <c r="V85" i="3"/>
  <c r="V75" i="3"/>
  <c r="V104" i="3"/>
  <c r="V93" i="3"/>
  <c r="V82" i="3"/>
  <c r="V72" i="3"/>
  <c r="V102" i="3"/>
  <c r="V91" i="3"/>
  <c r="V81" i="3"/>
  <c r="V99" i="3"/>
  <c r="V89" i="3"/>
  <c r="V79" i="3"/>
  <c r="V98" i="3"/>
  <c r="V88" i="3"/>
  <c r="V78" i="3"/>
  <c r="N100" i="3"/>
  <c r="N92" i="3"/>
  <c r="N84" i="3"/>
  <c r="N76" i="3"/>
  <c r="N101" i="3"/>
  <c r="N91" i="3"/>
  <c r="N82" i="3"/>
  <c r="N73" i="3"/>
  <c r="N104" i="3"/>
  <c r="N94" i="3"/>
  <c r="N83" i="3"/>
  <c r="N72" i="3"/>
  <c r="N99" i="3"/>
  <c r="N89" i="3"/>
  <c r="N79" i="3"/>
  <c r="N98" i="3"/>
  <c r="N88" i="3"/>
  <c r="N78" i="3"/>
  <c r="G83" i="3"/>
  <c r="G95" i="3"/>
  <c r="J77" i="3"/>
  <c r="J91" i="3"/>
  <c r="N80" i="3"/>
  <c r="N96" i="3"/>
  <c r="O79" i="3"/>
  <c r="O95" i="3"/>
  <c r="R87" i="3"/>
  <c r="R105" i="3"/>
  <c r="V86" i="3"/>
  <c r="W72" i="3"/>
  <c r="W93" i="3"/>
  <c r="X79" i="3"/>
  <c r="X101" i="3"/>
  <c r="Z74" i="3"/>
  <c r="Z102" i="3"/>
  <c r="U102" i="3"/>
  <c r="U94" i="3"/>
  <c r="U86" i="3"/>
  <c r="U78" i="3"/>
  <c r="U100" i="3"/>
  <c r="U91" i="3"/>
  <c r="U82" i="3"/>
  <c r="U73" i="3"/>
  <c r="U96" i="3"/>
  <c r="U85" i="3"/>
  <c r="U75" i="3"/>
  <c r="U105" i="3"/>
  <c r="U95" i="3"/>
  <c r="U84" i="3"/>
  <c r="U103" i="3"/>
  <c r="U92" i="3"/>
  <c r="U81" i="3"/>
  <c r="U101" i="3"/>
  <c r="U90" i="3"/>
  <c r="U80" i="3"/>
  <c r="M102" i="3"/>
  <c r="M94" i="3"/>
  <c r="M86" i="3"/>
  <c r="M78" i="3"/>
  <c r="M98" i="3"/>
  <c r="M89" i="3"/>
  <c r="M80" i="3"/>
  <c r="M96" i="3"/>
  <c r="M85" i="3"/>
  <c r="M75" i="3"/>
  <c r="M103" i="3"/>
  <c r="M92" i="3"/>
  <c r="M82" i="3"/>
  <c r="M72" i="3"/>
  <c r="M101" i="3"/>
  <c r="M91" i="3"/>
  <c r="M81" i="3"/>
  <c r="G72" i="3"/>
  <c r="G85" i="3"/>
  <c r="G96" i="3"/>
  <c r="H77" i="3"/>
  <c r="H91" i="3"/>
  <c r="H105" i="3"/>
  <c r="J78" i="3"/>
  <c r="J93" i="3"/>
  <c r="M83" i="3"/>
  <c r="M99" i="3"/>
  <c r="N81" i="3"/>
  <c r="N97" i="3"/>
  <c r="O81" i="3"/>
  <c r="O99" i="3"/>
  <c r="P81" i="3"/>
  <c r="P98" i="3"/>
  <c r="R73" i="3"/>
  <c r="R90" i="3"/>
  <c r="U79" i="3"/>
  <c r="U99" i="3"/>
  <c r="V87" i="3"/>
  <c r="W73" i="3"/>
  <c r="W94" i="3"/>
  <c r="X82" i="3"/>
  <c r="X103" i="3"/>
  <c r="Z78" i="3"/>
  <c r="G71" i="3"/>
  <c r="G74" i="3"/>
  <c r="G86" i="3"/>
  <c r="G99" i="3"/>
  <c r="H79" i="3"/>
  <c r="H92" i="3"/>
  <c r="J80" i="3"/>
  <c r="J95" i="3"/>
  <c r="M84" i="3"/>
  <c r="M100" i="3"/>
  <c r="N85" i="3"/>
  <c r="N102" i="3"/>
  <c r="O83" i="3"/>
  <c r="O100" i="3"/>
  <c r="P82" i="3"/>
  <c r="P100" i="3"/>
  <c r="R75" i="3"/>
  <c r="R91" i="3"/>
  <c r="U83" i="3"/>
  <c r="U104" i="3"/>
  <c r="V90" i="3"/>
  <c r="W77" i="3"/>
  <c r="W99" i="3"/>
  <c r="X85" i="3"/>
  <c r="Z85" i="3"/>
  <c r="F72" i="3"/>
  <c r="F98" i="3"/>
  <c r="F90" i="3"/>
  <c r="F82" i="3"/>
  <c r="F74" i="3"/>
  <c r="F97" i="3"/>
  <c r="F88" i="3"/>
  <c r="F79" i="3"/>
  <c r="F71" i="3"/>
  <c r="F103" i="3"/>
  <c r="F94" i="3"/>
  <c r="F85" i="3"/>
  <c r="F76" i="3"/>
  <c r="S98" i="3"/>
  <c r="S90" i="3"/>
  <c r="S82" i="3"/>
  <c r="S74" i="3"/>
  <c r="S104" i="3"/>
  <c r="S95" i="3"/>
  <c r="S86" i="3"/>
  <c r="S77" i="3"/>
  <c r="S101" i="3"/>
  <c r="S91" i="3"/>
  <c r="S80" i="3"/>
  <c r="S71" i="3"/>
  <c r="S97" i="3"/>
  <c r="S87" i="3"/>
  <c r="S76" i="3"/>
  <c r="S96" i="3"/>
  <c r="S85" i="3"/>
  <c r="S75" i="3"/>
  <c r="K98" i="3"/>
  <c r="K90" i="3"/>
  <c r="K82" i="3"/>
  <c r="K74" i="3"/>
  <c r="K71" i="3"/>
  <c r="K102" i="3"/>
  <c r="K93" i="3"/>
  <c r="K84" i="3"/>
  <c r="K75" i="3"/>
  <c r="K101" i="3"/>
  <c r="K91" i="3"/>
  <c r="K80" i="3"/>
  <c r="K97" i="3"/>
  <c r="K87" i="3"/>
  <c r="K77" i="3"/>
  <c r="K96" i="3"/>
  <c r="K86" i="3"/>
  <c r="K76" i="3"/>
  <c r="F78" i="3"/>
  <c r="F91" i="3"/>
  <c r="F102" i="3"/>
  <c r="G75" i="3"/>
  <c r="G87" i="3"/>
  <c r="G100" i="3"/>
  <c r="H81" i="3"/>
  <c r="J82" i="3"/>
  <c r="J96" i="3"/>
  <c r="K79" i="3"/>
  <c r="K95" i="3"/>
  <c r="M87" i="3"/>
  <c r="M104" i="3"/>
  <c r="N86" i="3"/>
  <c r="N103" i="3"/>
  <c r="O84" i="3"/>
  <c r="O102" i="3"/>
  <c r="P85" i="3"/>
  <c r="R77" i="3"/>
  <c r="S78" i="3"/>
  <c r="S93" i="3"/>
  <c r="U87" i="3"/>
  <c r="V73" i="3"/>
  <c r="V95" i="3"/>
  <c r="W81" i="3"/>
  <c r="W102" i="3"/>
  <c r="Z86" i="3"/>
  <c r="M71" i="3"/>
  <c r="R100" i="3"/>
  <c r="R92" i="3"/>
  <c r="R84" i="3"/>
  <c r="R76" i="3"/>
  <c r="R102" i="3"/>
  <c r="R93" i="3"/>
  <c r="R83" i="3"/>
  <c r="R74" i="3"/>
  <c r="R104" i="3"/>
  <c r="R94" i="3"/>
  <c r="R82" i="3"/>
  <c r="R72" i="3"/>
  <c r="R99" i="3"/>
  <c r="R89" i="3"/>
  <c r="R79" i="3"/>
  <c r="R71" i="3"/>
  <c r="R98" i="3"/>
  <c r="R88" i="3"/>
  <c r="R78" i="3"/>
  <c r="J97" i="3"/>
  <c r="G78" i="3"/>
  <c r="G90" i="3"/>
  <c r="G104" i="3"/>
  <c r="J86" i="3"/>
  <c r="J102" i="3"/>
  <c r="O72" i="3"/>
  <c r="O89" i="3"/>
  <c r="O105" i="3"/>
  <c r="R81" i="3"/>
  <c r="R97" i="3"/>
  <c r="V77" i="3"/>
  <c r="V97" i="3"/>
  <c r="W84" i="3"/>
  <c r="W104" i="3"/>
  <c r="Z93" i="3"/>
  <c r="X71" i="3"/>
  <c r="X104" i="3"/>
  <c r="X96" i="3"/>
  <c r="X88" i="3"/>
  <c r="X80" i="3"/>
  <c r="X72" i="3"/>
  <c r="X102" i="3"/>
  <c r="X99" i="3"/>
  <c r="X90" i="3"/>
  <c r="X81" i="3"/>
  <c r="X98" i="3"/>
  <c r="X87" i="3"/>
  <c r="X77" i="3"/>
  <c r="X97" i="3"/>
  <c r="X86" i="3"/>
  <c r="X76" i="3"/>
  <c r="X94" i="3"/>
  <c r="X84" i="3"/>
  <c r="X74" i="3"/>
  <c r="X105" i="3"/>
  <c r="X93" i="3"/>
  <c r="X83" i="3"/>
  <c r="X73" i="3"/>
  <c r="P71" i="3"/>
  <c r="P104" i="3"/>
  <c r="P96" i="3"/>
  <c r="P88" i="3"/>
  <c r="P80" i="3"/>
  <c r="P72" i="3"/>
  <c r="P97" i="3"/>
  <c r="P87" i="3"/>
  <c r="P78" i="3"/>
  <c r="P99" i="3"/>
  <c r="P89" i="3"/>
  <c r="P77" i="3"/>
  <c r="P105" i="3"/>
  <c r="P94" i="3"/>
  <c r="P84" i="3"/>
  <c r="P74" i="3"/>
  <c r="P103" i="3"/>
  <c r="P93" i="3"/>
  <c r="P83" i="3"/>
  <c r="P73" i="3"/>
  <c r="H71" i="3"/>
  <c r="H104" i="3"/>
  <c r="H96" i="3"/>
  <c r="H88" i="3"/>
  <c r="H80" i="3"/>
  <c r="H72" i="3"/>
  <c r="H103" i="3"/>
  <c r="H94" i="3"/>
  <c r="H85" i="3"/>
  <c r="H76" i="3"/>
  <c r="H99" i="3"/>
  <c r="H89" i="3"/>
  <c r="H78" i="3"/>
  <c r="H95" i="3"/>
  <c r="H84" i="3"/>
  <c r="H74" i="3"/>
  <c r="G80" i="3"/>
  <c r="G93" i="3"/>
  <c r="G105" i="3"/>
  <c r="H86" i="3"/>
  <c r="H100" i="3"/>
  <c r="J74" i="3"/>
  <c r="J87" i="3"/>
  <c r="J103" i="3"/>
  <c r="M76" i="3"/>
  <c r="M93" i="3"/>
  <c r="N75" i="3"/>
  <c r="N93" i="3"/>
  <c r="O73" i="3"/>
  <c r="O92" i="3"/>
  <c r="P75" i="3"/>
  <c r="P91" i="3"/>
  <c r="R85" i="3"/>
  <c r="R101" i="3"/>
  <c r="U74" i="3"/>
  <c r="U93" i="3"/>
  <c r="V80" i="3"/>
  <c r="V101" i="3"/>
  <c r="W88" i="3"/>
  <c r="X75" i="3"/>
  <c r="X95" i="3"/>
  <c r="Z98" i="3"/>
  <c r="U71" i="3"/>
  <c r="Y82" i="3"/>
  <c r="Y95" i="3"/>
  <c r="E102" i="3"/>
  <c r="E94" i="3"/>
  <c r="E86" i="3"/>
  <c r="E78" i="3"/>
  <c r="T104" i="3"/>
  <c r="T96" i="3"/>
  <c r="T88" i="3"/>
  <c r="T80" i="3"/>
  <c r="T72" i="3"/>
  <c r="T71" i="3"/>
  <c r="T98" i="3"/>
  <c r="T89" i="3"/>
  <c r="T79" i="3"/>
  <c r="L104" i="3"/>
  <c r="L96" i="3"/>
  <c r="L88" i="3"/>
  <c r="L80" i="3"/>
  <c r="L72" i="3"/>
  <c r="L71" i="3"/>
  <c r="L105" i="3"/>
  <c r="L95" i="3"/>
  <c r="L86" i="3"/>
  <c r="L77" i="3"/>
  <c r="E76" i="3"/>
  <c r="E85" i="3"/>
  <c r="E95" i="3"/>
  <c r="E104" i="3"/>
  <c r="I72" i="3"/>
  <c r="I82" i="3"/>
  <c r="I92" i="3"/>
  <c r="L74" i="3"/>
  <c r="L84" i="3"/>
  <c r="L94" i="3"/>
  <c r="Q82" i="3"/>
  <c r="Q92" i="3"/>
  <c r="T74" i="3"/>
  <c r="T84" i="3"/>
  <c r="T94" i="3"/>
  <c r="T105" i="3"/>
  <c r="Y72" i="3"/>
  <c r="Y84" i="3"/>
  <c r="Y102" i="3"/>
  <c r="Y94" i="3"/>
  <c r="Y86" i="3"/>
  <c r="Y78" i="3"/>
  <c r="Y98" i="3"/>
  <c r="Y96" i="3"/>
  <c r="Y87" i="3"/>
  <c r="Y77" i="3"/>
  <c r="Y103" i="3"/>
  <c r="Y92" i="3"/>
  <c r="Y83" i="3"/>
  <c r="Y74" i="3"/>
  <c r="Q102" i="3"/>
  <c r="Q94" i="3"/>
  <c r="Q86" i="3"/>
  <c r="Q78" i="3"/>
  <c r="Q99" i="3"/>
  <c r="Q90" i="3"/>
  <c r="Q81" i="3"/>
  <c r="Q72" i="3"/>
  <c r="I102" i="3"/>
  <c r="I94" i="3"/>
  <c r="I86" i="3"/>
  <c r="I78" i="3"/>
  <c r="I97" i="3"/>
  <c r="I88" i="3"/>
  <c r="I79" i="3"/>
  <c r="I75" i="3"/>
  <c r="I85" i="3"/>
  <c r="I96" i="3"/>
  <c r="L78" i="3"/>
  <c r="L89" i="3"/>
  <c r="L99" i="3"/>
  <c r="Q75" i="3"/>
  <c r="Q85" i="3"/>
  <c r="Q96" i="3"/>
  <c r="T77" i="3"/>
  <c r="T87" i="3"/>
  <c r="T99" i="3"/>
  <c r="Y76" i="3"/>
  <c r="Y89" i="3"/>
  <c r="Y101" i="3"/>
  <c r="Y7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E22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E18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E14" i="3"/>
  <c r="F20" i="3" l="1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E20" i="3"/>
  <c r="E16" i="3"/>
  <c r="E12" i="3"/>
  <c r="AA23" i="3"/>
  <c r="AB23" i="3" s="1"/>
  <c r="AD10" i="3" l="1"/>
  <c r="L7" i="1"/>
  <c r="L30" i="1"/>
  <c r="M30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7" i="1"/>
  <c r="AF56" i="3"/>
  <c r="AF57" i="3"/>
  <c r="AF58" i="3"/>
  <c r="AF59" i="3"/>
  <c r="AF60" i="3"/>
  <c r="AF62" i="3"/>
  <c r="AF64" i="3"/>
  <c r="AF65" i="3"/>
  <c r="AF55" i="3"/>
  <c r="AD56" i="3"/>
  <c r="AD57" i="3"/>
  <c r="AD58" i="3"/>
  <c r="AD59" i="3"/>
  <c r="AD60" i="3"/>
  <c r="AD61" i="3"/>
  <c r="AD62" i="3"/>
  <c r="AD63" i="3" s="1"/>
  <c r="AD64" i="3"/>
  <c r="AD65" i="3"/>
  <c r="AD55" i="3"/>
  <c r="E33" i="5"/>
  <c r="AD53" i="3"/>
  <c r="AD51" i="3"/>
  <c r="E31" i="5"/>
  <c r="AD46" i="3" s="1"/>
  <c r="E29" i="5"/>
  <c r="AD43" i="3" s="1"/>
  <c r="AD38" i="3"/>
  <c r="AD39" i="3"/>
  <c r="AD40" i="3"/>
  <c r="AD41" i="3"/>
  <c r="AD42" i="3"/>
  <c r="AD37" i="3"/>
  <c r="E21" i="5"/>
  <c r="AD26" i="3"/>
  <c r="AD27" i="3"/>
  <c r="AD28" i="3"/>
  <c r="AD29" i="3"/>
  <c r="AD30" i="3"/>
  <c r="AD31" i="3"/>
  <c r="AD32" i="3"/>
  <c r="AD33" i="3"/>
  <c r="AD34" i="3"/>
  <c r="AD35" i="3"/>
  <c r="AD25" i="3"/>
  <c r="AD11" i="3"/>
  <c r="AD15" i="3"/>
  <c r="AD19" i="3"/>
  <c r="AE9" i="3"/>
  <c r="AE10" i="3"/>
  <c r="AE11" i="3"/>
  <c r="AE15" i="3"/>
  <c r="AE19" i="3"/>
  <c r="AE25" i="3"/>
  <c r="AE26" i="3"/>
  <c r="AE27" i="3"/>
  <c r="AE28" i="3"/>
  <c r="AE29" i="3"/>
  <c r="AE30" i="3"/>
  <c r="AE31" i="3"/>
  <c r="AE32" i="3"/>
  <c r="AE33" i="3"/>
  <c r="AE34" i="3"/>
  <c r="AE35" i="3"/>
  <c r="AE37" i="3"/>
  <c r="AE38" i="3"/>
  <c r="AE39" i="3"/>
  <c r="AE40" i="3"/>
  <c r="AE41" i="3"/>
  <c r="AE42" i="3"/>
  <c r="AE43" i="3"/>
  <c r="AE44" i="3"/>
  <c r="AE46" i="3"/>
  <c r="AE48" i="3"/>
  <c r="AE49" i="3"/>
  <c r="AE50" i="3"/>
  <c r="AE51" i="3"/>
  <c r="AE53" i="3"/>
  <c r="AE55" i="3"/>
  <c r="AE56" i="3"/>
  <c r="AE57" i="3"/>
  <c r="AE58" i="3"/>
  <c r="AE59" i="3"/>
  <c r="AE60" i="3"/>
  <c r="AE61" i="3"/>
  <c r="AE62" i="3"/>
  <c r="AE63" i="3"/>
  <c r="AE64" i="3"/>
  <c r="AE65" i="3"/>
  <c r="AE8" i="3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F32" i="1" l="1"/>
  <c r="E30" i="1"/>
  <c r="F30" i="1"/>
  <c r="G30" i="1"/>
  <c r="H30" i="1"/>
  <c r="I30" i="1"/>
  <c r="J30" i="1"/>
  <c r="D30" i="1"/>
  <c r="AA45" i="3"/>
  <c r="AB45" i="3" s="1"/>
  <c r="AA46" i="3"/>
  <c r="AB46" i="3" s="1"/>
  <c r="AA47" i="3"/>
  <c r="AB47" i="3" s="1"/>
  <c r="AA48" i="3"/>
  <c r="AB48" i="3" s="1"/>
  <c r="AA49" i="3"/>
  <c r="AB49" i="3" s="1"/>
  <c r="AA50" i="3"/>
  <c r="AB50" i="3" s="1"/>
  <c r="AA51" i="3"/>
  <c r="AB51" i="3" s="1"/>
  <c r="AA52" i="3"/>
  <c r="AB52" i="3" s="1"/>
  <c r="AA53" i="3"/>
  <c r="AB53" i="3" s="1"/>
  <c r="AA55" i="3"/>
  <c r="AB55" i="3" s="1"/>
  <c r="AA56" i="3"/>
  <c r="AB56" i="3" s="1"/>
  <c r="AA57" i="3"/>
  <c r="AB57" i="3" s="1"/>
  <c r="AA58" i="3"/>
  <c r="AB58" i="3" s="1"/>
  <c r="AA59" i="3"/>
  <c r="AB59" i="3" s="1"/>
  <c r="AA60" i="3"/>
  <c r="AB60" i="3" s="1"/>
  <c r="AA61" i="3"/>
  <c r="AB61" i="3" s="1"/>
  <c r="AA62" i="3"/>
  <c r="AB62" i="3" s="1"/>
  <c r="AA63" i="3"/>
  <c r="AB63" i="3" s="1"/>
  <c r="AA64" i="3"/>
  <c r="AB64" i="3" s="1"/>
  <c r="AA65" i="3"/>
  <c r="AB65" i="3" s="1"/>
  <c r="AA26" i="3"/>
  <c r="AB26" i="3" s="1"/>
  <c r="AA27" i="3"/>
  <c r="AB27" i="3" s="1"/>
  <c r="AA28" i="3"/>
  <c r="AB28" i="3" s="1"/>
  <c r="AA29" i="3"/>
  <c r="AB29" i="3" s="1"/>
  <c r="AA30" i="3"/>
  <c r="AB30" i="3" s="1"/>
  <c r="AA31" i="3"/>
  <c r="AB31" i="3" s="1"/>
  <c r="AA32" i="3"/>
  <c r="AB32" i="3" s="1"/>
  <c r="AA33" i="3"/>
  <c r="AB33" i="3" s="1"/>
  <c r="AA34" i="3"/>
  <c r="AB34" i="3" s="1"/>
  <c r="AA35" i="3"/>
  <c r="AB35" i="3" s="1"/>
  <c r="AA37" i="3"/>
  <c r="AB37" i="3" s="1"/>
  <c r="AA38" i="3"/>
  <c r="AB38" i="3" s="1"/>
  <c r="AA39" i="3"/>
  <c r="AB39" i="3" s="1"/>
  <c r="AA40" i="3"/>
  <c r="AB40" i="3" s="1"/>
  <c r="AA41" i="3"/>
  <c r="AB41" i="3" s="1"/>
  <c r="AA42" i="3"/>
  <c r="AB42" i="3" s="1"/>
  <c r="AA43" i="3"/>
  <c r="AB43" i="3" s="1"/>
  <c r="AA44" i="3"/>
  <c r="AB44" i="3" s="1"/>
  <c r="AA25" i="3"/>
  <c r="AB25" i="3" s="1"/>
  <c r="AA9" i="3"/>
  <c r="AB9" i="3" s="1"/>
  <c r="AA10" i="3"/>
  <c r="AB10" i="3" s="1"/>
  <c r="AA11" i="3"/>
  <c r="AB11" i="3" s="1"/>
  <c r="AA15" i="3"/>
  <c r="AB15" i="3" s="1"/>
  <c r="AA19" i="3"/>
  <c r="AB19" i="3" s="1"/>
  <c r="AA8" i="3"/>
  <c r="AB8" i="3" s="1"/>
  <c r="E45" i="5"/>
  <c r="E44" i="5"/>
  <c r="E42" i="5"/>
  <c r="E41" i="5"/>
  <c r="E40" i="5"/>
  <c r="E39" i="5"/>
  <c r="E38" i="5"/>
  <c r="E37" i="5"/>
  <c r="E36" i="5"/>
  <c r="E35" i="5"/>
  <c r="E32" i="5"/>
  <c r="E30" i="5"/>
  <c r="E28" i="5"/>
  <c r="E27" i="5"/>
  <c r="E26" i="5"/>
  <c r="E25" i="5"/>
  <c r="E24" i="5"/>
  <c r="E23" i="5"/>
  <c r="E20" i="5"/>
  <c r="E19" i="5"/>
  <c r="E18" i="5"/>
  <c r="E17" i="5"/>
  <c r="E16" i="5"/>
  <c r="E15" i="5"/>
  <c r="E14" i="5"/>
  <c r="E13" i="5"/>
  <c r="E12" i="5"/>
  <c r="E11" i="5"/>
  <c r="E9" i="5"/>
  <c r="E8" i="5"/>
  <c r="E6" i="5"/>
  <c r="E7" i="5"/>
  <c r="F10" i="4" l="1"/>
  <c r="C10" i="4"/>
</calcChain>
</file>

<file path=xl/comments1.xml><?xml version="1.0" encoding="utf-8"?>
<comments xmlns="http://schemas.openxmlformats.org/spreadsheetml/2006/main">
  <authors>
    <author>Hochfellner, Clemens</author>
  </authors>
  <commentList>
    <comment ref="D5" authorId="0" shapeId="0">
      <text>
        <r>
          <rPr>
            <b/>
            <sz val="9"/>
            <color indexed="81"/>
            <rFont val="Segoe UI"/>
            <family val="2"/>
          </rPr>
          <t>Hochfellner, Clemens:</t>
        </r>
        <r>
          <rPr>
            <sz val="9"/>
            <color indexed="81"/>
            <rFont val="Segoe UI"/>
            <family val="2"/>
          </rPr>
          <t xml:space="preserve">
Value from BVAD 2015</t>
        </r>
      </text>
    </comment>
    <comment ref="E23" authorId="0" shapeId="0">
      <text>
        <r>
          <rPr>
            <b/>
            <sz val="9"/>
            <color indexed="81"/>
            <rFont val="Segoe UI"/>
            <family val="2"/>
          </rPr>
          <t>Hochfellner, Clemens:</t>
        </r>
        <r>
          <rPr>
            <sz val="9"/>
            <color indexed="81"/>
            <rFont val="Segoe UI"/>
            <family val="2"/>
          </rPr>
          <t xml:space="preserve">
Value was empty in source
</t>
        </r>
      </text>
    </comment>
  </commentList>
</comments>
</file>

<file path=xl/comments2.xml><?xml version="1.0" encoding="utf-8"?>
<comments xmlns="http://schemas.openxmlformats.org/spreadsheetml/2006/main">
  <authors>
    <author>Hochfellner, Clemens</author>
  </authors>
  <commentList>
    <comment ref="H13" authorId="0" shapeId="0">
      <text>
        <r>
          <rPr>
            <b/>
            <sz val="9"/>
            <color indexed="81"/>
            <rFont val="Segoe UI"/>
            <family val="2"/>
          </rPr>
          <t>Hochfellner, Clemens:</t>
        </r>
        <r>
          <rPr>
            <sz val="9"/>
            <color indexed="81"/>
            <rFont val="Segoe UI"/>
            <family val="2"/>
          </rPr>
          <t xml:space="preserve">
no entries in raw section, took the ones from cooked</t>
        </r>
      </text>
    </comment>
    <comment ref="H17" authorId="0" shapeId="0">
      <text>
        <r>
          <rPr>
            <b/>
            <sz val="9"/>
            <color indexed="81"/>
            <rFont val="Segoe UI"/>
            <family val="2"/>
          </rPr>
          <t>Hochfellner, Clemens:</t>
        </r>
        <r>
          <rPr>
            <sz val="9"/>
            <color indexed="81"/>
            <rFont val="Segoe UI"/>
            <family val="2"/>
          </rPr>
          <t xml:space="preserve">
no entries in raw section, took the ones from cooked</t>
        </r>
      </text>
    </comment>
    <comment ref="H21" authorId="0" shapeId="0">
      <text>
        <r>
          <rPr>
            <b/>
            <sz val="9"/>
            <color indexed="81"/>
            <rFont val="Segoe UI"/>
            <family val="2"/>
          </rPr>
          <t>Hochfellner, Clemens:</t>
        </r>
        <r>
          <rPr>
            <sz val="9"/>
            <color indexed="81"/>
            <rFont val="Segoe UI"/>
            <family val="2"/>
          </rPr>
          <t xml:space="preserve">
no entries in raw section, took the ones from cooked
</t>
        </r>
      </text>
    </comment>
    <comment ref="AD62" authorId="0" shapeId="0">
      <text>
        <r>
          <rPr>
            <b/>
            <sz val="9"/>
            <color indexed="81"/>
            <rFont val="Segoe UI"/>
            <charset val="1"/>
          </rPr>
          <t>Hochfellner, Clemens:</t>
        </r>
        <r>
          <rPr>
            <sz val="9"/>
            <color indexed="81"/>
            <rFont val="Segoe UI"/>
            <charset val="1"/>
          </rPr>
          <t xml:space="preserve">
value for both combined
</t>
        </r>
      </text>
    </comment>
    <comment ref="AD63" authorId="0" shapeId="0">
      <text>
        <r>
          <rPr>
            <b/>
            <sz val="9"/>
            <color indexed="81"/>
            <rFont val="Segoe UI"/>
            <charset val="1"/>
          </rPr>
          <t>Hochfellner, Clemens:</t>
        </r>
        <r>
          <rPr>
            <sz val="9"/>
            <color indexed="81"/>
            <rFont val="Segoe UI"/>
            <charset val="1"/>
          </rPr>
          <t xml:space="preserve">
value for both combined</t>
        </r>
      </text>
    </comment>
  </commentList>
</comments>
</file>

<file path=xl/comments3.xml><?xml version="1.0" encoding="utf-8"?>
<comments xmlns="http://schemas.openxmlformats.org/spreadsheetml/2006/main">
  <authors>
    <author>Hochfellner, Clemens</author>
  </authors>
  <commentList>
    <comment ref="E42" authorId="0" shapeId="0">
      <text>
        <r>
          <rPr>
            <b/>
            <sz val="9"/>
            <color indexed="81"/>
            <rFont val="Segoe UI"/>
            <family val="2"/>
          </rPr>
          <t>Hochfellner, Clemens:</t>
        </r>
        <r>
          <rPr>
            <sz val="9"/>
            <color indexed="81"/>
            <rFont val="Segoe UI"/>
            <family val="2"/>
          </rPr>
          <t xml:space="preserve">
for Phenylananine and Tyrosine combined
</t>
        </r>
      </text>
    </comment>
    <comment ref="H45" authorId="0" shapeId="0">
      <text>
        <r>
          <rPr>
            <b/>
            <sz val="9"/>
            <color indexed="81"/>
            <rFont val="Segoe UI"/>
            <family val="2"/>
          </rPr>
          <t>Hochfellner, Clemens:</t>
        </r>
        <r>
          <rPr>
            <sz val="9"/>
            <color indexed="81"/>
            <rFont val="Segoe UI"/>
            <family val="2"/>
          </rPr>
          <t xml:space="preserve">
these are already the higher ones for males, females would be even more off
</t>
        </r>
      </text>
    </comment>
  </commentList>
</comments>
</file>

<file path=xl/sharedStrings.xml><?xml version="1.0" encoding="utf-8"?>
<sst xmlns="http://schemas.openxmlformats.org/spreadsheetml/2006/main" count="628" uniqueCount="339">
  <si>
    <t>Crop</t>
  </si>
  <si>
    <t>Cabbage</t>
  </si>
  <si>
    <t>Carrot</t>
  </si>
  <si>
    <t>Chard</t>
  </si>
  <si>
    <t>Celery</t>
  </si>
  <si>
    <t>Dry Bean</t>
  </si>
  <si>
    <t>Green Onion</t>
  </si>
  <si>
    <t>Lettuce</t>
  </si>
  <si>
    <t>Onion</t>
  </si>
  <si>
    <t>Pea</t>
  </si>
  <si>
    <t>Peanut</t>
  </si>
  <si>
    <t>Pepper</t>
  </si>
  <si>
    <t>Radish</t>
  </si>
  <si>
    <t>Red Beet</t>
  </si>
  <si>
    <t>Rice</t>
  </si>
  <si>
    <t>Snap Bean</t>
  </si>
  <si>
    <t>Soybean</t>
  </si>
  <si>
    <t>Spinach</t>
  </si>
  <si>
    <t>Strawberry</t>
  </si>
  <si>
    <t>Sweet Potato</t>
  </si>
  <si>
    <t>Tomato</t>
  </si>
  <si>
    <t>Wheat</t>
  </si>
  <si>
    <t>White Potato</t>
  </si>
  <si>
    <t>Edible Biomass Productivity</t>
  </si>
  <si>
    <t>Inedible Biomass Productivity</t>
  </si>
  <si>
    <t>Fresh Basis [g / m² day]</t>
  </si>
  <si>
    <t>Harvest Index       [%]</t>
  </si>
  <si>
    <t>Dry Basis   [g / m² day]</t>
  </si>
  <si>
    <t>Fresh Basis Water Content    [%]</t>
  </si>
  <si>
    <t>Fresh Basis Water Content       [%]</t>
  </si>
  <si>
    <t>Table 4.98</t>
  </si>
  <si>
    <t>Values from Life Support
Baseline Values and Assumptions Document (NASA/TP-2015–218570)</t>
  </si>
  <si>
    <t>Values from Spaceflight Life Support and Biospherics (P. Eckart)</t>
  </si>
  <si>
    <t>Nutrients</t>
  </si>
  <si>
    <t>Astronauts</t>
  </si>
  <si>
    <t>Energy [kJ]</t>
  </si>
  <si>
    <t>Protein [g/kg bodyweight]</t>
  </si>
  <si>
    <t>Fat [g/kg bodyweight]</t>
  </si>
  <si>
    <t>Carbohydrates [g/kg bodyweight]</t>
  </si>
  <si>
    <t>Amino Acid</t>
  </si>
  <si>
    <t>Male [mg/day]</t>
  </si>
  <si>
    <t>Female [mg/day]</t>
  </si>
  <si>
    <t>Tryptophan</t>
  </si>
  <si>
    <t>-</t>
  </si>
  <si>
    <t>Trace Element</t>
  </si>
  <si>
    <t>Stock Inside the Organism [g]</t>
  </si>
  <si>
    <t>Daily Need [mg]</t>
  </si>
  <si>
    <t>4 - 5</t>
  </si>
  <si>
    <t>2 - 3</t>
  </si>
  <si>
    <t>0,10 - 0,15</t>
  </si>
  <si>
    <t>0,01 - 0,03</t>
  </si>
  <si>
    <t>0,001</t>
  </si>
  <si>
    <t>0,01 - 0,02</t>
  </si>
  <si>
    <t>0,01</t>
  </si>
  <si>
    <t>0,006</t>
  </si>
  <si>
    <t>3</t>
  </si>
  <si>
    <t>10 - 12</t>
  </si>
  <si>
    <t>15</t>
  </si>
  <si>
    <t>2 - 5</t>
  </si>
  <si>
    <t>1 - 5</t>
  </si>
  <si>
    <t>0,2 - 0,5</t>
  </si>
  <si>
    <t>0,1 - 0,2</t>
  </si>
  <si>
    <t>&lt;1</t>
  </si>
  <si>
    <t>0,02</t>
  </si>
  <si>
    <t>0,5 - 1,0</t>
  </si>
  <si>
    <t>Daily Need [mg] EXTRA</t>
  </si>
  <si>
    <t>Vitamin</t>
  </si>
  <si>
    <t>Food containing the Vitamin</t>
  </si>
  <si>
    <t>A</t>
  </si>
  <si>
    <t>D</t>
  </si>
  <si>
    <t>E</t>
  </si>
  <si>
    <t>K</t>
  </si>
  <si>
    <t>B1</t>
  </si>
  <si>
    <t>B2</t>
  </si>
  <si>
    <t>B6</t>
  </si>
  <si>
    <t>B12</t>
  </si>
  <si>
    <t>Niacin</t>
  </si>
  <si>
    <t>Folacid</t>
  </si>
  <si>
    <t>Pantothenacid</t>
  </si>
  <si>
    <t>H (Biotin)</t>
  </si>
  <si>
    <t>C</t>
  </si>
  <si>
    <t>0,8 - 1,2</t>
  </si>
  <si>
    <t>0,005 - 0,01</t>
  </si>
  <si>
    <t>10 - 15</t>
  </si>
  <si>
    <t>0,07 - 0,15</t>
  </si>
  <si>
    <t>1,0 - 1,5</t>
  </si>
  <si>
    <t>1,5 - 2,0</t>
  </si>
  <si>
    <t>1,8 - 2,0</t>
  </si>
  <si>
    <t>0,005</t>
  </si>
  <si>
    <t>15 - 20</t>
  </si>
  <si>
    <t>0,4</t>
  </si>
  <si>
    <t>8</t>
  </si>
  <si>
    <t>0,1 - 0,3</t>
  </si>
  <si>
    <t>75</t>
  </si>
  <si>
    <t>Green vegetables, carrots, fruit, milk, liver</t>
  </si>
  <si>
    <t>Liver, animal oil</t>
  </si>
  <si>
    <t>Plant oil, crops</t>
  </si>
  <si>
    <t>Green plants, liver</t>
  </si>
  <si>
    <t>Liver, crops, yeast</t>
  </si>
  <si>
    <t>Liver, milk, yeast</t>
  </si>
  <si>
    <t>Green vegetables, yeast, liver, crops</t>
  </si>
  <si>
    <t>Liver, eggs, milk</t>
  </si>
  <si>
    <t>Liver, yeast, milk</t>
  </si>
  <si>
    <t>Green leaf vegetables</t>
  </si>
  <si>
    <t>Liver, eggs, yeast</t>
  </si>
  <si>
    <t>Citrus fruits, potatoes, green leaf vegetables, paprika</t>
  </si>
  <si>
    <t>Values from http://ndb.nal.usda.gov/</t>
  </si>
  <si>
    <t>Iron, Fe</t>
  </si>
  <si>
    <t>Copper, Cu</t>
  </si>
  <si>
    <t>Manganese, Mn</t>
  </si>
  <si>
    <t>Zinc, Zn</t>
  </si>
  <si>
    <t>Iron, Fe [mg]</t>
  </si>
  <si>
    <t>Calcium, Ca [g]</t>
  </si>
  <si>
    <t>Magnesium, Mg [g]</t>
  </si>
  <si>
    <t>Potassium, K [g]</t>
  </si>
  <si>
    <t>Sodium, Na [g]</t>
  </si>
  <si>
    <t>Phosphorus, P [g]</t>
  </si>
  <si>
    <t>Fluoride, F</t>
  </si>
  <si>
    <t>Cobalt, Co</t>
  </si>
  <si>
    <t>Chromium, Cr</t>
  </si>
  <si>
    <t>Iodine, I</t>
  </si>
  <si>
    <t>Molybdenum, Mo (Mb)</t>
  </si>
  <si>
    <t>Iodine, I (J)</t>
  </si>
  <si>
    <t>Nutrient</t>
  </si>
  <si>
    <t>Unit</t>
  </si>
  <si>
    <t>Value per 100g</t>
  </si>
  <si>
    <t>Proximates</t>
  </si>
  <si>
    <t>Water</t>
  </si>
  <si>
    <t>Energy</t>
  </si>
  <si>
    <t>Protein</t>
  </si>
  <si>
    <t>Total lipid (fat)</t>
  </si>
  <si>
    <t>g</t>
  </si>
  <si>
    <t>kJ</t>
  </si>
  <si>
    <t>Minerals</t>
  </si>
  <si>
    <t>Calcium, Ca</t>
  </si>
  <si>
    <t>Magnesium, Mg</t>
  </si>
  <si>
    <t>Phosphorus, P</t>
  </si>
  <si>
    <t>Potassium, K</t>
  </si>
  <si>
    <t>Sodium, Na</t>
  </si>
  <si>
    <t>Selenium, Se</t>
  </si>
  <si>
    <t>Vitamins</t>
  </si>
  <si>
    <t>Vitamin C</t>
  </si>
  <si>
    <t>Thiamin</t>
  </si>
  <si>
    <t>Vitamin C, total ascorbic acid</t>
  </si>
  <si>
    <t>Lysine</t>
  </si>
  <si>
    <t>Valine</t>
  </si>
  <si>
    <t>Threonine</t>
  </si>
  <si>
    <t>Phenylalanine (including 1100mg Tyrosine)</t>
  </si>
  <si>
    <t>Phenylalanine (without Tyrosine)</t>
  </si>
  <si>
    <t>Isoleucine</t>
  </si>
  <si>
    <t>Leucine</t>
  </si>
  <si>
    <t xml:space="preserve">Methionine (without Cystine)    </t>
  </si>
  <si>
    <t>Metionine (including 810mg Cystine)</t>
  </si>
  <si>
    <t>Histidine</t>
  </si>
  <si>
    <t>Safe level of protein intake for adult men and women</t>
  </si>
  <si>
    <t>BVAD mass median male</t>
  </si>
  <si>
    <t>kg</t>
  </si>
  <si>
    <t>Safe level intake for 82 kg person</t>
  </si>
  <si>
    <t>g/day</t>
  </si>
  <si>
    <t>g/kg bodyweight per day</t>
  </si>
  <si>
    <t>for proteins with a protein digestibility-corrected amino acid score value of 1.0</t>
  </si>
  <si>
    <t>twice the amount is considered to be risk-free</t>
  </si>
  <si>
    <t>should-be risk-free intake amount</t>
  </si>
  <si>
    <t>Table 49</t>
  </si>
  <si>
    <t>Amino acid requirements of adults</t>
  </si>
  <si>
    <t xml:space="preserve">Amino acid </t>
  </si>
  <si>
    <t>mg/kg per day</t>
  </si>
  <si>
    <t>mg/g protein</t>
  </si>
  <si>
    <t>Methionine</t>
  </si>
  <si>
    <t>Cystine</t>
  </si>
  <si>
    <t>Phenylalanine + Tyrosine</t>
  </si>
  <si>
    <t>Methionie + Cystine</t>
  </si>
  <si>
    <t>Valine 26</t>
  </si>
  <si>
    <t>RNI (adult male)</t>
  </si>
  <si>
    <t>mg/day</t>
  </si>
  <si>
    <t>µg/day</t>
  </si>
  <si>
    <t>4,2/7,0/14,0</t>
  </si>
  <si>
    <t>Iron, Fe (15/12/10/5 % bioavailability)</t>
  </si>
  <si>
    <t>9,1/11,4/13,7/27,4</t>
  </si>
  <si>
    <t>Riboflavin</t>
  </si>
  <si>
    <t>Thiamine</t>
  </si>
  <si>
    <t>Pantothenate</t>
  </si>
  <si>
    <t>mg NE/day</t>
  </si>
  <si>
    <t>Vitamin B6 (19 - 50 years)</t>
  </si>
  <si>
    <t>Biotin</t>
  </si>
  <si>
    <t>Vitamin B12</t>
  </si>
  <si>
    <t>Folate</t>
  </si>
  <si>
    <t>Vitamin A</t>
  </si>
  <si>
    <t>Vitamin E</t>
  </si>
  <si>
    <t>Vitamin K</t>
  </si>
  <si>
    <t>µg DFE/day</t>
  </si>
  <si>
    <t>µg RE/day</t>
  </si>
  <si>
    <r>
      <t xml:space="preserve">mg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-TE/day</t>
    </r>
  </si>
  <si>
    <t>Vitamin D (19 - 50 years)</t>
  </si>
  <si>
    <t>Values from Vitamin and mineral requirements in human nutrition</t>
  </si>
  <si>
    <t>Values from Protein and amino acid requirements in human nutrition</t>
  </si>
  <si>
    <t>Zinc, Zn (high/moderate/low bioavailability)</t>
  </si>
  <si>
    <t>mg</t>
  </si>
  <si>
    <t>µg</t>
  </si>
  <si>
    <t>Pantothenic acid</t>
  </si>
  <si>
    <t>Vitamin B6</t>
  </si>
  <si>
    <t>Folate, total</t>
  </si>
  <si>
    <t>Vitamin A, RAE</t>
  </si>
  <si>
    <t>Vitamin A, IU</t>
  </si>
  <si>
    <t>Vitamin E (alphatocopherol)</t>
  </si>
  <si>
    <t>Vitamin D (D2 + D3)</t>
  </si>
  <si>
    <t>IU</t>
  </si>
  <si>
    <t>Amino Acids</t>
  </si>
  <si>
    <t>Phenylalanine</t>
  </si>
  <si>
    <t>Tyrosine</t>
  </si>
  <si>
    <t>kcal</t>
  </si>
  <si>
    <t>11109, Cabbage, raw</t>
  </si>
  <si>
    <t>11124, Carrots, raw</t>
  </si>
  <si>
    <t>11147, Chard, swiss, raw</t>
  </si>
  <si>
    <t>11143, Celery, raw</t>
  </si>
  <si>
    <t>11292, Onions, young green, tops only</t>
  </si>
  <si>
    <t>11253, Lettuce, green leaf, raw</t>
  </si>
  <si>
    <t>11282, Onions, raw</t>
  </si>
  <si>
    <t>11304, Peas, green, raw</t>
  </si>
  <si>
    <t>16087, Peanuts, all types, raw</t>
  </si>
  <si>
    <t>11333, Peppers, sweet, green, raw</t>
  </si>
  <si>
    <t>--</t>
  </si>
  <si>
    <t>11429, Radishes, raw</t>
  </si>
  <si>
    <t>20088, Wild rice, raw</t>
  </si>
  <si>
    <t>11052, Beans, snap, green raw</t>
  </si>
  <si>
    <t>11450, Soybeans, green, raw</t>
  </si>
  <si>
    <t>11457, Spinach, raw</t>
  </si>
  <si>
    <t>09316, Strawberries, raw</t>
  </si>
  <si>
    <t>11507, Sweet potato, raw, unprepared</t>
  </si>
  <si>
    <t>11529, Tomatoes, red, ripe, raw, year round average</t>
  </si>
  <si>
    <t>20075, Wheat, soft white</t>
  </si>
  <si>
    <t>11354, Potatoes, white, flesh and skin, raw</t>
  </si>
  <si>
    <t>11080, Beets, raw</t>
  </si>
  <si>
    <t>Retinol</t>
  </si>
  <si>
    <t>Carotene, beta</t>
  </si>
  <si>
    <t>Carotene, alpha</t>
  </si>
  <si>
    <t>Folate, DFE</t>
  </si>
  <si>
    <t>Fats</t>
  </si>
  <si>
    <t>Carbohydrates</t>
  </si>
  <si>
    <t>Total nutrient requirements per CM (82kg) per day</t>
  </si>
  <si>
    <t>Value</t>
  </si>
  <si>
    <t>WHO</t>
  </si>
  <si>
    <t>Space</t>
  </si>
  <si>
    <t>space values seem too far off, using WHO values</t>
  </si>
  <si>
    <t>values taken from Spaceflight Life Support and Biospherics und official WHO documents (nutrient reuqirements)</t>
  </si>
  <si>
    <t>chosen Space values as base and supplemented them with WHO ones if not listed, amino acids were all taken from WHO docs, value differences seemed too high</t>
  </si>
  <si>
    <t>Carrots</t>
  </si>
  <si>
    <t>Median</t>
  </si>
  <si>
    <t>Maximum</t>
  </si>
  <si>
    <t>80 m² mittel</t>
  </si>
  <si>
    <t>4CM req</t>
  </si>
  <si>
    <t>4m² each (without sweet potato)</t>
  </si>
  <si>
    <t>fresh</t>
  </si>
  <si>
    <t>dry</t>
  </si>
  <si>
    <t>Beets</t>
  </si>
  <si>
    <t>Kidney Bean</t>
  </si>
  <si>
    <t>16027, Beans, kidney, mature seeds, all types, raw</t>
  </si>
  <si>
    <t>Carbohydrate, by difference</t>
  </si>
  <si>
    <t>Ash</t>
  </si>
  <si>
    <t>Protein fraction dry mass</t>
  </si>
  <si>
    <t>Fat fraction dry mass</t>
  </si>
  <si>
    <t>Carbohydrate fraction dry mass</t>
  </si>
  <si>
    <t>Protein Factor</t>
  </si>
  <si>
    <t>Fat Factor</t>
  </si>
  <si>
    <t>Carbohydrat Factor</t>
  </si>
  <si>
    <t>kcal/g</t>
  </si>
  <si>
    <t>kJ/g</t>
  </si>
  <si>
    <t>kJ/kcal</t>
  </si>
  <si>
    <t>value from SI units for clinical measurements</t>
  </si>
  <si>
    <t>NASA STD 3001 nutrient requirements</t>
  </si>
  <si>
    <t>Table 10 - Macronutrient Guidelines for Spaceflight</t>
  </si>
  <si>
    <t>Daily Dietary Intake</t>
  </si>
  <si>
    <t>Fat</t>
  </si>
  <si>
    <t>omega-3 fatty acids</t>
  </si>
  <si>
    <t>omega-6 fatty acids</t>
  </si>
  <si>
    <t>Saturated fat</t>
  </si>
  <si>
    <t>Trans fatty acids</t>
  </si>
  <si>
    <t>Cholesterol</t>
  </si>
  <si>
    <t>Fiber</t>
  </si>
  <si>
    <t>0,8 g/kg</t>
  </si>
  <si>
    <t>&lt;= 35% of total daily energy intake</t>
  </si>
  <si>
    <t>2/3 in the amount of animal protein and 1/3 in the form of vegetable protein</t>
  </si>
  <si>
    <t>50 - 55% of total daily energy intake</t>
  </si>
  <si>
    <t>25 - 35% of total daily energy intake</t>
  </si>
  <si>
    <t>14g</t>
  </si>
  <si>
    <t>1,1 - 1,6g</t>
  </si>
  <si>
    <t>&lt;7% of total daily energy intake</t>
  </si>
  <si>
    <t>&lt;1% of total daily energy intak</t>
  </si>
  <si>
    <t>10 - 14g/ 4187 kJ</t>
  </si>
  <si>
    <t>&lt;300mg/day</t>
  </si>
  <si>
    <t>Table 11 - Micronutrient Guidelines for Spaceflight</t>
  </si>
  <si>
    <t>Vitamin or Mineral</t>
  </si>
  <si>
    <t>Vitamin D</t>
  </si>
  <si>
    <t>25 µg</t>
  </si>
  <si>
    <t>700 - 900 µg</t>
  </si>
  <si>
    <t>Women: 90 µg</t>
  </si>
  <si>
    <t>Men: 120 µg</t>
  </si>
  <si>
    <t>15 mg</t>
  </si>
  <si>
    <t>90 mg</t>
  </si>
  <si>
    <t>2,4 mg</t>
  </si>
  <si>
    <t>1,7 mg</t>
  </si>
  <si>
    <t>Women: 1,1 µmol</t>
  </si>
  <si>
    <t>Men: 1,2 µmol</t>
  </si>
  <si>
    <t>1,3 mg</t>
  </si>
  <si>
    <t>400 µg</t>
  </si>
  <si>
    <t>16 mg niacin equivalents</t>
  </si>
  <si>
    <t>30 µg</t>
  </si>
  <si>
    <t>30 mg</t>
  </si>
  <si>
    <t>1200 - 2000 mg</t>
  </si>
  <si>
    <t>700 mg</t>
  </si>
  <si>
    <t>&lt;= 1,5 * calcium intake</t>
  </si>
  <si>
    <t>Women: 320 mg</t>
  </si>
  <si>
    <t>Men: 420 mg</t>
  </si>
  <si>
    <t>&lt;= 350 mg from supplements only</t>
  </si>
  <si>
    <t>1500 - 2300 mg</t>
  </si>
  <si>
    <t>4,7 g</t>
  </si>
  <si>
    <t>8 - 10 mg</t>
  </si>
  <si>
    <t>0,5 - 9 mg</t>
  </si>
  <si>
    <t>Women: 1,8 mg</t>
  </si>
  <si>
    <t>Men: 2,3 mg</t>
  </si>
  <si>
    <t>Women: 3 mg</t>
  </si>
  <si>
    <t>Men: 4 mg</t>
  </si>
  <si>
    <t>11 mg</t>
  </si>
  <si>
    <t>55 - 400 µg</t>
  </si>
  <si>
    <t>150 µg</t>
  </si>
  <si>
    <t>35 µg</t>
  </si>
  <si>
    <t>USDA number and description</t>
  </si>
  <si>
    <t>Factors</t>
  </si>
  <si>
    <t>all</t>
  </si>
  <si>
    <t>factors</t>
  </si>
  <si>
    <t>g/g_drymass</t>
  </si>
  <si>
    <t>Drymass</t>
  </si>
  <si>
    <t>Retinol equivalent (RE)</t>
  </si>
  <si>
    <t>1µg Retinol = 1 RE</t>
  </si>
  <si>
    <t>1µg beta-carotene = 0.167 RE</t>
  </si>
  <si>
    <t>1µg other provitamin A carotenoids = 0.084 RE</t>
  </si>
  <si>
    <t>alpha-carotene</t>
  </si>
  <si>
    <t>(Vitamin A, RAE + alpha and beta carotene)</t>
  </si>
  <si>
    <t>recommended safe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</si>
</sst>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Symbol"/>
      <family val="1"/>
      <charset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center" wrapText="1"/>
    </xf>
    <xf numFmtId="0" fontId="1" fillId="0" borderId="2" xfId="0" applyFont="1" applyBorder="1" applyAlignment="1"/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2" fontId="0" fillId="0" borderId="1" xfId="0" applyNumberFormat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2" fontId="0" fillId="0" borderId="13" xfId="0" applyNumberFormat="1" applyBorder="1" applyAlignment="1"/>
    <xf numFmtId="2" fontId="0" fillId="0" borderId="14" xfId="0" applyNumberFormat="1" applyBorder="1" applyAlignment="1"/>
    <xf numFmtId="0" fontId="0" fillId="0" borderId="15" xfId="0" applyBorder="1" applyAlignment="1"/>
    <xf numFmtId="2" fontId="0" fillId="0" borderId="16" xfId="0" applyNumberFormat="1" applyBorder="1" applyAlignment="1"/>
    <xf numFmtId="0" fontId="0" fillId="0" borderId="17" xfId="0" applyBorder="1" applyAlignment="1"/>
    <xf numFmtId="0" fontId="0" fillId="0" borderId="17" xfId="0" applyFill="1" applyBorder="1" applyAlignment="1"/>
    <xf numFmtId="2" fontId="0" fillId="0" borderId="17" xfId="0" applyNumberFormat="1" applyBorder="1" applyAlignment="1"/>
    <xf numFmtId="2" fontId="0" fillId="0" borderId="18" xfId="0" applyNumberFormat="1" applyBorder="1" applyAlignment="1"/>
    <xf numFmtId="2" fontId="0" fillId="0" borderId="19" xfId="0" applyNumberFormat="1" applyBorder="1" applyAlignment="1"/>
    <xf numFmtId="0" fontId="0" fillId="0" borderId="20" xfId="0" applyFill="1" applyBorder="1" applyAlignment="1"/>
    <xf numFmtId="0" fontId="1" fillId="0" borderId="6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0" xfId="0" applyFill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right"/>
    </xf>
    <xf numFmtId="0" fontId="1" fillId="2" borderId="6" xfId="0" applyFont="1" applyFill="1" applyBorder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4" borderId="11" xfId="0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25" xfId="0" applyFill="1" applyBorder="1" applyAlignment="1"/>
    <xf numFmtId="0" fontId="0" fillId="0" borderId="26" xfId="0" applyBorder="1"/>
    <xf numFmtId="0" fontId="0" fillId="5" borderId="26" xfId="0" applyFill="1" applyBorder="1" applyAlignment="1"/>
    <xf numFmtId="0" fontId="0" fillId="0" borderId="26" xfId="0" applyBorder="1" applyAlignment="1"/>
    <xf numFmtId="0" fontId="0" fillId="4" borderId="26" xfId="0" applyFill="1" applyBorder="1"/>
    <xf numFmtId="0" fontId="0" fillId="6" borderId="26" xfId="0" applyFill="1" applyBorder="1"/>
    <xf numFmtId="0" fontId="0" fillId="0" borderId="27" xfId="0" applyBorder="1"/>
    <xf numFmtId="0" fontId="0" fillId="0" borderId="28" xfId="0" applyBorder="1"/>
    <xf numFmtId="0" fontId="1" fillId="5" borderId="28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0" fillId="0" borderId="29" xfId="0" applyBorder="1"/>
    <xf numFmtId="0" fontId="0" fillId="2" borderId="25" xfId="0" applyFill="1" applyBorder="1"/>
    <xf numFmtId="0" fontId="0" fillId="5" borderId="26" xfId="0" applyFill="1" applyBorder="1"/>
    <xf numFmtId="0" fontId="1" fillId="0" borderId="2" xfId="0" applyFont="1" applyFill="1" applyBorder="1" applyAlignment="1">
      <alignment horizontal="center"/>
    </xf>
    <xf numFmtId="0" fontId="0" fillId="0" borderId="26" xfId="0" applyFill="1" applyBorder="1"/>
    <xf numFmtId="0" fontId="0" fillId="0" borderId="26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28" xfId="0" applyFill="1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28" xfId="0" applyBorder="1" applyAlignment="1"/>
    <xf numFmtId="2" fontId="0" fillId="0" borderId="28" xfId="0" applyNumberFormat="1" applyBorder="1"/>
    <xf numFmtId="2" fontId="0" fillId="0" borderId="28" xfId="0" applyNumberFormat="1" applyBorder="1" applyAlignment="1">
      <alignment horizontal="right"/>
    </xf>
    <xf numFmtId="49" fontId="0" fillId="0" borderId="28" xfId="0" applyNumberFormat="1" applyBorder="1" applyAlignment="1">
      <alignment horizontal="right"/>
    </xf>
    <xf numFmtId="0" fontId="0" fillId="0" borderId="2" xfId="0" applyBorder="1"/>
    <xf numFmtId="0" fontId="0" fillId="6" borderId="2" xfId="0" applyFill="1" applyBorder="1" applyAlignment="1">
      <alignment horizontal="center"/>
    </xf>
    <xf numFmtId="0" fontId="0" fillId="6" borderId="28" xfId="0" applyFill="1" applyBorder="1"/>
    <xf numFmtId="0" fontId="0" fillId="2" borderId="2" xfId="0" applyFill="1" applyBorder="1" applyAlignment="1">
      <alignment horizontal="center"/>
    </xf>
    <xf numFmtId="0" fontId="0" fillId="8" borderId="28" xfId="0" applyFill="1" applyBorder="1"/>
    <xf numFmtId="0" fontId="0" fillId="4" borderId="2" xfId="0" applyFill="1" applyBorder="1" applyAlignment="1">
      <alignment horizontal="center"/>
    </xf>
    <xf numFmtId="0" fontId="0" fillId="4" borderId="28" xfId="0" applyFill="1" applyBorder="1"/>
    <xf numFmtId="0" fontId="0" fillId="5" borderId="2" xfId="0" applyFill="1" applyBorder="1" applyAlignment="1">
      <alignment horizontal="center"/>
    </xf>
    <xf numFmtId="0" fontId="0" fillId="5" borderId="28" xfId="0" applyFill="1" applyBorder="1"/>
    <xf numFmtId="0" fontId="0" fillId="2" borderId="6" xfId="0" applyFill="1" applyBorder="1" applyAlignment="1">
      <alignment horizontal="center"/>
    </xf>
    <xf numFmtId="0" fontId="0" fillId="0" borderId="0" xfId="0" applyFill="1"/>
    <xf numFmtId="0" fontId="1" fillId="0" borderId="3" xfId="0" applyFont="1" applyBorder="1" applyAlignment="1"/>
    <xf numFmtId="0" fontId="1" fillId="7" borderId="3" xfId="0" applyFont="1" applyFill="1" applyBorder="1" applyAlignment="1"/>
    <xf numFmtId="0" fontId="0" fillId="2" borderId="6" xfId="0" applyFill="1" applyBorder="1"/>
    <xf numFmtId="0" fontId="0" fillId="0" borderId="0" xfId="0" applyFill="1" applyBorder="1" applyAlignment="1"/>
    <xf numFmtId="0" fontId="0" fillId="2" borderId="24" xfId="0" applyFill="1" applyBorder="1"/>
    <xf numFmtId="0" fontId="0" fillId="5" borderId="31" xfId="0" applyFill="1" applyBorder="1"/>
    <xf numFmtId="0" fontId="0" fillId="4" borderId="31" xfId="0" applyFill="1" applyBorder="1"/>
    <xf numFmtId="0" fontId="0" fillId="6" borderId="31" xfId="0" applyFill="1" applyBorder="1"/>
    <xf numFmtId="0" fontId="0" fillId="0" borderId="31" xfId="0" applyBorder="1"/>
    <xf numFmtId="0" fontId="0" fillId="0" borderId="32" xfId="0" applyBorder="1"/>
    <xf numFmtId="0" fontId="0" fillId="6" borderId="6" xfId="0" applyFill="1" applyBorder="1"/>
    <xf numFmtId="0" fontId="1" fillId="0" borderId="5" xfId="0" applyFont="1" applyBorder="1" applyAlignment="1">
      <alignment horizontal="center"/>
    </xf>
    <xf numFmtId="164" fontId="0" fillId="0" borderId="26" xfId="0" applyNumberFormat="1" applyBorder="1"/>
    <xf numFmtId="2" fontId="0" fillId="0" borderId="26" xfId="0" applyNumberFormat="1" applyBorder="1"/>
    <xf numFmtId="2" fontId="0" fillId="8" borderId="26" xfId="0" applyNumberFormat="1" applyFill="1" applyBorder="1"/>
    <xf numFmtId="0" fontId="0" fillId="0" borderId="34" xfId="0" applyBorder="1"/>
    <xf numFmtId="0" fontId="0" fillId="0" borderId="34" xfId="0" applyBorder="1" applyAlignment="1">
      <alignment wrapText="1"/>
    </xf>
    <xf numFmtId="0" fontId="0" fillId="0" borderId="35" xfId="0" applyBorder="1"/>
    <xf numFmtId="0" fontId="0" fillId="0" borderId="37" xfId="0" applyBorder="1"/>
    <xf numFmtId="0" fontId="1" fillId="0" borderId="3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7" borderId="0" xfId="0" applyFont="1" applyFill="1" applyBorder="1" applyAlignment="1"/>
    <xf numFmtId="0" fontId="0" fillId="0" borderId="0" xfId="0" applyFill="1" applyBorder="1"/>
    <xf numFmtId="165" fontId="0" fillId="0" borderId="0" xfId="0" applyNumberFormat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2"/>
  <sheetViews>
    <sheetView workbookViewId="0">
      <selection activeCell="E16" sqref="E16"/>
    </sheetView>
  </sheetViews>
  <sheetFormatPr baseColWidth="10" defaultRowHeight="15" x14ac:dyDescent="0.25"/>
  <cols>
    <col min="1" max="2" width="11.42578125" style="1"/>
    <col min="3" max="3" width="12.85546875" style="1" bestFit="1" customWidth="1"/>
    <col min="4" max="4" width="11.42578125" style="1"/>
    <col min="5" max="5" width="11.42578125" style="1" customWidth="1"/>
    <col min="6" max="6" width="11.42578125" style="1"/>
    <col min="7" max="7" width="13.140625" style="1" customWidth="1"/>
    <col min="8" max="9" width="11.42578125" style="1"/>
    <col min="10" max="10" width="11.85546875" style="1" customWidth="1"/>
    <col min="11" max="16384" width="11.42578125" style="1"/>
  </cols>
  <sheetData>
    <row r="1" spans="3:13" ht="16.5" customHeight="1" thickBot="1" x14ac:dyDescent="0.3"/>
    <row r="2" spans="3:13" ht="29.25" customHeight="1" thickBot="1" x14ac:dyDescent="0.3">
      <c r="C2" s="126" t="s">
        <v>31</v>
      </c>
      <c r="D2" s="127"/>
      <c r="E2" s="127"/>
      <c r="F2" s="127"/>
      <c r="G2" s="127"/>
      <c r="H2" s="127"/>
      <c r="I2" s="127"/>
      <c r="J2" s="128"/>
    </row>
    <row r="4" spans="3:13" ht="15.75" thickBot="1" x14ac:dyDescent="0.3"/>
    <row r="5" spans="3:13" ht="15.75" thickBot="1" x14ac:dyDescent="0.3">
      <c r="C5" s="3" t="s">
        <v>30</v>
      </c>
      <c r="D5" s="3"/>
      <c r="E5" s="123" t="s">
        <v>23</v>
      </c>
      <c r="F5" s="124"/>
      <c r="G5" s="125"/>
      <c r="H5" s="123" t="s">
        <v>24</v>
      </c>
      <c r="I5" s="124"/>
      <c r="J5" s="125"/>
    </row>
    <row r="6" spans="3:13" ht="60.75" thickBot="1" x14ac:dyDescent="0.3">
      <c r="C6" s="4" t="s">
        <v>0</v>
      </c>
      <c r="D6" s="5" t="s">
        <v>26</v>
      </c>
      <c r="E6" s="6" t="s">
        <v>27</v>
      </c>
      <c r="F6" s="7" t="s">
        <v>25</v>
      </c>
      <c r="G6" s="8" t="s">
        <v>29</v>
      </c>
      <c r="H6" s="6" t="s">
        <v>27</v>
      </c>
      <c r="I6" s="7" t="s">
        <v>25</v>
      </c>
      <c r="J6" s="8" t="s">
        <v>28</v>
      </c>
      <c r="K6" s="2"/>
      <c r="L6" s="2" t="s">
        <v>252</v>
      </c>
      <c r="M6" s="2" t="s">
        <v>253</v>
      </c>
    </row>
    <row r="7" spans="3:13" x14ac:dyDescent="0.25">
      <c r="C7" s="10" t="s">
        <v>1</v>
      </c>
      <c r="D7" s="10">
        <v>90</v>
      </c>
      <c r="E7" s="15">
        <v>6.06</v>
      </c>
      <c r="F7" s="16">
        <v>75.78</v>
      </c>
      <c r="G7" s="17">
        <v>92</v>
      </c>
      <c r="H7" s="15">
        <v>0.67</v>
      </c>
      <c r="I7" s="16">
        <v>6.74</v>
      </c>
      <c r="J7" s="17">
        <v>90</v>
      </c>
      <c r="L7" s="1">
        <f>4*F7</f>
        <v>303.12</v>
      </c>
      <c r="M7" s="1">
        <f>4*E7</f>
        <v>24.24</v>
      </c>
    </row>
    <row r="8" spans="3:13" x14ac:dyDescent="0.25">
      <c r="C8" s="11" t="s">
        <v>2</v>
      </c>
      <c r="D8" s="11">
        <v>60</v>
      </c>
      <c r="E8" s="18">
        <v>8.98</v>
      </c>
      <c r="F8" s="9">
        <v>74.83</v>
      </c>
      <c r="G8" s="19">
        <v>88</v>
      </c>
      <c r="H8" s="18">
        <v>5.99</v>
      </c>
      <c r="I8" s="9">
        <v>59.87</v>
      </c>
      <c r="J8" s="19">
        <v>90</v>
      </c>
      <c r="L8" s="1">
        <f t="shared" ref="L8:L28" si="0">4*F8</f>
        <v>299.32</v>
      </c>
      <c r="M8" s="1">
        <f t="shared" ref="M8:M28" si="1">4*E8</f>
        <v>35.92</v>
      </c>
    </row>
    <row r="9" spans="3:13" x14ac:dyDescent="0.25">
      <c r="C9" s="11" t="s">
        <v>3</v>
      </c>
      <c r="D9" s="11">
        <v>65</v>
      </c>
      <c r="E9" s="18">
        <v>7</v>
      </c>
      <c r="F9" s="9">
        <v>87.5</v>
      </c>
      <c r="G9" s="19">
        <v>92</v>
      </c>
      <c r="H9" s="18">
        <v>3.77</v>
      </c>
      <c r="I9" s="9">
        <v>37.69</v>
      </c>
      <c r="J9" s="19">
        <v>90</v>
      </c>
      <c r="L9" s="1">
        <f t="shared" si="0"/>
        <v>350</v>
      </c>
      <c r="M9" s="1">
        <f t="shared" si="1"/>
        <v>28</v>
      </c>
    </row>
    <row r="10" spans="3:13" x14ac:dyDescent="0.25">
      <c r="C10" s="11" t="s">
        <v>4</v>
      </c>
      <c r="D10" s="13">
        <v>90</v>
      </c>
      <c r="E10" s="18">
        <v>10.33</v>
      </c>
      <c r="F10" s="9">
        <v>103.27</v>
      </c>
      <c r="G10" s="20">
        <v>90</v>
      </c>
      <c r="H10" s="18">
        <v>1.1499999999999999</v>
      </c>
      <c r="I10" s="9">
        <v>11.47</v>
      </c>
      <c r="J10" s="20">
        <v>90</v>
      </c>
      <c r="L10" s="1">
        <f t="shared" si="0"/>
        <v>413.08</v>
      </c>
      <c r="M10" s="1">
        <f t="shared" si="1"/>
        <v>41.32</v>
      </c>
    </row>
    <row r="11" spans="3:13" x14ac:dyDescent="0.25">
      <c r="C11" s="11" t="s">
        <v>5</v>
      </c>
      <c r="D11" s="13">
        <v>40</v>
      </c>
      <c r="E11" s="18">
        <v>10</v>
      </c>
      <c r="F11" s="9">
        <v>11.11</v>
      </c>
      <c r="G11" s="20">
        <v>10</v>
      </c>
      <c r="H11" s="18">
        <v>15</v>
      </c>
      <c r="I11" s="9">
        <v>150</v>
      </c>
      <c r="J11" s="20">
        <v>90</v>
      </c>
      <c r="L11" s="1">
        <f t="shared" si="0"/>
        <v>44.44</v>
      </c>
      <c r="M11" s="1">
        <f t="shared" si="1"/>
        <v>40</v>
      </c>
    </row>
    <row r="12" spans="3:13" x14ac:dyDescent="0.25">
      <c r="C12" s="11" t="s">
        <v>6</v>
      </c>
      <c r="D12" s="13">
        <v>90</v>
      </c>
      <c r="E12" s="18">
        <v>9</v>
      </c>
      <c r="F12" s="9">
        <v>81.819999999999993</v>
      </c>
      <c r="G12" s="20">
        <v>89</v>
      </c>
      <c r="H12" s="18">
        <v>1</v>
      </c>
      <c r="I12" s="9">
        <v>10</v>
      </c>
      <c r="J12" s="20">
        <v>90</v>
      </c>
      <c r="L12" s="1">
        <f t="shared" si="0"/>
        <v>327.27999999999997</v>
      </c>
      <c r="M12" s="1">
        <f t="shared" si="1"/>
        <v>36</v>
      </c>
    </row>
    <row r="13" spans="3:13" x14ac:dyDescent="0.25">
      <c r="C13" s="11" t="s">
        <v>7</v>
      </c>
      <c r="D13" s="13">
        <v>90</v>
      </c>
      <c r="E13" s="18">
        <v>6.57</v>
      </c>
      <c r="F13" s="9">
        <v>131.35</v>
      </c>
      <c r="G13" s="20">
        <v>95</v>
      </c>
      <c r="H13" s="18">
        <v>0.73</v>
      </c>
      <c r="I13" s="9">
        <v>7.3</v>
      </c>
      <c r="J13" s="20">
        <v>90</v>
      </c>
      <c r="L13" s="1">
        <f t="shared" si="0"/>
        <v>525.4</v>
      </c>
      <c r="M13" s="1">
        <f t="shared" si="1"/>
        <v>26.28</v>
      </c>
    </row>
    <row r="14" spans="3:13" x14ac:dyDescent="0.25">
      <c r="C14" s="11" t="s">
        <v>8</v>
      </c>
      <c r="D14" s="13">
        <v>80</v>
      </c>
      <c r="E14" s="18">
        <v>9</v>
      </c>
      <c r="F14" s="9">
        <v>81.819999999999993</v>
      </c>
      <c r="G14" s="20">
        <v>89</v>
      </c>
      <c r="H14" s="18">
        <v>2.25</v>
      </c>
      <c r="I14" s="9">
        <v>22.5</v>
      </c>
      <c r="J14" s="20">
        <v>90</v>
      </c>
      <c r="L14" s="1">
        <f t="shared" si="0"/>
        <v>327.27999999999997</v>
      </c>
      <c r="M14" s="1">
        <f t="shared" si="1"/>
        <v>36</v>
      </c>
    </row>
    <row r="15" spans="3:13" x14ac:dyDescent="0.25">
      <c r="C15" s="11" t="s">
        <v>9</v>
      </c>
      <c r="D15" s="13">
        <v>40</v>
      </c>
      <c r="E15" s="18">
        <v>10.73</v>
      </c>
      <c r="F15" s="9">
        <v>12.2</v>
      </c>
      <c r="G15" s="20">
        <v>12</v>
      </c>
      <c r="H15" s="18">
        <v>16.100000000000001</v>
      </c>
      <c r="I15" s="9">
        <v>161</v>
      </c>
      <c r="J15" s="20">
        <v>90</v>
      </c>
      <c r="L15" s="1">
        <f t="shared" si="0"/>
        <v>48.8</v>
      </c>
      <c r="M15" s="1">
        <f t="shared" si="1"/>
        <v>42.92</v>
      </c>
    </row>
    <row r="16" spans="3:13" x14ac:dyDescent="0.25">
      <c r="C16" s="11" t="s">
        <v>10</v>
      </c>
      <c r="D16" s="13">
        <v>25</v>
      </c>
      <c r="E16" s="18">
        <v>5.63</v>
      </c>
      <c r="F16" s="9">
        <v>5.96</v>
      </c>
      <c r="G16" s="21">
        <v>5.6</v>
      </c>
      <c r="H16" s="18">
        <v>16.88</v>
      </c>
      <c r="I16" s="9">
        <v>168.75</v>
      </c>
      <c r="J16" s="20">
        <v>90</v>
      </c>
      <c r="L16" s="1">
        <f t="shared" si="0"/>
        <v>23.84</v>
      </c>
      <c r="M16" s="1">
        <f t="shared" si="1"/>
        <v>22.52</v>
      </c>
    </row>
    <row r="17" spans="3:13" x14ac:dyDescent="0.25">
      <c r="C17" s="11" t="s">
        <v>11</v>
      </c>
      <c r="D17" s="13">
        <v>45</v>
      </c>
      <c r="E17" s="18">
        <v>10.43</v>
      </c>
      <c r="F17" s="9">
        <v>148.94</v>
      </c>
      <c r="G17" s="20">
        <v>93</v>
      </c>
      <c r="H17" s="18">
        <v>12.74</v>
      </c>
      <c r="I17" s="9">
        <v>127.43</v>
      </c>
      <c r="J17" s="20">
        <v>90</v>
      </c>
      <c r="L17" s="1">
        <f t="shared" si="0"/>
        <v>595.76</v>
      </c>
      <c r="M17" s="1">
        <f t="shared" si="1"/>
        <v>41.72</v>
      </c>
    </row>
    <row r="18" spans="3:13" x14ac:dyDescent="0.25">
      <c r="C18" s="11" t="s">
        <v>12</v>
      </c>
      <c r="D18" s="13">
        <v>50</v>
      </c>
      <c r="E18" s="18">
        <v>5.5</v>
      </c>
      <c r="F18" s="9">
        <v>91.67</v>
      </c>
      <c r="G18" s="20">
        <v>94</v>
      </c>
      <c r="H18" s="18">
        <v>5.5</v>
      </c>
      <c r="I18" s="9">
        <v>55</v>
      </c>
      <c r="J18" s="20">
        <v>90</v>
      </c>
      <c r="L18" s="1">
        <f t="shared" si="0"/>
        <v>366.68</v>
      </c>
      <c r="M18" s="1">
        <f t="shared" si="1"/>
        <v>22</v>
      </c>
    </row>
    <row r="19" spans="3:13" x14ac:dyDescent="0.25">
      <c r="C19" s="11" t="s">
        <v>13</v>
      </c>
      <c r="D19" s="13">
        <v>65</v>
      </c>
      <c r="E19" s="18">
        <v>6.5</v>
      </c>
      <c r="F19" s="9">
        <v>32.5</v>
      </c>
      <c r="G19" s="20">
        <v>80</v>
      </c>
      <c r="H19" s="18">
        <v>3.5</v>
      </c>
      <c r="I19" s="9">
        <v>35</v>
      </c>
      <c r="J19" s="20">
        <v>90</v>
      </c>
      <c r="L19" s="1">
        <f t="shared" si="0"/>
        <v>130</v>
      </c>
      <c r="M19" s="1">
        <f t="shared" si="1"/>
        <v>26</v>
      </c>
    </row>
    <row r="20" spans="3:13" x14ac:dyDescent="0.25">
      <c r="C20" s="11" t="s">
        <v>14</v>
      </c>
      <c r="D20" s="13">
        <v>30</v>
      </c>
      <c r="E20" s="18">
        <v>9.07</v>
      </c>
      <c r="F20" s="9">
        <v>10.3</v>
      </c>
      <c r="G20" s="20">
        <v>12</v>
      </c>
      <c r="H20" s="18">
        <v>21.16</v>
      </c>
      <c r="I20" s="9">
        <v>211.58</v>
      </c>
      <c r="J20" s="20">
        <v>90</v>
      </c>
      <c r="L20" s="1">
        <f t="shared" si="0"/>
        <v>41.2</v>
      </c>
      <c r="M20" s="1">
        <f t="shared" si="1"/>
        <v>36.28</v>
      </c>
    </row>
    <row r="21" spans="3:13" x14ac:dyDescent="0.25">
      <c r="C21" s="11" t="s">
        <v>15</v>
      </c>
      <c r="D21" s="13">
        <v>40</v>
      </c>
      <c r="E21" s="18">
        <v>11.88</v>
      </c>
      <c r="F21" s="9">
        <v>148.5</v>
      </c>
      <c r="G21" s="20">
        <v>92</v>
      </c>
      <c r="H21" s="18">
        <v>17.82</v>
      </c>
      <c r="I21" s="9">
        <v>178.2</v>
      </c>
      <c r="J21" s="20">
        <v>90</v>
      </c>
      <c r="L21" s="1">
        <f t="shared" si="0"/>
        <v>594</v>
      </c>
      <c r="M21" s="1">
        <f t="shared" si="1"/>
        <v>47.52</v>
      </c>
    </row>
    <row r="22" spans="3:13" x14ac:dyDescent="0.25">
      <c r="C22" s="11" t="s">
        <v>16</v>
      </c>
      <c r="D22" s="13">
        <v>40</v>
      </c>
      <c r="E22" s="18">
        <v>6</v>
      </c>
      <c r="F22" s="9">
        <v>6.6</v>
      </c>
      <c r="G22" s="20">
        <v>10</v>
      </c>
      <c r="H22" s="18">
        <v>6.8</v>
      </c>
      <c r="I22" s="9">
        <v>68.040000000000006</v>
      </c>
      <c r="J22" s="20">
        <v>90</v>
      </c>
      <c r="L22" s="1">
        <f t="shared" si="0"/>
        <v>26.4</v>
      </c>
      <c r="M22" s="1">
        <f t="shared" si="1"/>
        <v>24</v>
      </c>
    </row>
    <row r="23" spans="3:13" x14ac:dyDescent="0.25">
      <c r="C23" s="11" t="s">
        <v>17</v>
      </c>
      <c r="D23" s="13">
        <v>90</v>
      </c>
      <c r="E23" s="18">
        <v>6.57</v>
      </c>
      <c r="F23" s="9">
        <v>72.97</v>
      </c>
      <c r="G23" s="20">
        <v>91</v>
      </c>
      <c r="H23" s="18">
        <v>0.73</v>
      </c>
      <c r="I23" s="9">
        <v>7.3</v>
      </c>
      <c r="J23" s="20">
        <v>90</v>
      </c>
      <c r="L23" s="1">
        <f t="shared" si="0"/>
        <v>291.88</v>
      </c>
      <c r="M23" s="1">
        <f t="shared" si="1"/>
        <v>26.28</v>
      </c>
    </row>
    <row r="24" spans="3:13" x14ac:dyDescent="0.25">
      <c r="C24" s="11" t="s">
        <v>18</v>
      </c>
      <c r="D24" s="13">
        <v>35</v>
      </c>
      <c r="E24" s="18">
        <v>7.79</v>
      </c>
      <c r="F24" s="9">
        <v>77.88</v>
      </c>
      <c r="G24" s="20">
        <v>90</v>
      </c>
      <c r="H24" s="18">
        <v>14.46</v>
      </c>
      <c r="I24" s="9">
        <v>144.46</v>
      </c>
      <c r="J24" s="20">
        <v>90</v>
      </c>
      <c r="L24" s="1">
        <f t="shared" si="0"/>
        <v>311.52</v>
      </c>
      <c r="M24" s="1">
        <f t="shared" si="1"/>
        <v>31.16</v>
      </c>
    </row>
    <row r="25" spans="3:13" x14ac:dyDescent="0.25">
      <c r="C25" s="11" t="s">
        <v>19</v>
      </c>
      <c r="D25" s="13">
        <v>40</v>
      </c>
      <c r="E25" s="18">
        <v>15</v>
      </c>
      <c r="F25" s="9">
        <v>51.72</v>
      </c>
      <c r="G25" s="20">
        <v>71</v>
      </c>
      <c r="H25" s="18">
        <v>22.5</v>
      </c>
      <c r="I25" s="9">
        <v>225</v>
      </c>
      <c r="J25" s="20">
        <v>90</v>
      </c>
      <c r="L25" s="1">
        <f t="shared" si="0"/>
        <v>206.88</v>
      </c>
      <c r="M25" s="1">
        <f t="shared" si="1"/>
        <v>60</v>
      </c>
    </row>
    <row r="26" spans="3:13" x14ac:dyDescent="0.25">
      <c r="C26" s="11" t="s">
        <v>20</v>
      </c>
      <c r="D26" s="13">
        <v>45</v>
      </c>
      <c r="E26" s="18">
        <v>10.43</v>
      </c>
      <c r="F26" s="9">
        <v>173.76</v>
      </c>
      <c r="G26" s="20">
        <v>94</v>
      </c>
      <c r="H26" s="18">
        <v>12.74</v>
      </c>
      <c r="I26" s="9">
        <v>127.43</v>
      </c>
      <c r="J26" s="20">
        <v>90</v>
      </c>
      <c r="L26" s="1">
        <f t="shared" si="0"/>
        <v>695.04</v>
      </c>
      <c r="M26" s="1">
        <f t="shared" si="1"/>
        <v>41.72</v>
      </c>
    </row>
    <row r="27" spans="3:13" x14ac:dyDescent="0.25">
      <c r="C27" s="11" t="s">
        <v>21</v>
      </c>
      <c r="D27" s="13">
        <v>40</v>
      </c>
      <c r="E27" s="18">
        <v>20</v>
      </c>
      <c r="F27" s="9">
        <v>22.73</v>
      </c>
      <c r="G27" s="20">
        <v>12</v>
      </c>
      <c r="H27" s="18">
        <v>30</v>
      </c>
      <c r="I27" s="9">
        <v>300</v>
      </c>
      <c r="J27" s="20">
        <v>90</v>
      </c>
      <c r="L27" s="1">
        <f t="shared" si="0"/>
        <v>90.92</v>
      </c>
      <c r="M27" s="1">
        <f t="shared" si="1"/>
        <v>80</v>
      </c>
    </row>
    <row r="28" spans="3:13" ht="15.75" thickBot="1" x14ac:dyDescent="0.3">
      <c r="C28" s="12" t="s">
        <v>22</v>
      </c>
      <c r="D28" s="14">
        <v>70</v>
      </c>
      <c r="E28" s="22">
        <v>21.06</v>
      </c>
      <c r="F28" s="23">
        <v>105.3</v>
      </c>
      <c r="G28" s="24">
        <v>80</v>
      </c>
      <c r="H28" s="22">
        <v>9.0299999999999994</v>
      </c>
      <c r="I28" s="23">
        <v>90.25</v>
      </c>
      <c r="J28" s="24">
        <v>90</v>
      </c>
      <c r="L28" s="1">
        <f t="shared" si="0"/>
        <v>421.2</v>
      </c>
      <c r="M28" s="1">
        <f t="shared" si="1"/>
        <v>84.24</v>
      </c>
    </row>
    <row r="30" spans="3:13" x14ac:dyDescent="0.25">
      <c r="C30" s="98" t="s">
        <v>247</v>
      </c>
      <c r="D30" s="1">
        <f>AVERAGE(D7:D28)</f>
        <v>57.272727272727273</v>
      </c>
      <c r="E30" s="1">
        <f t="shared" ref="E30:J30" si="2">AVERAGE(E7:E28)</f>
        <v>9.7059090909090902</v>
      </c>
      <c r="F30" s="1">
        <f t="shared" si="2"/>
        <v>73.114090909090905</v>
      </c>
      <c r="G30" s="1">
        <f t="shared" si="2"/>
        <v>67.345454545454544</v>
      </c>
      <c r="H30" s="1">
        <f t="shared" si="2"/>
        <v>10.023636363636363</v>
      </c>
      <c r="I30" s="1">
        <f t="shared" si="2"/>
        <v>100.22772727272728</v>
      </c>
      <c r="J30" s="1">
        <f t="shared" si="2"/>
        <v>90</v>
      </c>
      <c r="L30" s="1">
        <f>SUM(L7:L28)-L11-L25</f>
        <v>6182.72</v>
      </c>
      <c r="M30" s="1">
        <f>SUM(M7:M28)-M11-M25</f>
        <v>754.11999999999989</v>
      </c>
    </row>
    <row r="32" spans="3:13" x14ac:dyDescent="0.25">
      <c r="F32" s="1">
        <f>0.8*F30</f>
        <v>58.49127272727273</v>
      </c>
    </row>
  </sheetData>
  <mergeCells count="3">
    <mergeCell ref="E5:G5"/>
    <mergeCell ref="H5:J5"/>
    <mergeCell ref="C2:J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G56"/>
  <sheetViews>
    <sheetView topLeftCell="A4" workbookViewId="0">
      <selection activeCell="D23" sqref="D23"/>
    </sheetView>
  </sheetViews>
  <sheetFormatPr baseColWidth="10" defaultRowHeight="15" x14ac:dyDescent="0.25"/>
  <cols>
    <col min="3" max="3" width="39.5703125" bestFit="1" customWidth="1"/>
    <col min="4" max="4" width="48.85546875" bestFit="1" customWidth="1"/>
    <col min="5" max="5" width="16.28515625" bestFit="1" customWidth="1"/>
    <col min="6" max="6" width="21.5703125" bestFit="1" customWidth="1"/>
    <col min="7" max="7" width="14.140625" bestFit="1" customWidth="1"/>
    <col min="8" max="8" width="16.28515625" bestFit="1" customWidth="1"/>
  </cols>
  <sheetData>
    <row r="1" spans="3:7" ht="15.75" thickBot="1" x14ac:dyDescent="0.3"/>
    <row r="2" spans="3:7" ht="15.75" thickBot="1" x14ac:dyDescent="0.3">
      <c r="C2" s="129" t="s">
        <v>32</v>
      </c>
      <c r="D2" s="130"/>
      <c r="E2" s="130"/>
      <c r="F2" s="130"/>
      <c r="G2" s="131"/>
    </row>
    <row r="3" spans="3:7" ht="15.75" thickBot="1" x14ac:dyDescent="0.3"/>
    <row r="4" spans="3:7" ht="15.75" thickBot="1" x14ac:dyDescent="0.3">
      <c r="C4" s="34" t="s">
        <v>33</v>
      </c>
      <c r="D4" s="25" t="s">
        <v>34</v>
      </c>
    </row>
    <row r="5" spans="3:7" x14ac:dyDescent="0.25">
      <c r="C5" s="26" t="s">
        <v>35</v>
      </c>
      <c r="D5" s="29">
        <v>12996</v>
      </c>
    </row>
    <row r="6" spans="3:7" x14ac:dyDescent="0.25">
      <c r="C6" s="27" t="s">
        <v>36</v>
      </c>
      <c r="D6" s="30">
        <v>0.8</v>
      </c>
    </row>
    <row r="7" spans="3:7" x14ac:dyDescent="0.25">
      <c r="C7" s="27" t="s">
        <v>37</v>
      </c>
      <c r="D7" s="30">
        <v>1.3</v>
      </c>
    </row>
    <row r="8" spans="3:7" x14ac:dyDescent="0.25">
      <c r="C8" s="27" t="s">
        <v>38</v>
      </c>
      <c r="D8" s="30">
        <v>4.8</v>
      </c>
    </row>
    <row r="9" spans="3:7" x14ac:dyDescent="0.25">
      <c r="C9" s="27" t="s">
        <v>116</v>
      </c>
      <c r="D9" s="30">
        <v>0.8</v>
      </c>
    </row>
    <row r="10" spans="3:7" x14ac:dyDescent="0.25">
      <c r="C10" s="27" t="s">
        <v>115</v>
      </c>
      <c r="D10" s="30">
        <v>3.5</v>
      </c>
    </row>
    <row r="11" spans="3:7" x14ac:dyDescent="0.25">
      <c r="C11" s="27" t="s">
        <v>111</v>
      </c>
      <c r="D11" s="30">
        <v>18</v>
      </c>
    </row>
    <row r="12" spans="3:7" x14ac:dyDescent="0.25">
      <c r="C12" s="27" t="s">
        <v>112</v>
      </c>
      <c r="D12" s="30">
        <v>0.8</v>
      </c>
    </row>
    <row r="13" spans="3:7" x14ac:dyDescent="0.25">
      <c r="C13" s="27" t="s">
        <v>113</v>
      </c>
      <c r="D13" s="30">
        <v>0.35</v>
      </c>
    </row>
    <row r="14" spans="3:7" ht="15.75" thickBot="1" x14ac:dyDescent="0.3">
      <c r="C14" s="28" t="s">
        <v>114</v>
      </c>
      <c r="D14" s="31">
        <v>2.7</v>
      </c>
    </row>
    <row r="16" spans="3:7" ht="15.75" thickBot="1" x14ac:dyDescent="0.3"/>
    <row r="17" spans="3:6" ht="15.75" thickBot="1" x14ac:dyDescent="0.3">
      <c r="C17" s="34" t="s">
        <v>39</v>
      </c>
      <c r="D17" s="25" t="s">
        <v>40</v>
      </c>
      <c r="E17" s="25" t="s">
        <v>41</v>
      </c>
    </row>
    <row r="18" spans="3:6" x14ac:dyDescent="0.25">
      <c r="C18" s="26" t="s">
        <v>153</v>
      </c>
      <c r="D18" s="26">
        <v>700</v>
      </c>
      <c r="E18" s="26">
        <v>450</v>
      </c>
    </row>
    <row r="19" spans="3:6" x14ac:dyDescent="0.25">
      <c r="C19" s="27" t="s">
        <v>149</v>
      </c>
      <c r="D19" s="27">
        <v>1100</v>
      </c>
      <c r="E19" s="27">
        <v>620</v>
      </c>
    </row>
    <row r="20" spans="3:6" x14ac:dyDescent="0.25">
      <c r="C20" s="27" t="s">
        <v>150</v>
      </c>
      <c r="D20" s="27">
        <v>800</v>
      </c>
      <c r="E20" s="27">
        <v>500</v>
      </c>
    </row>
    <row r="21" spans="3:6" x14ac:dyDescent="0.25">
      <c r="C21" s="32" t="s">
        <v>151</v>
      </c>
      <c r="D21" s="27">
        <v>1100</v>
      </c>
      <c r="E21" s="27">
        <v>550</v>
      </c>
    </row>
    <row r="22" spans="3:6" x14ac:dyDescent="0.25">
      <c r="C22" s="32" t="s">
        <v>152</v>
      </c>
      <c r="D22" s="27">
        <v>200</v>
      </c>
      <c r="E22" s="27">
        <v>180</v>
      </c>
    </row>
    <row r="23" spans="3:6" x14ac:dyDescent="0.25">
      <c r="C23" s="32" t="s">
        <v>148</v>
      </c>
      <c r="D23" s="27">
        <v>1100</v>
      </c>
      <c r="E23" s="42" t="s">
        <v>43</v>
      </c>
    </row>
    <row r="24" spans="3:6" ht="15.75" customHeight="1" x14ac:dyDescent="0.25">
      <c r="C24" s="32" t="s">
        <v>147</v>
      </c>
      <c r="D24" s="27">
        <v>300</v>
      </c>
      <c r="E24" s="27">
        <v>200</v>
      </c>
    </row>
    <row r="25" spans="3:6" x14ac:dyDescent="0.25">
      <c r="C25" s="27" t="s">
        <v>146</v>
      </c>
      <c r="D25" s="27">
        <v>500</v>
      </c>
      <c r="E25" s="27">
        <v>300</v>
      </c>
    </row>
    <row r="26" spans="3:6" x14ac:dyDescent="0.25">
      <c r="C26" s="27" t="s">
        <v>42</v>
      </c>
      <c r="D26" s="27">
        <v>250</v>
      </c>
      <c r="E26" s="27">
        <v>160</v>
      </c>
    </row>
    <row r="27" spans="3:6" x14ac:dyDescent="0.25">
      <c r="C27" s="27" t="s">
        <v>145</v>
      </c>
      <c r="D27" s="27">
        <v>800</v>
      </c>
      <c r="E27" s="27">
        <v>800</v>
      </c>
    </row>
    <row r="28" spans="3:6" ht="15.75" thickBot="1" x14ac:dyDescent="0.3">
      <c r="C28" s="28" t="s">
        <v>144</v>
      </c>
      <c r="D28" s="28">
        <v>800</v>
      </c>
      <c r="E28" s="28">
        <v>800</v>
      </c>
    </row>
    <row r="30" spans="3:6" ht="15.75" thickBot="1" x14ac:dyDescent="0.3"/>
    <row r="31" spans="3:6" ht="15.75" thickBot="1" x14ac:dyDescent="0.3">
      <c r="C31" s="34" t="s">
        <v>44</v>
      </c>
      <c r="D31" s="25" t="s">
        <v>45</v>
      </c>
      <c r="E31" s="25" t="s">
        <v>46</v>
      </c>
      <c r="F31" s="25" t="s">
        <v>65</v>
      </c>
    </row>
    <row r="32" spans="3:6" x14ac:dyDescent="0.25">
      <c r="C32" s="26" t="s">
        <v>107</v>
      </c>
      <c r="D32" s="35" t="s">
        <v>47</v>
      </c>
      <c r="E32" s="39" t="s">
        <v>56</v>
      </c>
      <c r="F32" s="26">
        <v>12</v>
      </c>
    </row>
    <row r="33" spans="3:6" x14ac:dyDescent="0.25">
      <c r="C33" s="27" t="s">
        <v>110</v>
      </c>
      <c r="D33" s="36" t="s">
        <v>48</v>
      </c>
      <c r="E33" s="40" t="s">
        <v>57</v>
      </c>
      <c r="F33" s="27"/>
    </row>
    <row r="34" spans="3:6" x14ac:dyDescent="0.25">
      <c r="C34" s="27" t="s">
        <v>108</v>
      </c>
      <c r="D34" s="36" t="s">
        <v>49</v>
      </c>
      <c r="E34" s="40" t="s">
        <v>59</v>
      </c>
      <c r="F34" s="27">
        <v>5</v>
      </c>
    </row>
    <row r="35" spans="3:6" x14ac:dyDescent="0.25">
      <c r="C35" s="27" t="s">
        <v>109</v>
      </c>
      <c r="D35" s="36" t="s">
        <v>50</v>
      </c>
      <c r="E35" s="40" t="s">
        <v>58</v>
      </c>
      <c r="F35" s="27">
        <v>5</v>
      </c>
    </row>
    <row r="36" spans="3:6" x14ac:dyDescent="0.25">
      <c r="C36" s="27" t="s">
        <v>121</v>
      </c>
      <c r="D36" s="36" t="s">
        <v>51</v>
      </c>
      <c r="E36" s="40" t="s">
        <v>60</v>
      </c>
      <c r="F36" s="27"/>
    </row>
    <row r="37" spans="3:6" x14ac:dyDescent="0.25">
      <c r="C37" s="27" t="s">
        <v>122</v>
      </c>
      <c r="D37" s="36" t="s">
        <v>52</v>
      </c>
      <c r="E37" s="40" t="s">
        <v>61</v>
      </c>
      <c r="F37" s="27"/>
    </row>
    <row r="38" spans="3:6" x14ac:dyDescent="0.25">
      <c r="C38" s="27" t="s">
        <v>118</v>
      </c>
      <c r="D38" s="36" t="s">
        <v>53</v>
      </c>
      <c r="E38" s="40" t="s">
        <v>62</v>
      </c>
      <c r="F38" s="27"/>
    </row>
    <row r="39" spans="3:6" x14ac:dyDescent="0.25">
      <c r="C39" s="27" t="s">
        <v>119</v>
      </c>
      <c r="D39" s="36" t="s">
        <v>54</v>
      </c>
      <c r="E39" s="40" t="s">
        <v>63</v>
      </c>
      <c r="F39" s="27"/>
    </row>
    <row r="40" spans="3:6" ht="15.75" thickBot="1" x14ac:dyDescent="0.3">
      <c r="C40" s="28" t="s">
        <v>117</v>
      </c>
      <c r="D40" s="37" t="s">
        <v>55</v>
      </c>
      <c r="E40" s="41" t="s">
        <v>64</v>
      </c>
      <c r="F40" s="28">
        <v>1</v>
      </c>
    </row>
    <row r="42" spans="3:6" ht="15.75" thickBot="1" x14ac:dyDescent="0.3"/>
    <row r="43" spans="3:6" ht="15.75" thickBot="1" x14ac:dyDescent="0.3">
      <c r="C43" s="34" t="s">
        <v>66</v>
      </c>
      <c r="D43" s="38" t="s">
        <v>67</v>
      </c>
      <c r="E43" s="38" t="s">
        <v>46</v>
      </c>
      <c r="F43" s="25" t="s">
        <v>65</v>
      </c>
    </row>
    <row r="44" spans="3:6" x14ac:dyDescent="0.25">
      <c r="C44" s="26" t="s">
        <v>68</v>
      </c>
      <c r="D44" s="26" t="s">
        <v>94</v>
      </c>
      <c r="E44" s="39" t="s">
        <v>81</v>
      </c>
      <c r="F44" s="26">
        <v>1.2</v>
      </c>
    </row>
    <row r="45" spans="3:6" x14ac:dyDescent="0.25">
      <c r="C45" s="27" t="s">
        <v>69</v>
      </c>
      <c r="D45" s="27" t="s">
        <v>95</v>
      </c>
      <c r="E45" s="40" t="s">
        <v>82</v>
      </c>
      <c r="F45" s="27">
        <v>0.01</v>
      </c>
    </row>
    <row r="46" spans="3:6" x14ac:dyDescent="0.25">
      <c r="C46" s="27" t="s">
        <v>70</v>
      </c>
      <c r="D46" s="27" t="s">
        <v>96</v>
      </c>
      <c r="E46" s="40" t="s">
        <v>83</v>
      </c>
      <c r="F46" s="27">
        <v>15</v>
      </c>
    </row>
    <row r="47" spans="3:6" x14ac:dyDescent="0.25">
      <c r="C47" s="27" t="s">
        <v>71</v>
      </c>
      <c r="D47" s="27" t="s">
        <v>97</v>
      </c>
      <c r="E47" s="40" t="s">
        <v>84</v>
      </c>
      <c r="F47" s="27">
        <v>0.15</v>
      </c>
    </row>
    <row r="48" spans="3:6" x14ac:dyDescent="0.25">
      <c r="C48" s="27" t="s">
        <v>72</v>
      </c>
      <c r="D48" s="27" t="s">
        <v>98</v>
      </c>
      <c r="E48" s="40" t="s">
        <v>85</v>
      </c>
      <c r="F48" s="27">
        <v>1.5</v>
      </c>
    </row>
    <row r="49" spans="3:6" x14ac:dyDescent="0.25">
      <c r="C49" s="27" t="s">
        <v>73</v>
      </c>
      <c r="D49" s="27" t="s">
        <v>99</v>
      </c>
      <c r="E49" s="40" t="s">
        <v>86</v>
      </c>
      <c r="F49" s="27">
        <v>2</v>
      </c>
    </row>
    <row r="50" spans="3:6" x14ac:dyDescent="0.25">
      <c r="C50" s="27" t="s">
        <v>74</v>
      </c>
      <c r="D50" s="27" t="s">
        <v>100</v>
      </c>
      <c r="E50" s="40" t="s">
        <v>87</v>
      </c>
      <c r="F50" s="27">
        <v>2</v>
      </c>
    </row>
    <row r="51" spans="3:6" x14ac:dyDescent="0.25">
      <c r="C51" s="27" t="s">
        <v>75</v>
      </c>
      <c r="D51" s="27" t="s">
        <v>101</v>
      </c>
      <c r="E51" s="40" t="s">
        <v>88</v>
      </c>
      <c r="F51" s="27"/>
    </row>
    <row r="52" spans="3:6" x14ac:dyDescent="0.25">
      <c r="C52" s="27" t="s">
        <v>76</v>
      </c>
      <c r="D52" s="27" t="s">
        <v>102</v>
      </c>
      <c r="E52" s="40" t="s">
        <v>89</v>
      </c>
      <c r="F52" s="27">
        <v>20</v>
      </c>
    </row>
    <row r="53" spans="3:6" x14ac:dyDescent="0.25">
      <c r="C53" s="27" t="s">
        <v>77</v>
      </c>
      <c r="D53" s="27" t="s">
        <v>103</v>
      </c>
      <c r="E53" s="40" t="s">
        <v>90</v>
      </c>
      <c r="F53" s="27"/>
    </row>
    <row r="54" spans="3:6" x14ac:dyDescent="0.25">
      <c r="C54" s="27" t="s">
        <v>78</v>
      </c>
      <c r="D54" s="27" t="s">
        <v>104</v>
      </c>
      <c r="E54" s="40" t="s">
        <v>91</v>
      </c>
      <c r="F54" s="27"/>
    </row>
    <row r="55" spans="3:6" x14ac:dyDescent="0.25">
      <c r="C55" s="27" t="s">
        <v>79</v>
      </c>
      <c r="D55" s="27" t="s">
        <v>104</v>
      </c>
      <c r="E55" s="40" t="s">
        <v>92</v>
      </c>
      <c r="F55" s="27">
        <v>0.3</v>
      </c>
    </row>
    <row r="56" spans="3:6" ht="15.75" thickBot="1" x14ac:dyDescent="0.3">
      <c r="C56" s="28" t="s">
        <v>80</v>
      </c>
      <c r="D56" s="28" t="s">
        <v>105</v>
      </c>
      <c r="E56" s="41" t="s">
        <v>93</v>
      </c>
      <c r="F56" s="28"/>
    </row>
  </sheetData>
  <mergeCells count="1">
    <mergeCell ref="C2:G2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topLeftCell="A19" workbookViewId="0">
      <selection activeCell="F21" sqref="F21"/>
    </sheetView>
  </sheetViews>
  <sheetFormatPr baseColWidth="10" defaultRowHeight="15" x14ac:dyDescent="0.25"/>
  <cols>
    <col min="2" max="2" width="49.28515625" bestFit="1" customWidth="1"/>
    <col min="3" max="3" width="13.5703125" bestFit="1" customWidth="1"/>
    <col min="4" max="4" width="23.140625" bestFit="1" customWidth="1"/>
    <col min="5" max="5" width="39.42578125" bestFit="1" customWidth="1"/>
    <col min="6" max="6" width="24.42578125" bestFit="1" customWidth="1"/>
  </cols>
  <sheetData>
    <row r="1" spans="2:7" ht="15.75" thickBot="1" x14ac:dyDescent="0.3"/>
    <row r="2" spans="2:7" ht="15.75" thickBot="1" x14ac:dyDescent="0.3">
      <c r="B2" s="129" t="s">
        <v>195</v>
      </c>
      <c r="C2" s="130"/>
      <c r="D2" s="130"/>
      <c r="E2" s="130"/>
      <c r="F2" s="131"/>
    </row>
    <row r="3" spans="2:7" ht="15.75" thickBot="1" x14ac:dyDescent="0.3">
      <c r="B3" s="129" t="s">
        <v>194</v>
      </c>
      <c r="C3" s="130"/>
      <c r="D3" s="130"/>
      <c r="E3" s="130"/>
      <c r="F3" s="131"/>
    </row>
    <row r="5" spans="2:7" ht="15.75" thickBot="1" x14ac:dyDescent="0.3"/>
    <row r="6" spans="2:7" ht="30" customHeight="1" thickBot="1" x14ac:dyDescent="0.3">
      <c r="B6" s="45" t="s">
        <v>154</v>
      </c>
      <c r="C6" s="46">
        <v>0.83</v>
      </c>
      <c r="D6" s="46" t="s">
        <v>159</v>
      </c>
      <c r="E6" s="48" t="s">
        <v>160</v>
      </c>
      <c r="F6" s="49" t="s">
        <v>161</v>
      </c>
    </row>
    <row r="7" spans="2:7" ht="15.75" thickBot="1" x14ac:dyDescent="0.3"/>
    <row r="8" spans="2:7" ht="15.75" thickBot="1" x14ac:dyDescent="0.3">
      <c r="B8" s="45" t="s">
        <v>155</v>
      </c>
      <c r="C8" s="46">
        <v>82</v>
      </c>
      <c r="D8" s="47" t="s">
        <v>156</v>
      </c>
    </row>
    <row r="9" spans="2:7" ht="15.75" thickBot="1" x14ac:dyDescent="0.3"/>
    <row r="10" spans="2:7" ht="15.75" thickBot="1" x14ac:dyDescent="0.3">
      <c r="B10" s="45" t="s">
        <v>157</v>
      </c>
      <c r="C10" s="46">
        <f>C6*C8</f>
        <v>68.06</v>
      </c>
      <c r="D10" s="47" t="s">
        <v>158</v>
      </c>
      <c r="E10" s="45" t="s">
        <v>162</v>
      </c>
      <c r="F10" s="46">
        <f>2*C10</f>
        <v>136.12</v>
      </c>
      <c r="G10" s="47" t="s">
        <v>158</v>
      </c>
    </row>
    <row r="12" spans="2:7" ht="15.75" thickBot="1" x14ac:dyDescent="0.3">
      <c r="B12" t="s">
        <v>163</v>
      </c>
    </row>
    <row r="13" spans="2:7" ht="15.75" thickBot="1" x14ac:dyDescent="0.3">
      <c r="B13" s="123" t="s">
        <v>164</v>
      </c>
      <c r="C13" s="124"/>
      <c r="D13" s="125"/>
    </row>
    <row r="14" spans="2:7" ht="15.75" thickBot="1" x14ac:dyDescent="0.3">
      <c r="B14" s="51" t="s">
        <v>165</v>
      </c>
      <c r="C14" s="50" t="s">
        <v>166</v>
      </c>
      <c r="D14" s="50" t="s">
        <v>167</v>
      </c>
    </row>
    <row r="15" spans="2:7" x14ac:dyDescent="0.25">
      <c r="B15" s="26" t="s">
        <v>153</v>
      </c>
      <c r="C15" s="26">
        <v>10</v>
      </c>
      <c r="D15" s="26">
        <v>15</v>
      </c>
    </row>
    <row r="16" spans="2:7" x14ac:dyDescent="0.25">
      <c r="B16" s="27" t="s">
        <v>149</v>
      </c>
      <c r="C16" s="27">
        <v>20</v>
      </c>
      <c r="D16" s="27">
        <v>30</v>
      </c>
    </row>
    <row r="17" spans="2:4" x14ac:dyDescent="0.25">
      <c r="B17" s="27" t="s">
        <v>150</v>
      </c>
      <c r="C17" s="27">
        <v>39</v>
      </c>
      <c r="D17" s="27">
        <v>59</v>
      </c>
    </row>
    <row r="18" spans="2:4" x14ac:dyDescent="0.25">
      <c r="B18" s="27" t="s">
        <v>144</v>
      </c>
      <c r="C18" s="27">
        <v>30</v>
      </c>
      <c r="D18" s="27">
        <v>45</v>
      </c>
    </row>
    <row r="19" spans="2:4" x14ac:dyDescent="0.25">
      <c r="B19" s="27" t="s">
        <v>168</v>
      </c>
      <c r="C19" s="27">
        <v>10</v>
      </c>
      <c r="D19" s="27">
        <v>16</v>
      </c>
    </row>
    <row r="20" spans="2:4" x14ac:dyDescent="0.25">
      <c r="B20" s="27" t="s">
        <v>169</v>
      </c>
      <c r="C20" s="27">
        <v>4</v>
      </c>
      <c r="D20" s="27">
        <v>6</v>
      </c>
    </row>
    <row r="21" spans="2:4" x14ac:dyDescent="0.25">
      <c r="B21" s="27" t="s">
        <v>171</v>
      </c>
      <c r="C21" s="27">
        <v>15</v>
      </c>
      <c r="D21" s="27">
        <v>22</v>
      </c>
    </row>
    <row r="22" spans="2:4" x14ac:dyDescent="0.25">
      <c r="B22" s="27" t="s">
        <v>170</v>
      </c>
      <c r="C22" s="27">
        <v>25</v>
      </c>
      <c r="D22" s="27">
        <v>30</v>
      </c>
    </row>
    <row r="23" spans="2:4" x14ac:dyDescent="0.25">
      <c r="B23" s="27" t="s">
        <v>146</v>
      </c>
      <c r="C23" s="27">
        <v>15</v>
      </c>
      <c r="D23" s="27">
        <v>23</v>
      </c>
    </row>
    <row r="24" spans="2:4" x14ac:dyDescent="0.25">
      <c r="B24" s="27" t="s">
        <v>42</v>
      </c>
      <c r="C24" s="27">
        <v>4</v>
      </c>
      <c r="D24" s="27">
        <v>6</v>
      </c>
    </row>
    <row r="25" spans="2:4" ht="15.75" thickBot="1" x14ac:dyDescent="0.3">
      <c r="B25" s="28" t="s">
        <v>172</v>
      </c>
      <c r="C25" s="28">
        <v>26</v>
      </c>
      <c r="D25" s="28">
        <v>39</v>
      </c>
    </row>
    <row r="27" spans="2:4" ht="15.75" thickBot="1" x14ac:dyDescent="0.3"/>
    <row r="28" spans="2:4" ht="15.75" thickBot="1" x14ac:dyDescent="0.3">
      <c r="B28" s="51" t="s">
        <v>133</v>
      </c>
      <c r="C28" s="50" t="s">
        <v>124</v>
      </c>
      <c r="D28" s="50" t="s">
        <v>173</v>
      </c>
    </row>
    <row r="29" spans="2:4" x14ac:dyDescent="0.25">
      <c r="B29" s="26" t="s">
        <v>134</v>
      </c>
      <c r="C29" s="53" t="s">
        <v>174</v>
      </c>
      <c r="D29" s="26">
        <v>1000</v>
      </c>
    </row>
    <row r="30" spans="2:4" x14ac:dyDescent="0.25">
      <c r="B30" s="27" t="s">
        <v>139</v>
      </c>
      <c r="C30" s="54" t="s">
        <v>175</v>
      </c>
      <c r="D30" s="27">
        <v>34</v>
      </c>
    </row>
    <row r="31" spans="2:4" x14ac:dyDescent="0.25">
      <c r="B31" s="27" t="s">
        <v>135</v>
      </c>
      <c r="C31" s="54" t="s">
        <v>174</v>
      </c>
      <c r="D31" s="27">
        <v>260</v>
      </c>
    </row>
    <row r="32" spans="2:4" x14ac:dyDescent="0.25">
      <c r="B32" s="27" t="s">
        <v>196</v>
      </c>
      <c r="C32" s="54" t="s">
        <v>174</v>
      </c>
      <c r="D32" s="33" t="s">
        <v>176</v>
      </c>
    </row>
    <row r="33" spans="2:6" x14ac:dyDescent="0.25">
      <c r="B33" s="27" t="s">
        <v>177</v>
      </c>
      <c r="C33" s="54" t="s">
        <v>174</v>
      </c>
      <c r="D33" s="33" t="s">
        <v>178</v>
      </c>
    </row>
    <row r="34" spans="2:6" ht="15.75" thickBot="1" x14ac:dyDescent="0.3">
      <c r="B34" s="28" t="s">
        <v>120</v>
      </c>
      <c r="C34" s="55" t="s">
        <v>175</v>
      </c>
      <c r="D34" s="28">
        <v>150</v>
      </c>
    </row>
    <row r="35" spans="2:6" ht="15.75" thickBot="1" x14ac:dyDescent="0.3">
      <c r="B35" s="52" t="s">
        <v>140</v>
      </c>
      <c r="C35" s="43" t="s">
        <v>124</v>
      </c>
      <c r="D35" s="43" t="s">
        <v>173</v>
      </c>
    </row>
    <row r="36" spans="2:6" x14ac:dyDescent="0.25">
      <c r="B36" s="26" t="s">
        <v>141</v>
      </c>
      <c r="C36" s="53" t="s">
        <v>174</v>
      </c>
      <c r="D36" s="26">
        <v>45</v>
      </c>
    </row>
    <row r="37" spans="2:6" x14ac:dyDescent="0.25">
      <c r="B37" s="27" t="s">
        <v>180</v>
      </c>
      <c r="C37" s="54" t="s">
        <v>174</v>
      </c>
      <c r="D37" s="27">
        <v>1.2</v>
      </c>
    </row>
    <row r="38" spans="2:6" x14ac:dyDescent="0.25">
      <c r="B38" s="27" t="s">
        <v>179</v>
      </c>
      <c r="C38" s="54" t="s">
        <v>174</v>
      </c>
      <c r="D38" s="27">
        <v>1.3</v>
      </c>
    </row>
    <row r="39" spans="2:6" x14ac:dyDescent="0.25">
      <c r="B39" s="27" t="s">
        <v>76</v>
      </c>
      <c r="C39" s="54" t="s">
        <v>182</v>
      </c>
      <c r="D39" s="27">
        <v>16</v>
      </c>
    </row>
    <row r="40" spans="2:6" x14ac:dyDescent="0.25">
      <c r="B40" s="27" t="s">
        <v>183</v>
      </c>
      <c r="C40" s="54" t="s">
        <v>174</v>
      </c>
      <c r="D40" s="27">
        <v>1.3</v>
      </c>
    </row>
    <row r="41" spans="2:6" x14ac:dyDescent="0.25">
      <c r="B41" s="27" t="s">
        <v>181</v>
      </c>
      <c r="C41" s="54" t="s">
        <v>174</v>
      </c>
      <c r="D41" s="27">
        <v>5</v>
      </c>
    </row>
    <row r="42" spans="2:6" x14ac:dyDescent="0.25">
      <c r="B42" s="27" t="s">
        <v>184</v>
      </c>
      <c r="C42" s="54" t="s">
        <v>175</v>
      </c>
      <c r="D42" s="27">
        <v>30</v>
      </c>
    </row>
    <row r="43" spans="2:6" x14ac:dyDescent="0.25">
      <c r="B43" s="27" t="s">
        <v>185</v>
      </c>
      <c r="C43" s="54" t="s">
        <v>175</v>
      </c>
      <c r="D43" s="27">
        <v>2.4</v>
      </c>
    </row>
    <row r="44" spans="2:6" x14ac:dyDescent="0.25">
      <c r="B44" s="27" t="s">
        <v>186</v>
      </c>
      <c r="C44" s="54" t="s">
        <v>190</v>
      </c>
      <c r="D44" s="27">
        <v>400</v>
      </c>
    </row>
    <row r="45" spans="2:6" x14ac:dyDescent="0.25">
      <c r="B45" s="27" t="s">
        <v>187</v>
      </c>
      <c r="C45" s="54" t="s">
        <v>191</v>
      </c>
      <c r="D45" s="27">
        <v>600</v>
      </c>
      <c r="E45" t="s">
        <v>337</v>
      </c>
      <c r="F45" t="s">
        <v>338</v>
      </c>
    </row>
    <row r="46" spans="2:6" x14ac:dyDescent="0.25">
      <c r="B46" s="27" t="s">
        <v>193</v>
      </c>
      <c r="C46" s="54" t="s">
        <v>175</v>
      </c>
      <c r="D46" s="27">
        <v>5</v>
      </c>
    </row>
    <row r="47" spans="2:6" x14ac:dyDescent="0.25">
      <c r="B47" s="27" t="s">
        <v>188</v>
      </c>
      <c r="C47" s="54" t="s">
        <v>192</v>
      </c>
      <c r="D47" s="27">
        <v>10</v>
      </c>
    </row>
    <row r="48" spans="2:6" ht="15.75" thickBot="1" x14ac:dyDescent="0.3">
      <c r="B48" s="28" t="s">
        <v>189</v>
      </c>
      <c r="C48" s="55" t="s">
        <v>175</v>
      </c>
      <c r="D48" s="28">
        <v>65</v>
      </c>
    </row>
  </sheetData>
  <mergeCells count="3">
    <mergeCell ref="B13:D13"/>
    <mergeCell ref="B2:F2"/>
    <mergeCell ref="B3:F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AF105"/>
  <sheetViews>
    <sheetView tabSelected="1" topLeftCell="A28" workbookViewId="0">
      <selection activeCell="K3" sqref="K3"/>
    </sheetView>
  </sheetViews>
  <sheetFormatPr baseColWidth="10" defaultRowHeight="15" x14ac:dyDescent="0.25"/>
  <cols>
    <col min="3" max="3" width="34.7109375" bestFit="1" customWidth="1"/>
    <col min="4" max="4" width="12.140625" bestFit="1" customWidth="1"/>
    <col min="5" max="5" width="19" bestFit="1" customWidth="1"/>
    <col min="6" max="6" width="17.7109375" bestFit="1" customWidth="1"/>
    <col min="7" max="7" width="22.42578125" bestFit="1" customWidth="1"/>
    <col min="8" max="8" width="17.140625" bestFit="1" customWidth="1"/>
    <col min="9" max="9" width="45.85546875" bestFit="1" customWidth="1"/>
    <col min="10" max="10" width="35" bestFit="1" customWidth="1"/>
    <col min="11" max="11" width="28.28515625" bestFit="1" customWidth="1"/>
    <col min="12" max="12" width="17.7109375" bestFit="1" customWidth="1"/>
    <col min="13" max="13" width="21.85546875" bestFit="1" customWidth="1"/>
    <col min="14" max="14" width="27.28515625" bestFit="1" customWidth="1"/>
    <col min="15" max="15" width="31.7109375" bestFit="1" customWidth="1"/>
    <col min="16" max="16" width="19.28515625" bestFit="1" customWidth="1"/>
    <col min="17" max="17" width="16.42578125" bestFit="1" customWidth="1"/>
    <col min="18" max="18" width="19.42578125" bestFit="1" customWidth="1"/>
    <col min="19" max="19" width="27.7109375" bestFit="1" customWidth="1"/>
    <col min="20" max="20" width="26.140625" bestFit="1" customWidth="1"/>
    <col min="21" max="21" width="18.28515625" bestFit="1" customWidth="1"/>
    <col min="22" max="22" width="22.85546875" bestFit="1" customWidth="1"/>
    <col min="23" max="23" width="35.140625" bestFit="1" customWidth="1"/>
    <col min="24" max="24" width="47.5703125" bestFit="1" customWidth="1"/>
    <col min="25" max="25" width="23.28515625" bestFit="1" customWidth="1"/>
    <col min="26" max="26" width="39.140625" bestFit="1" customWidth="1"/>
    <col min="29" max="29" width="11.7109375" bestFit="1" customWidth="1"/>
    <col min="31" max="31" width="30.42578125" bestFit="1" customWidth="1"/>
    <col min="33" max="33" width="23.28515625" bestFit="1" customWidth="1"/>
  </cols>
  <sheetData>
    <row r="1" spans="3:31" ht="15.75" thickBot="1" x14ac:dyDescent="0.3"/>
    <row r="2" spans="3:31" ht="15.75" thickBot="1" x14ac:dyDescent="0.3">
      <c r="C2" s="43" t="s">
        <v>106</v>
      </c>
      <c r="F2">
        <v>4.1840000000000002</v>
      </c>
      <c r="G2" t="s">
        <v>267</v>
      </c>
      <c r="H2" s="123" t="s">
        <v>268</v>
      </c>
      <c r="I2" s="125"/>
    </row>
    <row r="3" spans="3:31" ht="15.75" thickBot="1" x14ac:dyDescent="0.3"/>
    <row r="4" spans="3:31" ht="15.75" thickBot="1" x14ac:dyDescent="0.3">
      <c r="I4" s="43" t="s">
        <v>255</v>
      </c>
      <c r="Q4" s="43" t="s">
        <v>254</v>
      </c>
    </row>
    <row r="5" spans="3:31" ht="15.75" thickBot="1" x14ac:dyDescent="0.3">
      <c r="C5" s="44"/>
      <c r="D5" s="84"/>
      <c r="E5" s="95" t="s">
        <v>1</v>
      </c>
      <c r="F5" s="43" t="s">
        <v>246</v>
      </c>
      <c r="G5" s="56" t="s">
        <v>3</v>
      </c>
      <c r="H5" s="95" t="s">
        <v>4</v>
      </c>
      <c r="I5" s="95" t="s">
        <v>5</v>
      </c>
      <c r="J5" s="95" t="s">
        <v>6</v>
      </c>
      <c r="K5" s="95" t="s">
        <v>7</v>
      </c>
      <c r="L5" s="95" t="s">
        <v>8</v>
      </c>
      <c r="M5" s="95" t="s">
        <v>9</v>
      </c>
      <c r="N5" s="95" t="s">
        <v>10</v>
      </c>
      <c r="O5" s="95" t="s">
        <v>11</v>
      </c>
      <c r="P5" s="95" t="s">
        <v>12</v>
      </c>
      <c r="Q5" s="95" t="s">
        <v>13</v>
      </c>
      <c r="R5" s="95" t="s">
        <v>14</v>
      </c>
      <c r="S5" s="95" t="s">
        <v>15</v>
      </c>
      <c r="T5" s="95" t="s">
        <v>16</v>
      </c>
      <c r="U5" s="95" t="s">
        <v>17</v>
      </c>
      <c r="V5" s="95" t="s">
        <v>18</v>
      </c>
      <c r="W5" s="95" t="s">
        <v>19</v>
      </c>
      <c r="X5" s="95" t="s">
        <v>20</v>
      </c>
      <c r="Y5" s="95" t="s">
        <v>21</v>
      </c>
      <c r="Z5" s="3" t="s">
        <v>22</v>
      </c>
    </row>
    <row r="6" spans="3:31" ht="15.75" thickBot="1" x14ac:dyDescent="0.3">
      <c r="C6" s="57" t="s">
        <v>123</v>
      </c>
      <c r="D6" s="43" t="s">
        <v>124</v>
      </c>
      <c r="E6" s="57" t="s">
        <v>125</v>
      </c>
      <c r="F6" s="57" t="s">
        <v>125</v>
      </c>
      <c r="G6" s="57" t="s">
        <v>125</v>
      </c>
      <c r="H6" s="58" t="s">
        <v>125</v>
      </c>
      <c r="I6" s="58" t="s">
        <v>125</v>
      </c>
      <c r="J6" s="57" t="s">
        <v>125</v>
      </c>
      <c r="K6" s="57" t="s">
        <v>125</v>
      </c>
      <c r="L6" s="58" t="s">
        <v>125</v>
      </c>
      <c r="M6" s="57" t="s">
        <v>125</v>
      </c>
      <c r="N6" s="57" t="s">
        <v>125</v>
      </c>
      <c r="O6" s="57" t="s">
        <v>125</v>
      </c>
      <c r="P6" s="57" t="s">
        <v>125</v>
      </c>
      <c r="Q6" s="57" t="s">
        <v>125</v>
      </c>
      <c r="R6" s="57" t="s">
        <v>125</v>
      </c>
      <c r="S6" s="58" t="s">
        <v>125</v>
      </c>
      <c r="T6" s="57" t="s">
        <v>125</v>
      </c>
      <c r="U6" s="57" t="s">
        <v>125</v>
      </c>
      <c r="V6" s="57" t="s">
        <v>125</v>
      </c>
      <c r="W6" s="57" t="s">
        <v>125</v>
      </c>
      <c r="X6" s="57" t="s">
        <v>125</v>
      </c>
      <c r="Y6" s="57" t="s">
        <v>125</v>
      </c>
      <c r="Z6" s="57" t="s">
        <v>125</v>
      </c>
      <c r="AA6" s="73" t="s">
        <v>247</v>
      </c>
      <c r="AB6" s="73" t="s">
        <v>248</v>
      </c>
      <c r="AC6" s="73" t="s">
        <v>249</v>
      </c>
      <c r="AD6" s="73" t="s">
        <v>250</v>
      </c>
      <c r="AE6" s="73" t="s">
        <v>251</v>
      </c>
    </row>
    <row r="7" spans="3:31" x14ac:dyDescent="0.25">
      <c r="C7" s="51" t="s">
        <v>126</v>
      </c>
      <c r="D7" s="59"/>
      <c r="E7" s="59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97"/>
      <c r="AB7" s="99"/>
      <c r="AC7" s="97"/>
      <c r="AD7" s="97"/>
      <c r="AE7" s="97"/>
    </row>
    <row r="8" spans="3:31" x14ac:dyDescent="0.25">
      <c r="C8" s="66" t="s">
        <v>127</v>
      </c>
      <c r="D8" s="60" t="s">
        <v>131</v>
      </c>
      <c r="E8" s="60">
        <v>92.18</v>
      </c>
      <c r="F8" s="60">
        <v>88.29</v>
      </c>
      <c r="G8" s="60">
        <v>92.66</v>
      </c>
      <c r="H8" s="60">
        <v>95.43</v>
      </c>
      <c r="I8" s="60">
        <v>11.75</v>
      </c>
      <c r="J8" s="60">
        <v>92.32</v>
      </c>
      <c r="K8" s="60">
        <v>94.98</v>
      </c>
      <c r="L8" s="60">
        <v>89.11</v>
      </c>
      <c r="M8" s="60">
        <v>78.86</v>
      </c>
      <c r="N8" s="60">
        <v>6.5</v>
      </c>
      <c r="O8" s="60">
        <v>93.89</v>
      </c>
      <c r="P8" s="60">
        <v>95.27</v>
      </c>
      <c r="Q8" s="60">
        <v>87.58</v>
      </c>
      <c r="R8" s="60">
        <v>7.76</v>
      </c>
      <c r="S8" s="60">
        <v>90.32</v>
      </c>
      <c r="T8" s="60">
        <v>67.5</v>
      </c>
      <c r="U8" s="60">
        <v>91.4</v>
      </c>
      <c r="V8" s="60">
        <v>90.95</v>
      </c>
      <c r="W8" s="60">
        <v>77.28</v>
      </c>
      <c r="X8" s="60">
        <v>94.52</v>
      </c>
      <c r="Y8" s="60">
        <v>10.42</v>
      </c>
      <c r="Z8" s="60">
        <v>81.58</v>
      </c>
      <c r="AA8" s="66">
        <f>AVERAGE(E8:Z8)</f>
        <v>74.115909090909099</v>
      </c>
      <c r="AB8" s="103">
        <f>MAX(E8:AA8)</f>
        <v>95.43</v>
      </c>
      <c r="AC8" s="66"/>
      <c r="AD8" s="66"/>
      <c r="AE8" s="66">
        <f>SUM('BVAD Values'!$L$7/100*E8,'BVAD Values'!$L$8/100*F8,'BVAD Values'!$L$9/100*G8,'BVAD Values'!$L$10/100*H8,'BVAD Values'!$L$12/100*J8,'BVAD Values'!$L$13/100*K8,'BVAD Values'!$L$14/100*L8,'BVAD Values'!$L$15/100*M8,'BVAD Values'!$L$16/100*N8,'BVAD Values'!$L$17/100*O8,'BVAD Values'!$L$18/100*P8,'BVAD Values'!$L$19/100*Q8,'BVAD Values'!$L$20/100*R8,'BVAD Values'!$L$21/100*S8,'BVAD Values'!$L$22/100*T8,'BVAD Values'!$L$23/100*U8,'BVAD Values'!$L$24/100*V8,'BVAD Values'!$L$26/100*X8,'BVAD Values'!$L$27/100*Y8,'BVAD Values'!$L$28/100*Z8)</f>
        <v>5535.2536039999986</v>
      </c>
    </row>
    <row r="9" spans="3:31" x14ac:dyDescent="0.25">
      <c r="C9" s="66" t="s">
        <v>128</v>
      </c>
      <c r="D9" s="60" t="s">
        <v>210</v>
      </c>
      <c r="E9" s="60">
        <v>25</v>
      </c>
      <c r="F9" s="60">
        <v>41</v>
      </c>
      <c r="G9" s="60">
        <v>19</v>
      </c>
      <c r="H9" s="60">
        <v>16</v>
      </c>
      <c r="I9" s="60">
        <v>333</v>
      </c>
      <c r="J9" s="60">
        <v>27</v>
      </c>
      <c r="K9" s="60">
        <v>15</v>
      </c>
      <c r="L9" s="60">
        <v>40</v>
      </c>
      <c r="M9" s="60">
        <v>81</v>
      </c>
      <c r="N9" s="60">
        <v>567</v>
      </c>
      <c r="O9" s="60">
        <v>20</v>
      </c>
      <c r="P9" s="60">
        <v>16</v>
      </c>
      <c r="Q9" s="60">
        <v>43</v>
      </c>
      <c r="R9" s="60">
        <v>357</v>
      </c>
      <c r="S9" s="60">
        <v>31</v>
      </c>
      <c r="T9" s="60">
        <v>147</v>
      </c>
      <c r="U9" s="60">
        <v>23</v>
      </c>
      <c r="V9" s="60">
        <v>32</v>
      </c>
      <c r="W9" s="60">
        <v>86</v>
      </c>
      <c r="X9" s="60">
        <v>18</v>
      </c>
      <c r="Y9" s="60">
        <v>340</v>
      </c>
      <c r="Z9" s="60">
        <v>69</v>
      </c>
      <c r="AA9" s="66">
        <f t="shared" ref="AA9:AA65" si="0">AVERAGE(E9:Z9)</f>
        <v>106.63636363636364</v>
      </c>
      <c r="AB9" s="103">
        <f t="shared" ref="AB9:AB65" si="1">MAX(E9:AA9)</f>
        <v>567</v>
      </c>
      <c r="AC9" s="66"/>
      <c r="AD9" s="66"/>
      <c r="AE9" s="66">
        <f>SUM('BVAD Values'!$L$7/100*E9,'BVAD Values'!$L$8/100*F9,'BVAD Values'!$L$9/100*G9,'BVAD Values'!$L$10/100*H9,'BVAD Values'!$L$12/100*J9,'BVAD Values'!$L$13/100*K9,'BVAD Values'!$L$14/100*L9,'BVAD Values'!$L$15/100*M9,'BVAD Values'!$L$16/100*N9,'BVAD Values'!$L$17/100*O9,'BVAD Values'!$L$18/100*P9,'BVAD Values'!$L$19/100*Q9,'BVAD Values'!$L$20/100*R9,'BVAD Values'!$L$21/100*S9,'BVAD Values'!$L$22/100*T9,'BVAD Values'!$L$23/100*U9,'BVAD Values'!$L$24/100*V9,'BVAD Values'!$L$26/100*X9,'BVAD Values'!$L$27/100*Y9,'BVAD Values'!$L$28/100*Z9)</f>
        <v>2299.3172</v>
      </c>
    </row>
    <row r="10" spans="3:31" x14ac:dyDescent="0.25">
      <c r="C10" s="66" t="s">
        <v>128</v>
      </c>
      <c r="D10" s="60" t="s">
        <v>132</v>
      </c>
      <c r="E10" s="60">
        <v>103</v>
      </c>
      <c r="F10" s="60">
        <v>173</v>
      </c>
      <c r="G10" s="60">
        <v>79</v>
      </c>
      <c r="H10" s="60">
        <v>67</v>
      </c>
      <c r="I10" s="60">
        <v>1393</v>
      </c>
      <c r="J10" s="60">
        <v>112</v>
      </c>
      <c r="K10" s="60">
        <v>62</v>
      </c>
      <c r="L10" s="60">
        <v>166</v>
      </c>
      <c r="M10" s="60">
        <v>339</v>
      </c>
      <c r="N10" s="60">
        <v>2374</v>
      </c>
      <c r="O10" s="60">
        <v>84</v>
      </c>
      <c r="P10" s="60">
        <v>66</v>
      </c>
      <c r="Q10" s="60">
        <v>180</v>
      </c>
      <c r="R10" s="60">
        <v>1494</v>
      </c>
      <c r="S10" s="60">
        <v>131</v>
      </c>
      <c r="T10" s="60">
        <v>614</v>
      </c>
      <c r="U10" s="60">
        <v>97</v>
      </c>
      <c r="V10" s="60">
        <v>136</v>
      </c>
      <c r="W10" s="60">
        <v>359</v>
      </c>
      <c r="X10" s="60">
        <v>74</v>
      </c>
      <c r="Y10" s="60">
        <v>1423</v>
      </c>
      <c r="Z10" s="60">
        <v>288</v>
      </c>
      <c r="AA10" s="66">
        <f t="shared" si="0"/>
        <v>446.09090909090907</v>
      </c>
      <c r="AB10" s="103">
        <f t="shared" si="1"/>
        <v>2374</v>
      </c>
      <c r="AC10" s="66"/>
      <c r="AD10" s="66">
        <f>4*'Chosen Total Requirements'!E6</f>
        <v>51984</v>
      </c>
      <c r="AE10" s="66">
        <f>SUM('BVAD Values'!$L$7/100*E10,'BVAD Values'!$L$8/100*F10,'BVAD Values'!$L$9/100*G10,'BVAD Values'!$L$10/100*H10,'BVAD Values'!$L$12/100*J10,'BVAD Values'!$L$13/100*K10,'BVAD Values'!$L$14/100*L10,'BVAD Values'!$L$15/100*M10,'BVAD Values'!$L$16/100*N10,'BVAD Values'!$L$17/100*O10,'BVAD Values'!$L$18/100*P10,'BVAD Values'!$L$19/100*Q10,'BVAD Values'!$L$20/100*R10,'BVAD Values'!$L$21/100*S10,'BVAD Values'!$L$22/100*T10,'BVAD Values'!$L$23/100*U10,'BVAD Values'!$L$24/100*V10,'BVAD Values'!$L$26/100*X10,'BVAD Values'!$L$27/100*Y10,'BVAD Values'!$L$28/100*Z10)</f>
        <v>9610.4600000000009</v>
      </c>
    </row>
    <row r="11" spans="3:31" x14ac:dyDescent="0.25">
      <c r="C11" s="66" t="s">
        <v>129</v>
      </c>
      <c r="D11" s="60" t="s">
        <v>131</v>
      </c>
      <c r="E11" s="60">
        <v>1.28</v>
      </c>
      <c r="F11" s="60">
        <v>0.93</v>
      </c>
      <c r="G11" s="60">
        <v>1.8</v>
      </c>
      <c r="H11" s="60">
        <v>0.69</v>
      </c>
      <c r="I11" s="60">
        <v>23.58</v>
      </c>
      <c r="J11" s="60">
        <v>0.97</v>
      </c>
      <c r="K11" s="60">
        <v>1.36</v>
      </c>
      <c r="L11" s="60">
        <v>1.1000000000000001</v>
      </c>
      <c r="M11" s="60">
        <v>5.42</v>
      </c>
      <c r="N11" s="60">
        <v>25.8</v>
      </c>
      <c r="O11" s="60">
        <v>0.86</v>
      </c>
      <c r="P11" s="60">
        <v>0.68</v>
      </c>
      <c r="Q11" s="60">
        <v>1.61</v>
      </c>
      <c r="R11" s="60">
        <v>14.73</v>
      </c>
      <c r="S11" s="60">
        <v>1.83</v>
      </c>
      <c r="T11" s="60">
        <v>12.95</v>
      </c>
      <c r="U11" s="60">
        <v>2.86</v>
      </c>
      <c r="V11" s="60">
        <v>0.67</v>
      </c>
      <c r="W11" s="60">
        <v>1.57</v>
      </c>
      <c r="X11" s="60">
        <v>0.88</v>
      </c>
      <c r="Y11" s="60">
        <v>10.69</v>
      </c>
      <c r="Z11" s="60">
        <v>1.68</v>
      </c>
      <c r="AA11" s="66">
        <f t="shared" si="0"/>
        <v>5.1790909090909087</v>
      </c>
      <c r="AB11" s="103">
        <f t="shared" si="1"/>
        <v>25.8</v>
      </c>
      <c r="AC11" s="66"/>
      <c r="AD11" s="66">
        <f>4*'Chosen Total Requirements'!E7</f>
        <v>262.40000000000003</v>
      </c>
      <c r="AE11" s="66">
        <f>SUM('BVAD Values'!$L$7/100*E11,'BVAD Values'!$L$8/100*F11,'BVAD Values'!$L$9/100*G11,'BVAD Values'!$L$10/100*H11,'BVAD Values'!$L$12/100*J11,'BVAD Values'!$L$13/100*K11,'BVAD Values'!$L$14/100*L11,'BVAD Values'!$L$15/100*M11,'BVAD Values'!$L$16/100*N11,'BVAD Values'!$L$17/100*O11,'BVAD Values'!$L$18/100*P11,'BVAD Values'!$L$19/100*Q11,'BVAD Values'!$L$20/100*R11,'BVAD Values'!$L$21/100*S11,'BVAD Values'!$L$22/100*T11,'BVAD Values'!$L$23/100*U11,'BVAD Values'!$L$24/100*V11,'BVAD Values'!$L$26/100*X11,'BVAD Values'!$L$27/100*Y11,'BVAD Values'!$L$28/100*Z11)</f>
        <v>101.94421200000001</v>
      </c>
    </row>
    <row r="12" spans="3:31" x14ac:dyDescent="0.25">
      <c r="C12" s="66" t="s">
        <v>259</v>
      </c>
      <c r="D12" s="60" t="s">
        <v>43</v>
      </c>
      <c r="E12" s="107">
        <f>E11/(100-(E8+E23))</f>
        <v>0.17827298050139295</v>
      </c>
      <c r="F12" s="107">
        <f t="shared" ref="F12:Z12" si="2">F11/(100-(F8+F23))</f>
        <v>8.6592178770949768E-2</v>
      </c>
      <c r="G12" s="107">
        <f t="shared" si="2"/>
        <v>0.31358885017421556</v>
      </c>
      <c r="H12" s="107">
        <f t="shared" si="2"/>
        <v>0.1806282722513092</v>
      </c>
      <c r="I12" s="107">
        <f t="shared" si="2"/>
        <v>0.27931769722814498</v>
      </c>
      <c r="J12" s="107">
        <f t="shared" si="2"/>
        <v>0.13528591352859132</v>
      </c>
      <c r="K12" s="107">
        <f t="shared" si="2"/>
        <v>0.30909090909090969</v>
      </c>
      <c r="L12" s="107">
        <f t="shared" si="2"/>
        <v>0.10436432637571152</v>
      </c>
      <c r="M12" s="107">
        <f t="shared" si="2"/>
        <v>0.2673902318697583</v>
      </c>
      <c r="N12" s="107">
        <f t="shared" si="2"/>
        <v>0.28298782494241526</v>
      </c>
      <c r="O12" s="107">
        <f t="shared" si="2"/>
        <v>0.15140845070422554</v>
      </c>
      <c r="P12" s="107">
        <f t="shared" si="2"/>
        <v>0.16267942583732031</v>
      </c>
      <c r="Q12" s="107">
        <f t="shared" si="2"/>
        <v>0.14197530864197527</v>
      </c>
      <c r="R12" s="107">
        <f t="shared" si="2"/>
        <v>0.16238562451769373</v>
      </c>
      <c r="S12" s="107">
        <f t="shared" si="2"/>
        <v>0.20288248337028802</v>
      </c>
      <c r="T12" s="107">
        <f t="shared" si="2"/>
        <v>0.42045454545454547</v>
      </c>
      <c r="U12" s="107">
        <f t="shared" si="2"/>
        <v>0.41569767441860489</v>
      </c>
      <c r="V12" s="107">
        <f t="shared" si="2"/>
        <v>7.7456647398844017E-2</v>
      </c>
      <c r="W12" s="107">
        <f t="shared" si="2"/>
        <v>7.225034514496087E-2</v>
      </c>
      <c r="X12" s="107">
        <f t="shared" si="2"/>
        <v>0.17670682730923681</v>
      </c>
      <c r="Y12" s="107">
        <f t="shared" si="2"/>
        <v>0.12142208087233076</v>
      </c>
      <c r="Z12" s="107">
        <f t="shared" si="2"/>
        <v>9.6109839816933607E-2</v>
      </c>
      <c r="AA12" s="66"/>
      <c r="AB12" s="103"/>
      <c r="AC12" s="66"/>
      <c r="AD12" s="66"/>
      <c r="AE12" s="66"/>
    </row>
    <row r="13" spans="3:31" x14ac:dyDescent="0.25">
      <c r="C13" s="66" t="s">
        <v>262</v>
      </c>
      <c r="D13" s="60" t="s">
        <v>265</v>
      </c>
      <c r="E13" s="108">
        <v>2.44</v>
      </c>
      <c r="F13" s="108">
        <v>2.78</v>
      </c>
      <c r="G13" s="108">
        <v>2.44</v>
      </c>
      <c r="H13" s="109">
        <v>2.44</v>
      </c>
      <c r="I13" s="108">
        <v>3.47</v>
      </c>
      <c r="J13" s="108">
        <v>2.44</v>
      </c>
      <c r="K13" s="108">
        <v>2.44</v>
      </c>
      <c r="L13" s="108">
        <v>2.78</v>
      </c>
      <c r="M13" s="108">
        <v>3.47</v>
      </c>
      <c r="N13" s="108">
        <v>3.47</v>
      </c>
      <c r="O13" s="108">
        <v>2.44</v>
      </c>
      <c r="P13" s="108">
        <v>2.78</v>
      </c>
      <c r="Q13" s="108">
        <v>2.78</v>
      </c>
      <c r="R13" s="108">
        <v>3.55</v>
      </c>
      <c r="S13" s="108">
        <v>2.44</v>
      </c>
      <c r="T13" s="108">
        <v>3.47</v>
      </c>
      <c r="U13" s="108">
        <v>2.44</v>
      </c>
      <c r="V13" s="108">
        <v>3.36</v>
      </c>
      <c r="W13" s="108">
        <v>2.78</v>
      </c>
      <c r="X13" s="108">
        <v>2.44</v>
      </c>
      <c r="Y13" s="108">
        <v>3.59</v>
      </c>
      <c r="Z13" s="108">
        <v>2.78</v>
      </c>
      <c r="AA13" s="66"/>
      <c r="AB13" s="103"/>
      <c r="AC13" s="66"/>
      <c r="AD13" s="66"/>
      <c r="AE13" s="66"/>
    </row>
    <row r="14" spans="3:31" x14ac:dyDescent="0.25">
      <c r="C14" s="66" t="s">
        <v>262</v>
      </c>
      <c r="D14" s="60" t="s">
        <v>266</v>
      </c>
      <c r="E14" s="108">
        <f>E13*$F$2</f>
        <v>10.208959999999999</v>
      </c>
      <c r="F14" s="108">
        <f t="shared" ref="F14:Z14" si="3">F13*$F$2</f>
        <v>11.63152</v>
      </c>
      <c r="G14" s="108">
        <f t="shared" si="3"/>
        <v>10.208959999999999</v>
      </c>
      <c r="H14" s="108">
        <f t="shared" si="3"/>
        <v>10.208959999999999</v>
      </c>
      <c r="I14" s="108">
        <f t="shared" si="3"/>
        <v>14.518480000000002</v>
      </c>
      <c r="J14" s="108">
        <f t="shared" si="3"/>
        <v>10.208959999999999</v>
      </c>
      <c r="K14" s="108">
        <f t="shared" si="3"/>
        <v>10.208959999999999</v>
      </c>
      <c r="L14" s="108">
        <f t="shared" si="3"/>
        <v>11.63152</v>
      </c>
      <c r="M14" s="108">
        <f t="shared" si="3"/>
        <v>14.518480000000002</v>
      </c>
      <c r="N14" s="108">
        <f t="shared" si="3"/>
        <v>14.518480000000002</v>
      </c>
      <c r="O14" s="108">
        <f t="shared" si="3"/>
        <v>10.208959999999999</v>
      </c>
      <c r="P14" s="108">
        <f t="shared" si="3"/>
        <v>11.63152</v>
      </c>
      <c r="Q14" s="108">
        <f t="shared" si="3"/>
        <v>11.63152</v>
      </c>
      <c r="R14" s="108">
        <f t="shared" si="3"/>
        <v>14.853199999999999</v>
      </c>
      <c r="S14" s="108">
        <f t="shared" si="3"/>
        <v>10.208959999999999</v>
      </c>
      <c r="T14" s="108">
        <f t="shared" si="3"/>
        <v>14.518480000000002</v>
      </c>
      <c r="U14" s="108">
        <f t="shared" si="3"/>
        <v>10.208959999999999</v>
      </c>
      <c r="V14" s="108">
        <f t="shared" si="3"/>
        <v>14.05824</v>
      </c>
      <c r="W14" s="108">
        <f t="shared" si="3"/>
        <v>11.63152</v>
      </c>
      <c r="X14" s="108">
        <f t="shared" si="3"/>
        <v>10.208959999999999</v>
      </c>
      <c r="Y14" s="108">
        <f t="shared" si="3"/>
        <v>15.02056</v>
      </c>
      <c r="Z14" s="108">
        <f t="shared" si="3"/>
        <v>11.63152</v>
      </c>
      <c r="AA14" s="66"/>
      <c r="AB14" s="103"/>
      <c r="AC14" s="66"/>
      <c r="AD14" s="66"/>
      <c r="AE14" s="66"/>
    </row>
    <row r="15" spans="3:31" x14ac:dyDescent="0.25">
      <c r="C15" s="66" t="s">
        <v>130</v>
      </c>
      <c r="D15" s="60" t="s">
        <v>131</v>
      </c>
      <c r="E15" s="60">
        <v>0.1</v>
      </c>
      <c r="F15" s="60">
        <v>0.24</v>
      </c>
      <c r="G15" s="60">
        <v>0.2</v>
      </c>
      <c r="H15" s="60">
        <v>0.17</v>
      </c>
      <c r="I15" s="60">
        <v>0.83</v>
      </c>
      <c r="J15" s="60">
        <v>0.47</v>
      </c>
      <c r="K15" s="60">
        <v>0.15</v>
      </c>
      <c r="L15" s="60">
        <v>0.1</v>
      </c>
      <c r="M15" s="60">
        <v>0.4</v>
      </c>
      <c r="N15" s="60">
        <v>49.24</v>
      </c>
      <c r="O15" s="60">
        <v>0.17</v>
      </c>
      <c r="P15" s="60">
        <v>0.1</v>
      </c>
      <c r="Q15" s="60">
        <v>0.17</v>
      </c>
      <c r="R15" s="60">
        <v>1.08</v>
      </c>
      <c r="S15" s="60">
        <v>0.22</v>
      </c>
      <c r="T15" s="60">
        <v>6.8</v>
      </c>
      <c r="U15" s="60">
        <v>0.39</v>
      </c>
      <c r="V15" s="60">
        <v>0.3</v>
      </c>
      <c r="W15" s="60">
        <v>0.05</v>
      </c>
      <c r="X15" s="60">
        <v>0.2</v>
      </c>
      <c r="Y15" s="60">
        <v>1.99</v>
      </c>
      <c r="Z15" s="60">
        <v>0.1</v>
      </c>
      <c r="AA15" s="66">
        <f t="shared" si="0"/>
        <v>2.8849999999999998</v>
      </c>
      <c r="AB15" s="103">
        <f t="shared" si="1"/>
        <v>49.24</v>
      </c>
      <c r="AC15" s="66"/>
      <c r="AD15" s="66">
        <f>4*'Chosen Total Requirements'!E8</f>
        <v>426.40000000000003</v>
      </c>
      <c r="AE15" s="66">
        <f>SUM('BVAD Values'!$L$7/100*E15,'BVAD Values'!$L$8/100*F15,'BVAD Values'!$L$9/100*G15,'BVAD Values'!$L$10/100*H15,'BVAD Values'!$L$12/100*J15,'BVAD Values'!$L$13/100*K15,'BVAD Values'!$L$14/100*L15,'BVAD Values'!$L$15/100*M15,'BVAD Values'!$L$16/100*N15,'BVAD Values'!$L$17/100*O15,'BVAD Values'!$L$18/100*P15,'BVAD Values'!$L$19/100*Q15,'BVAD Values'!$L$20/100*R15,'BVAD Values'!$L$21/100*S15,'BVAD Values'!$L$22/100*T15,'BVAD Values'!$L$23/100*U15,'BVAD Values'!$L$24/100*V15,'BVAD Values'!$L$26/100*X15,'BVAD Values'!$L$27/100*Y15,'BVAD Values'!$L$28/100*Z15)</f>
        <v>27.852248000000003</v>
      </c>
    </row>
    <row r="16" spans="3:31" x14ac:dyDescent="0.25">
      <c r="C16" s="66" t="s">
        <v>260</v>
      </c>
      <c r="D16" s="60" t="s">
        <v>43</v>
      </c>
      <c r="E16" s="107">
        <f>E15/(100-(E8+E23))</f>
        <v>1.3927576601671324E-2</v>
      </c>
      <c r="F16" s="107">
        <f t="shared" ref="F16:Z16" si="4">F15/(100-(F8+F23))</f>
        <v>2.234636871508381E-2</v>
      </c>
      <c r="G16" s="107">
        <f t="shared" si="4"/>
        <v>3.4843205574912842E-2</v>
      </c>
      <c r="H16" s="107">
        <f t="shared" si="4"/>
        <v>4.4502617801047202E-2</v>
      </c>
      <c r="I16" s="107">
        <f t="shared" si="4"/>
        <v>9.8317934138829662E-3</v>
      </c>
      <c r="J16" s="107">
        <f t="shared" si="4"/>
        <v>6.5550906555090632E-2</v>
      </c>
      <c r="K16" s="107">
        <f t="shared" si="4"/>
        <v>3.4090909090909158E-2</v>
      </c>
      <c r="L16" s="107">
        <f t="shared" si="4"/>
        <v>9.4876660341555921E-3</v>
      </c>
      <c r="M16" s="107">
        <f t="shared" si="4"/>
        <v>1.9733596447952643E-2</v>
      </c>
      <c r="N16" s="107">
        <f t="shared" si="4"/>
        <v>0.54008994186684223</v>
      </c>
      <c r="O16" s="107">
        <f t="shared" si="4"/>
        <v>2.9929577464788772E-2</v>
      </c>
      <c r="P16" s="107">
        <f t="shared" si="4"/>
        <v>2.3923444976076517E-2</v>
      </c>
      <c r="Q16" s="107">
        <f t="shared" si="4"/>
        <v>1.4991181657848322E-2</v>
      </c>
      <c r="R16" s="107">
        <f t="shared" si="4"/>
        <v>1.1906074302722964E-2</v>
      </c>
      <c r="S16" s="107">
        <f t="shared" si="4"/>
        <v>2.4390243902438997E-2</v>
      </c>
      <c r="T16" s="107">
        <f t="shared" si="4"/>
        <v>0.2207792207792208</v>
      </c>
      <c r="U16" s="107">
        <f t="shared" si="4"/>
        <v>5.6686046511627945E-2</v>
      </c>
      <c r="V16" s="107">
        <f t="shared" si="4"/>
        <v>3.4682080924855523E-2</v>
      </c>
      <c r="W16" s="107">
        <f t="shared" si="4"/>
        <v>2.3009664058904738E-3</v>
      </c>
      <c r="X16" s="107">
        <f t="shared" si="4"/>
        <v>4.0160642570281097E-2</v>
      </c>
      <c r="Y16" s="107">
        <f t="shared" si="4"/>
        <v>2.2603362108132668E-2</v>
      </c>
      <c r="Z16" s="107">
        <f t="shared" si="4"/>
        <v>5.7208237986270012E-3</v>
      </c>
      <c r="AA16" s="66"/>
      <c r="AB16" s="103"/>
      <c r="AC16" s="66"/>
      <c r="AD16" s="66"/>
      <c r="AE16" s="66"/>
    </row>
    <row r="17" spans="3:31" x14ac:dyDescent="0.25">
      <c r="C17" s="66" t="s">
        <v>263</v>
      </c>
      <c r="D17" s="60" t="s">
        <v>265</v>
      </c>
      <c r="E17" s="108">
        <v>8.3699999999999992</v>
      </c>
      <c r="F17" s="108">
        <v>8.3699999999999992</v>
      </c>
      <c r="G17" s="108">
        <v>8.3699999999999992</v>
      </c>
      <c r="H17" s="109">
        <v>8.3699999999999992</v>
      </c>
      <c r="I17" s="108">
        <v>8.3699999999999992</v>
      </c>
      <c r="J17" s="108">
        <v>8.3699999999999992</v>
      </c>
      <c r="K17" s="108">
        <v>8.3699999999999992</v>
      </c>
      <c r="L17" s="108">
        <v>8.3699999999999992</v>
      </c>
      <c r="M17" s="108">
        <v>8.3699999999999992</v>
      </c>
      <c r="N17" s="108">
        <v>8.3699999999999992</v>
      </c>
      <c r="O17" s="108">
        <v>8.3699999999999992</v>
      </c>
      <c r="P17" s="108">
        <v>8.3699999999999992</v>
      </c>
      <c r="Q17" s="108">
        <v>8.3699999999999992</v>
      </c>
      <c r="R17" s="108">
        <v>8.3699999999999992</v>
      </c>
      <c r="S17" s="108">
        <v>8.3699999999999992</v>
      </c>
      <c r="T17" s="108">
        <v>8.3699999999999992</v>
      </c>
      <c r="U17" s="108">
        <v>8.3699999999999992</v>
      </c>
      <c r="V17" s="108">
        <v>8.3699999999999992</v>
      </c>
      <c r="W17" s="108">
        <v>8.3699999999999992</v>
      </c>
      <c r="X17" s="108">
        <v>8.3699999999999992</v>
      </c>
      <c r="Y17" s="108">
        <v>8.3699999999999992</v>
      </c>
      <c r="Z17" s="108">
        <v>8.3699999999999992</v>
      </c>
      <c r="AA17" s="66"/>
      <c r="AB17" s="103"/>
      <c r="AC17" s="66"/>
      <c r="AD17" s="66"/>
      <c r="AE17" s="66"/>
    </row>
    <row r="18" spans="3:31" x14ac:dyDescent="0.25">
      <c r="C18" s="66" t="s">
        <v>263</v>
      </c>
      <c r="D18" s="60" t="s">
        <v>266</v>
      </c>
      <c r="E18" s="108">
        <f>E17*$F$2</f>
        <v>35.02008</v>
      </c>
      <c r="F18" s="108">
        <f t="shared" ref="F18:Z18" si="5">F17*$F$2</f>
        <v>35.02008</v>
      </c>
      <c r="G18" s="108">
        <f t="shared" si="5"/>
        <v>35.02008</v>
      </c>
      <c r="H18" s="108">
        <f t="shared" si="5"/>
        <v>35.02008</v>
      </c>
      <c r="I18" s="108">
        <f t="shared" si="5"/>
        <v>35.02008</v>
      </c>
      <c r="J18" s="108">
        <f t="shared" si="5"/>
        <v>35.02008</v>
      </c>
      <c r="K18" s="108">
        <f t="shared" si="5"/>
        <v>35.02008</v>
      </c>
      <c r="L18" s="108">
        <f t="shared" si="5"/>
        <v>35.02008</v>
      </c>
      <c r="M18" s="108">
        <f t="shared" si="5"/>
        <v>35.02008</v>
      </c>
      <c r="N18" s="108">
        <f t="shared" si="5"/>
        <v>35.02008</v>
      </c>
      <c r="O18" s="108">
        <f t="shared" si="5"/>
        <v>35.02008</v>
      </c>
      <c r="P18" s="108">
        <f t="shared" si="5"/>
        <v>35.02008</v>
      </c>
      <c r="Q18" s="108">
        <f t="shared" si="5"/>
        <v>35.02008</v>
      </c>
      <c r="R18" s="108">
        <f t="shared" si="5"/>
        <v>35.02008</v>
      </c>
      <c r="S18" s="108">
        <f t="shared" si="5"/>
        <v>35.02008</v>
      </c>
      <c r="T18" s="108">
        <f t="shared" si="5"/>
        <v>35.02008</v>
      </c>
      <c r="U18" s="108">
        <f t="shared" si="5"/>
        <v>35.02008</v>
      </c>
      <c r="V18" s="108">
        <f t="shared" si="5"/>
        <v>35.02008</v>
      </c>
      <c r="W18" s="108">
        <f t="shared" si="5"/>
        <v>35.02008</v>
      </c>
      <c r="X18" s="108">
        <f t="shared" si="5"/>
        <v>35.02008</v>
      </c>
      <c r="Y18" s="108">
        <f t="shared" si="5"/>
        <v>35.02008</v>
      </c>
      <c r="Z18" s="108">
        <f t="shared" si="5"/>
        <v>35.02008</v>
      </c>
      <c r="AA18" s="66"/>
      <c r="AB18" s="103"/>
      <c r="AC18" s="66"/>
      <c r="AD18" s="66"/>
      <c r="AE18" s="66"/>
    </row>
    <row r="19" spans="3:31" x14ac:dyDescent="0.25">
      <c r="C19" s="66" t="s">
        <v>257</v>
      </c>
      <c r="D19" s="60" t="s">
        <v>131</v>
      </c>
      <c r="E19" s="60">
        <v>5.8</v>
      </c>
      <c r="F19" s="60">
        <v>9.58</v>
      </c>
      <c r="G19" s="60">
        <v>3.74</v>
      </c>
      <c r="H19" s="60">
        <v>2.97</v>
      </c>
      <c r="I19" s="60">
        <v>60.01</v>
      </c>
      <c r="J19" s="60">
        <v>5.74</v>
      </c>
      <c r="K19" s="60">
        <v>2.87</v>
      </c>
      <c r="L19" s="60">
        <v>9.34</v>
      </c>
      <c r="M19" s="60">
        <v>14.45</v>
      </c>
      <c r="N19" s="60">
        <v>16.13</v>
      </c>
      <c r="O19" s="60">
        <v>4.6399999999999997</v>
      </c>
      <c r="P19" s="60">
        <v>3.4</v>
      </c>
      <c r="Q19" s="60">
        <v>9.56</v>
      </c>
      <c r="R19" s="60">
        <v>74.900000000000006</v>
      </c>
      <c r="S19" s="60">
        <v>6.97</v>
      </c>
      <c r="T19" s="60">
        <v>11.05</v>
      </c>
      <c r="U19" s="60">
        <v>3.63</v>
      </c>
      <c r="V19" s="60">
        <v>7.68</v>
      </c>
      <c r="W19" s="60">
        <v>20.12</v>
      </c>
      <c r="X19" s="60">
        <v>3.89</v>
      </c>
      <c r="Y19" s="60">
        <v>75.36</v>
      </c>
      <c r="Z19" s="60">
        <v>15.71</v>
      </c>
      <c r="AA19" s="66">
        <f t="shared" si="0"/>
        <v>16.706363636363633</v>
      </c>
      <c r="AB19" s="103">
        <f t="shared" si="1"/>
        <v>75.36</v>
      </c>
      <c r="AC19" s="66"/>
      <c r="AD19" s="66">
        <f>4*'Chosen Total Requirements'!E9</f>
        <v>1574.3999999999999</v>
      </c>
      <c r="AE19" s="66">
        <f>SUM('BVAD Values'!$L$7/100*E19,'BVAD Values'!$L$8/100*F19,'BVAD Values'!$L$9/100*G19,'BVAD Values'!$L$10/100*H19,'BVAD Values'!$L$12/100*J19,'BVAD Values'!$L$13/100*K19,'BVAD Values'!$L$14/100*L19,'BVAD Values'!$L$15/100*M19,'BVAD Values'!$L$16/100*N19,'BVAD Values'!$L$17/100*O19,'BVAD Values'!$L$18/100*P19,'BVAD Values'!$L$19/100*Q19,'BVAD Values'!$L$20/100*R19,'BVAD Values'!$L$21/100*S19,'BVAD Values'!$L$22/100*T19,'BVAD Values'!$L$23/100*U19,'BVAD Values'!$L$24/100*V19,'BVAD Values'!$L$26/100*X19,'BVAD Values'!$L$27/100*Y19,'BVAD Values'!$L$28/100*Z19)</f>
        <v>470.90513999999996</v>
      </c>
    </row>
    <row r="20" spans="3:31" x14ac:dyDescent="0.25">
      <c r="C20" s="66" t="s">
        <v>261</v>
      </c>
      <c r="D20" s="60" t="s">
        <v>43</v>
      </c>
      <c r="E20" s="107">
        <f>E19/(100-(E8+E23))</f>
        <v>0.80779944289693673</v>
      </c>
      <c r="F20" s="107">
        <f t="shared" ref="F20:Z20" si="6">F19/(100-(F8+F23))</f>
        <v>0.89199255121042875</v>
      </c>
      <c r="G20" s="107">
        <f t="shared" si="6"/>
        <v>0.65156794425087006</v>
      </c>
      <c r="H20" s="107">
        <f t="shared" si="6"/>
        <v>0.77748691099476586</v>
      </c>
      <c r="I20" s="107">
        <f t="shared" si="6"/>
        <v>0.710850509357972</v>
      </c>
      <c r="J20" s="107">
        <f t="shared" si="6"/>
        <v>0.80055788005578787</v>
      </c>
      <c r="K20" s="107">
        <f t="shared" si="6"/>
        <v>0.65227272727272856</v>
      </c>
      <c r="L20" s="107">
        <f t="shared" si="6"/>
        <v>0.88614800759013224</v>
      </c>
      <c r="M20" s="107">
        <f t="shared" si="6"/>
        <v>0.71287617168228923</v>
      </c>
      <c r="N20" s="107">
        <f t="shared" si="6"/>
        <v>0.17692223319074254</v>
      </c>
      <c r="O20" s="107">
        <f t="shared" si="6"/>
        <v>0.81690140845070525</v>
      </c>
      <c r="P20" s="107">
        <f t="shared" si="6"/>
        <v>0.81339712918660156</v>
      </c>
      <c r="Q20" s="107">
        <f t="shared" si="6"/>
        <v>0.84303350970017621</v>
      </c>
      <c r="R20" s="107">
        <f t="shared" si="6"/>
        <v>0.82570830117958327</v>
      </c>
      <c r="S20" s="107">
        <f t="shared" si="6"/>
        <v>0.77272727272727182</v>
      </c>
      <c r="T20" s="107">
        <f t="shared" si="6"/>
        <v>0.35876623376623384</v>
      </c>
      <c r="U20" s="107">
        <f t="shared" si="6"/>
        <v>0.52761627906976782</v>
      </c>
      <c r="V20" s="107">
        <f t="shared" si="6"/>
        <v>0.88786127167630147</v>
      </c>
      <c r="W20" s="107">
        <f t="shared" si="6"/>
        <v>0.92590888173032659</v>
      </c>
      <c r="X20" s="107">
        <f t="shared" si="6"/>
        <v>0.78112449799196726</v>
      </c>
      <c r="Y20" s="107">
        <f t="shared" si="6"/>
        <v>0.85597455701953662</v>
      </c>
      <c r="Z20" s="107">
        <f t="shared" si="6"/>
        <v>0.89874141876430191</v>
      </c>
      <c r="AA20" s="60"/>
      <c r="AB20" s="103"/>
      <c r="AC20" s="66"/>
      <c r="AD20" s="66"/>
      <c r="AE20" s="66"/>
    </row>
    <row r="21" spans="3:31" x14ac:dyDescent="0.25">
      <c r="C21" s="66" t="s">
        <v>264</v>
      </c>
      <c r="D21" s="60" t="s">
        <v>265</v>
      </c>
      <c r="E21" s="108">
        <v>3.57</v>
      </c>
      <c r="F21" s="108">
        <v>3.84</v>
      </c>
      <c r="G21" s="108">
        <v>3.57</v>
      </c>
      <c r="H21" s="109">
        <v>3.57</v>
      </c>
      <c r="I21" s="108">
        <v>4.07</v>
      </c>
      <c r="J21" s="108">
        <v>3.57</v>
      </c>
      <c r="K21" s="108">
        <v>3.57</v>
      </c>
      <c r="L21" s="108">
        <v>3.84</v>
      </c>
      <c r="M21" s="108">
        <v>4.07</v>
      </c>
      <c r="N21" s="108">
        <v>4.07</v>
      </c>
      <c r="O21" s="108">
        <v>3.57</v>
      </c>
      <c r="P21" s="108">
        <v>3.84</v>
      </c>
      <c r="Q21" s="108">
        <v>3.84</v>
      </c>
      <c r="R21" s="108">
        <v>3.95</v>
      </c>
      <c r="S21" s="108">
        <v>3.57</v>
      </c>
      <c r="T21" s="108">
        <v>4.07</v>
      </c>
      <c r="U21" s="108">
        <v>3.57</v>
      </c>
      <c r="V21" s="108">
        <v>3.6</v>
      </c>
      <c r="W21" s="108">
        <v>4.03</v>
      </c>
      <c r="X21" s="108">
        <v>3.57</v>
      </c>
      <c r="Y21" s="108">
        <v>3.78</v>
      </c>
      <c r="Z21" s="108">
        <v>4.03</v>
      </c>
      <c r="AA21" s="60"/>
      <c r="AB21" s="103"/>
      <c r="AC21" s="66"/>
      <c r="AD21" s="66"/>
      <c r="AE21" s="66"/>
    </row>
    <row r="22" spans="3:31" x14ac:dyDescent="0.25">
      <c r="C22" s="66" t="s">
        <v>264</v>
      </c>
      <c r="D22" s="60" t="s">
        <v>266</v>
      </c>
      <c r="E22" s="108">
        <f>E21*$F$2</f>
        <v>14.93688</v>
      </c>
      <c r="F22" s="108">
        <f t="shared" ref="F22:Z22" si="7">F21*$F$2</f>
        <v>16.066559999999999</v>
      </c>
      <c r="G22" s="108">
        <f t="shared" si="7"/>
        <v>14.93688</v>
      </c>
      <c r="H22" s="108">
        <f t="shared" si="7"/>
        <v>14.93688</v>
      </c>
      <c r="I22" s="108">
        <f t="shared" si="7"/>
        <v>17.028880000000001</v>
      </c>
      <c r="J22" s="108">
        <f t="shared" si="7"/>
        <v>14.93688</v>
      </c>
      <c r="K22" s="108">
        <f t="shared" si="7"/>
        <v>14.93688</v>
      </c>
      <c r="L22" s="108">
        <f t="shared" si="7"/>
        <v>16.066559999999999</v>
      </c>
      <c r="M22" s="108">
        <f t="shared" si="7"/>
        <v>17.028880000000001</v>
      </c>
      <c r="N22" s="108">
        <f t="shared" si="7"/>
        <v>17.028880000000001</v>
      </c>
      <c r="O22" s="108">
        <f t="shared" si="7"/>
        <v>14.93688</v>
      </c>
      <c r="P22" s="108">
        <f t="shared" si="7"/>
        <v>16.066559999999999</v>
      </c>
      <c r="Q22" s="108">
        <f t="shared" si="7"/>
        <v>16.066559999999999</v>
      </c>
      <c r="R22" s="108">
        <f t="shared" si="7"/>
        <v>16.526800000000001</v>
      </c>
      <c r="S22" s="108">
        <f t="shared" si="7"/>
        <v>14.93688</v>
      </c>
      <c r="T22" s="108">
        <f t="shared" si="7"/>
        <v>17.028880000000001</v>
      </c>
      <c r="U22" s="108">
        <f t="shared" si="7"/>
        <v>14.93688</v>
      </c>
      <c r="V22" s="108">
        <f t="shared" si="7"/>
        <v>15.0624</v>
      </c>
      <c r="W22" s="108">
        <f t="shared" si="7"/>
        <v>16.861520000000002</v>
      </c>
      <c r="X22" s="108">
        <f t="shared" si="7"/>
        <v>14.93688</v>
      </c>
      <c r="Y22" s="108">
        <f t="shared" si="7"/>
        <v>15.815519999999999</v>
      </c>
      <c r="Z22" s="108">
        <f t="shared" si="7"/>
        <v>16.861520000000002</v>
      </c>
      <c r="AA22" s="60"/>
      <c r="AB22" s="103"/>
      <c r="AC22" s="66"/>
      <c r="AD22" s="66"/>
      <c r="AE22" s="66"/>
    </row>
    <row r="23" spans="3:31" x14ac:dyDescent="0.25">
      <c r="C23" s="66" t="s">
        <v>258</v>
      </c>
      <c r="D23" s="60" t="s">
        <v>131</v>
      </c>
      <c r="E23" s="60">
        <v>0.64</v>
      </c>
      <c r="F23" s="60">
        <v>0.97</v>
      </c>
      <c r="G23" s="60">
        <v>1.6</v>
      </c>
      <c r="H23" s="60">
        <v>0.75</v>
      </c>
      <c r="I23" s="60">
        <v>3.83</v>
      </c>
      <c r="J23" s="60">
        <v>0.51</v>
      </c>
      <c r="K23" s="60">
        <v>0.62</v>
      </c>
      <c r="L23" s="60">
        <v>0.35</v>
      </c>
      <c r="M23" s="60">
        <v>0.87</v>
      </c>
      <c r="N23" s="60">
        <v>2.33</v>
      </c>
      <c r="O23" s="60">
        <v>0.43</v>
      </c>
      <c r="P23" s="60">
        <v>0.55000000000000004</v>
      </c>
      <c r="Q23" s="60">
        <v>1.08</v>
      </c>
      <c r="R23" s="60">
        <v>1.53</v>
      </c>
      <c r="S23" s="60">
        <v>0.66</v>
      </c>
      <c r="T23" s="60">
        <v>1.7</v>
      </c>
      <c r="U23" s="60">
        <v>1.72</v>
      </c>
      <c r="V23" s="60">
        <v>0.4</v>
      </c>
      <c r="W23" s="60">
        <v>0.99</v>
      </c>
      <c r="X23" s="60">
        <v>0.5</v>
      </c>
      <c r="Y23" s="60">
        <v>1.54</v>
      </c>
      <c r="Z23" s="60">
        <v>0.94</v>
      </c>
      <c r="AA23" s="60">
        <f t="shared" si="0"/>
        <v>1.1140909090909088</v>
      </c>
      <c r="AB23" s="103">
        <f t="shared" si="1"/>
        <v>3.83</v>
      </c>
      <c r="AC23" s="66"/>
      <c r="AD23" s="66"/>
      <c r="AE23" s="66"/>
    </row>
    <row r="24" spans="3:31" x14ac:dyDescent="0.25">
      <c r="C24" s="67" t="s">
        <v>133</v>
      </c>
      <c r="D24" s="61"/>
      <c r="E24" s="61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100"/>
      <c r="AC24" s="92"/>
      <c r="AD24" s="92"/>
      <c r="AE24" s="92"/>
    </row>
    <row r="25" spans="3:31" x14ac:dyDescent="0.25">
      <c r="C25" s="66" t="s">
        <v>134</v>
      </c>
      <c r="D25" s="62" t="s">
        <v>197</v>
      </c>
      <c r="E25" s="62">
        <v>40</v>
      </c>
      <c r="F25" s="60">
        <v>33</v>
      </c>
      <c r="G25" s="60">
        <v>51</v>
      </c>
      <c r="H25" s="60">
        <v>40</v>
      </c>
      <c r="I25" s="60">
        <v>143</v>
      </c>
      <c r="J25" s="60">
        <v>52</v>
      </c>
      <c r="K25" s="60">
        <v>36</v>
      </c>
      <c r="L25" s="60">
        <v>23</v>
      </c>
      <c r="M25" s="60">
        <v>25</v>
      </c>
      <c r="N25" s="60">
        <v>92</v>
      </c>
      <c r="O25" s="60">
        <v>10</v>
      </c>
      <c r="P25" s="60">
        <v>25</v>
      </c>
      <c r="Q25" s="60">
        <v>16</v>
      </c>
      <c r="R25" s="60">
        <v>21</v>
      </c>
      <c r="S25" s="60">
        <v>37</v>
      </c>
      <c r="T25" s="60">
        <v>197</v>
      </c>
      <c r="U25" s="60">
        <v>99</v>
      </c>
      <c r="V25" s="60">
        <v>16</v>
      </c>
      <c r="W25" s="60">
        <v>30</v>
      </c>
      <c r="X25" s="60">
        <v>10</v>
      </c>
      <c r="Y25" s="60">
        <v>34</v>
      </c>
      <c r="Z25" s="60">
        <v>9</v>
      </c>
      <c r="AA25" s="66">
        <f t="shared" si="0"/>
        <v>47.227272727272727</v>
      </c>
      <c r="AB25" s="103">
        <f t="shared" si="1"/>
        <v>197</v>
      </c>
      <c r="AC25" s="66"/>
      <c r="AD25" s="66">
        <f>4*'Chosen Total Requirements'!E11</f>
        <v>3200</v>
      </c>
      <c r="AE25" s="66">
        <f>SUM('BVAD Values'!$L$7/100*E25,'BVAD Values'!$L$8/100*F25,'BVAD Values'!$L$9/100*G25,'BVAD Values'!$L$10/100*H25,'BVAD Values'!$L$12/100*J25,'BVAD Values'!$L$13/100*K25,'BVAD Values'!$L$14/100*L25,'BVAD Values'!$L$15/100*M25,'BVAD Values'!$L$16/100*N25,'BVAD Values'!$L$17/100*O25,'BVAD Values'!$L$18/100*P25,'BVAD Values'!$L$19/100*Q25,'BVAD Values'!$L$20/100*R25,'BVAD Values'!$L$21/100*S25,'BVAD Values'!$L$22/100*T25,'BVAD Values'!$L$23/100*U25,'BVAD Values'!$L$24/100*V25,'BVAD Values'!$L$26/100*X25,'BVAD Values'!$L$27/100*Y25,'BVAD Values'!$L$28/100*Z25)</f>
        <v>1962.1076</v>
      </c>
    </row>
    <row r="26" spans="3:31" x14ac:dyDescent="0.25">
      <c r="C26" s="66" t="s">
        <v>107</v>
      </c>
      <c r="D26" s="62" t="s">
        <v>197</v>
      </c>
      <c r="E26" s="62">
        <v>0.27</v>
      </c>
      <c r="F26" s="60">
        <v>0.3</v>
      </c>
      <c r="G26" s="60">
        <v>1.8</v>
      </c>
      <c r="H26" s="60">
        <v>0.2</v>
      </c>
      <c r="I26" s="60">
        <v>8.1999999999999993</v>
      </c>
      <c r="J26" s="60">
        <v>0.51</v>
      </c>
      <c r="K26" s="60">
        <v>0.86</v>
      </c>
      <c r="L26" s="60">
        <v>0.21</v>
      </c>
      <c r="M26" s="60">
        <v>1.47</v>
      </c>
      <c r="N26" s="60">
        <v>4.58</v>
      </c>
      <c r="O26" s="60">
        <v>0.34</v>
      </c>
      <c r="P26" s="60">
        <v>0.34</v>
      </c>
      <c r="Q26" s="60">
        <v>0.8</v>
      </c>
      <c r="R26" s="60">
        <v>1.96</v>
      </c>
      <c r="S26" s="60">
        <v>1.03</v>
      </c>
      <c r="T26" s="60">
        <v>3.55</v>
      </c>
      <c r="U26" s="60">
        <v>2.71</v>
      </c>
      <c r="V26" s="60">
        <v>0.41</v>
      </c>
      <c r="W26" s="60">
        <v>0.61</v>
      </c>
      <c r="X26" s="60">
        <v>0.27</v>
      </c>
      <c r="Y26" s="60">
        <v>5.37</v>
      </c>
      <c r="Z26" s="60">
        <v>0.52</v>
      </c>
      <c r="AA26" s="66">
        <f t="shared" si="0"/>
        <v>1.6504545454545456</v>
      </c>
      <c r="AB26" s="103">
        <f t="shared" si="1"/>
        <v>8.1999999999999993</v>
      </c>
      <c r="AC26" s="66"/>
      <c r="AD26" s="66">
        <f>4*'Chosen Total Requirements'!E12</f>
        <v>72</v>
      </c>
      <c r="AE26" s="66">
        <f>SUM('BVAD Values'!$L$7/100*E26,'BVAD Values'!$L$8/100*F26,'BVAD Values'!$L$9/100*G26,'BVAD Values'!$L$10/100*H26,'BVAD Values'!$L$12/100*J26,'BVAD Values'!$L$13/100*K26,'BVAD Values'!$L$14/100*L26,'BVAD Values'!$L$15/100*M26,'BVAD Values'!$L$16/100*N26,'BVAD Values'!$L$17/100*O26,'BVAD Values'!$L$18/100*P26,'BVAD Values'!$L$19/100*Q26,'BVAD Values'!$L$20/100*R26,'BVAD Values'!$L$21/100*S26,'BVAD Values'!$L$22/100*T26,'BVAD Values'!$L$23/100*U26,'BVAD Values'!$L$24/100*V26,'BVAD Values'!$L$26/100*X26,'BVAD Values'!$L$27/100*Y26,'BVAD Values'!$L$28/100*Z26)</f>
        <v>47.838279999999997</v>
      </c>
    </row>
    <row r="27" spans="3:31" x14ac:dyDescent="0.25">
      <c r="C27" s="66" t="s">
        <v>135</v>
      </c>
      <c r="D27" s="62" t="s">
        <v>197</v>
      </c>
      <c r="E27" s="62">
        <v>12</v>
      </c>
      <c r="F27" s="60">
        <v>12</v>
      </c>
      <c r="G27" s="60">
        <v>81</v>
      </c>
      <c r="H27" s="60">
        <v>11</v>
      </c>
      <c r="I27" s="60">
        <v>140</v>
      </c>
      <c r="J27" s="60">
        <v>16</v>
      </c>
      <c r="K27" s="60">
        <v>13</v>
      </c>
      <c r="L27" s="60">
        <v>10</v>
      </c>
      <c r="M27" s="60">
        <v>33</v>
      </c>
      <c r="N27" s="60">
        <v>168</v>
      </c>
      <c r="O27" s="60">
        <v>10</v>
      </c>
      <c r="P27" s="60">
        <v>10</v>
      </c>
      <c r="Q27" s="60">
        <v>23</v>
      </c>
      <c r="R27" s="60">
        <v>177</v>
      </c>
      <c r="S27" s="60">
        <v>25</v>
      </c>
      <c r="T27" s="60">
        <v>65</v>
      </c>
      <c r="U27" s="60">
        <v>79</v>
      </c>
      <c r="V27" s="60">
        <v>13</v>
      </c>
      <c r="W27" s="60">
        <v>25</v>
      </c>
      <c r="X27" s="60">
        <v>11</v>
      </c>
      <c r="Y27" s="60">
        <v>90</v>
      </c>
      <c r="Z27" s="60">
        <v>21</v>
      </c>
      <c r="AA27" s="66">
        <f t="shared" si="0"/>
        <v>47.5</v>
      </c>
      <c r="AB27" s="103">
        <f t="shared" si="1"/>
        <v>177</v>
      </c>
      <c r="AC27" s="66"/>
      <c r="AD27" s="66">
        <f>4*'Chosen Total Requirements'!E13</f>
        <v>1400</v>
      </c>
      <c r="AE27" s="66">
        <f>SUM('BVAD Values'!$L$7/100*E27,'BVAD Values'!$L$8/100*F27,'BVAD Values'!$L$9/100*G27,'BVAD Values'!$L$10/100*H27,'BVAD Values'!$L$12/100*J27,'BVAD Values'!$L$13/100*K27,'BVAD Values'!$L$14/100*L27,'BVAD Values'!$L$15/100*M27,'BVAD Values'!$L$16/100*N27,'BVAD Values'!$L$17/100*O27,'BVAD Values'!$L$18/100*P27,'BVAD Values'!$L$19/100*Q27,'BVAD Values'!$L$20/100*R27,'BVAD Values'!$L$21/100*S27,'BVAD Values'!$L$22/100*T27,'BVAD Values'!$L$23/100*U27,'BVAD Values'!$L$24/100*V27,'BVAD Values'!$L$26/100*X27,'BVAD Values'!$L$27/100*Y27,'BVAD Values'!$L$28/100*Z27)</f>
        <v>1493.3268</v>
      </c>
    </row>
    <row r="28" spans="3:31" x14ac:dyDescent="0.25">
      <c r="C28" s="66" t="s">
        <v>136</v>
      </c>
      <c r="D28" s="62" t="s">
        <v>197</v>
      </c>
      <c r="E28" s="62">
        <v>26</v>
      </c>
      <c r="F28" s="60">
        <v>35</v>
      </c>
      <c r="G28" s="60">
        <v>46</v>
      </c>
      <c r="H28" s="60">
        <v>24</v>
      </c>
      <c r="I28" s="60">
        <v>407</v>
      </c>
      <c r="J28" s="60">
        <v>25</v>
      </c>
      <c r="K28" s="60">
        <v>29</v>
      </c>
      <c r="L28" s="60">
        <v>29</v>
      </c>
      <c r="M28" s="60">
        <v>108</v>
      </c>
      <c r="N28" s="60">
        <v>376</v>
      </c>
      <c r="O28" s="60">
        <v>20</v>
      </c>
      <c r="P28" s="60">
        <v>20</v>
      </c>
      <c r="Q28" s="60">
        <v>40</v>
      </c>
      <c r="R28" s="60">
        <v>433</v>
      </c>
      <c r="S28" s="60">
        <v>38</v>
      </c>
      <c r="T28" s="60">
        <v>194</v>
      </c>
      <c r="U28" s="60">
        <v>49</v>
      </c>
      <c r="V28" s="60">
        <v>24</v>
      </c>
      <c r="W28" s="60">
        <v>47</v>
      </c>
      <c r="X28" s="60">
        <v>24</v>
      </c>
      <c r="Y28" s="60">
        <v>402</v>
      </c>
      <c r="Z28" s="60">
        <v>62</v>
      </c>
      <c r="AA28" s="66">
        <f t="shared" si="0"/>
        <v>111.72727272727273</v>
      </c>
      <c r="AB28" s="103">
        <f t="shared" si="1"/>
        <v>433</v>
      </c>
      <c r="AC28" s="66"/>
      <c r="AD28" s="66">
        <f>4*'Chosen Total Requirements'!E14</f>
        <v>3200</v>
      </c>
      <c r="AE28" s="66">
        <f>SUM('BVAD Values'!$L$7/100*E28,'BVAD Values'!$L$8/100*F28,'BVAD Values'!$L$9/100*G28,'BVAD Values'!$L$10/100*H28,'BVAD Values'!$L$12/100*J28,'BVAD Values'!$L$13/100*K28,'BVAD Values'!$L$14/100*L28,'BVAD Values'!$L$15/100*M28,'BVAD Values'!$L$16/100*N28,'BVAD Values'!$L$17/100*O28,'BVAD Values'!$L$18/100*P28,'BVAD Values'!$L$19/100*Q28,'BVAD Values'!$L$20/100*R28,'BVAD Values'!$L$21/100*S28,'BVAD Values'!$L$22/100*T28,'BVAD Values'!$L$23/100*U28,'BVAD Values'!$L$24/100*V28,'BVAD Values'!$L$26/100*X28,'BVAD Values'!$L$27/100*Y28,'BVAD Values'!$L$28/100*Z28)</f>
        <v>2626.21</v>
      </c>
    </row>
    <row r="29" spans="3:31" x14ac:dyDescent="0.25">
      <c r="C29" s="66" t="s">
        <v>137</v>
      </c>
      <c r="D29" s="62" t="s">
        <v>197</v>
      </c>
      <c r="E29" s="62">
        <v>170</v>
      </c>
      <c r="F29" s="60">
        <v>320</v>
      </c>
      <c r="G29" s="60">
        <v>379</v>
      </c>
      <c r="H29" s="60">
        <v>260</v>
      </c>
      <c r="I29" s="60">
        <v>1406</v>
      </c>
      <c r="J29" s="60">
        <v>159</v>
      </c>
      <c r="K29" s="60">
        <v>194</v>
      </c>
      <c r="L29" s="60">
        <v>146</v>
      </c>
      <c r="M29" s="60">
        <v>244</v>
      </c>
      <c r="N29" s="60">
        <v>705</v>
      </c>
      <c r="O29" s="60">
        <v>175</v>
      </c>
      <c r="P29" s="60">
        <v>233</v>
      </c>
      <c r="Q29" s="60">
        <v>325</v>
      </c>
      <c r="R29" s="60">
        <v>427</v>
      </c>
      <c r="S29" s="60">
        <v>211</v>
      </c>
      <c r="T29" s="60">
        <v>620</v>
      </c>
      <c r="U29" s="60">
        <v>558</v>
      </c>
      <c r="V29" s="60">
        <v>153</v>
      </c>
      <c r="W29" s="60">
        <v>337</v>
      </c>
      <c r="X29" s="60">
        <v>237</v>
      </c>
      <c r="Y29" s="60">
        <v>435</v>
      </c>
      <c r="Z29" s="60">
        <v>407</v>
      </c>
      <c r="AA29" s="66">
        <f t="shared" si="0"/>
        <v>368.22727272727275</v>
      </c>
      <c r="AB29" s="103">
        <f t="shared" si="1"/>
        <v>1406</v>
      </c>
      <c r="AC29" s="66"/>
      <c r="AD29" s="66">
        <f>4*'Chosen Total Requirements'!E15</f>
        <v>10800</v>
      </c>
      <c r="AE29" s="66">
        <f>SUM('BVAD Values'!$L$7/100*E29,'BVAD Values'!$L$8/100*F29,'BVAD Values'!$L$9/100*G29,'BVAD Values'!$L$10/100*H29,'BVAD Values'!$L$12/100*J29,'BVAD Values'!$L$13/100*K29,'BVAD Values'!$L$14/100*L29,'BVAD Values'!$L$15/100*M29,'BVAD Values'!$L$16/100*N29,'BVAD Values'!$L$17/100*O29,'BVAD Values'!$L$18/100*P29,'BVAD Values'!$L$19/100*Q29,'BVAD Values'!$L$20/100*R29,'BVAD Values'!$L$21/100*S29,'BVAD Values'!$L$22/100*T29,'BVAD Values'!$L$23/100*U29,'BVAD Values'!$L$24/100*V29,'BVAD Values'!$L$26/100*X29,'BVAD Values'!$L$27/100*Y29,'BVAD Values'!$L$28/100*Z29)</f>
        <v>15952.995199999999</v>
      </c>
    </row>
    <row r="30" spans="3:31" x14ac:dyDescent="0.25">
      <c r="C30" s="66" t="s">
        <v>138</v>
      </c>
      <c r="D30" s="62" t="s">
        <v>197</v>
      </c>
      <c r="E30" s="62">
        <v>18</v>
      </c>
      <c r="F30" s="60">
        <v>69</v>
      </c>
      <c r="G30" s="60">
        <v>213</v>
      </c>
      <c r="H30" s="60">
        <v>80</v>
      </c>
      <c r="I30" s="60">
        <v>24</v>
      </c>
      <c r="J30" s="60">
        <v>15</v>
      </c>
      <c r="K30" s="60">
        <v>28</v>
      </c>
      <c r="L30" s="60">
        <v>4</v>
      </c>
      <c r="M30" s="60">
        <v>5</v>
      </c>
      <c r="N30" s="60">
        <v>18</v>
      </c>
      <c r="O30" s="60">
        <v>3</v>
      </c>
      <c r="P30" s="60">
        <v>39</v>
      </c>
      <c r="Q30" s="60">
        <v>78</v>
      </c>
      <c r="R30" s="60">
        <v>7</v>
      </c>
      <c r="S30" s="60">
        <v>6</v>
      </c>
      <c r="T30" s="60">
        <v>15</v>
      </c>
      <c r="U30" s="60">
        <v>79</v>
      </c>
      <c r="V30" s="60">
        <v>1</v>
      </c>
      <c r="W30" s="60">
        <v>55</v>
      </c>
      <c r="X30" s="60">
        <v>5</v>
      </c>
      <c r="Y30" s="60">
        <v>2</v>
      </c>
      <c r="Z30" s="60">
        <v>16</v>
      </c>
      <c r="AA30" s="66">
        <f t="shared" si="0"/>
        <v>35.454545454545453</v>
      </c>
      <c r="AB30" s="103">
        <f t="shared" si="1"/>
        <v>213</v>
      </c>
      <c r="AC30" s="66"/>
      <c r="AD30" s="66">
        <f>4*'Chosen Total Requirements'!E16</f>
        <v>14000</v>
      </c>
      <c r="AE30" s="66">
        <f>SUM('BVAD Values'!$L$7/100*E30,'BVAD Values'!$L$8/100*F30,'BVAD Values'!$L$9/100*G30,'BVAD Values'!$L$10/100*H30,'BVAD Values'!$L$12/100*J30,'BVAD Values'!$L$13/100*K30,'BVAD Values'!$L$14/100*L30,'BVAD Values'!$L$15/100*M30,'BVAD Values'!$L$16/100*N30,'BVAD Values'!$L$17/100*O30,'BVAD Values'!$L$18/100*P30,'BVAD Values'!$L$19/100*Q30,'BVAD Values'!$L$20/100*R30,'BVAD Values'!$L$21/100*S30,'BVAD Values'!$L$22/100*T30,'BVAD Values'!$L$23/100*U30,'BVAD Values'!$L$24/100*V30,'BVAD Values'!$L$26/100*X30,'BVAD Values'!$L$27/100*Y30,'BVAD Values'!$L$28/100*Z30)</f>
        <v>2195.5076000000008</v>
      </c>
    </row>
    <row r="31" spans="3:31" x14ac:dyDescent="0.25">
      <c r="C31" s="66" t="s">
        <v>110</v>
      </c>
      <c r="D31" s="62" t="s">
        <v>197</v>
      </c>
      <c r="E31" s="62">
        <v>0.18</v>
      </c>
      <c r="F31" s="60">
        <v>0.24</v>
      </c>
      <c r="G31" s="60">
        <v>0.36</v>
      </c>
      <c r="H31" s="60">
        <v>0.13</v>
      </c>
      <c r="I31" s="60">
        <v>2.79</v>
      </c>
      <c r="J31" s="60">
        <v>0.2</v>
      </c>
      <c r="K31" s="60">
        <v>0.18</v>
      </c>
      <c r="L31" s="60">
        <v>0.17</v>
      </c>
      <c r="M31" s="60">
        <v>1.24</v>
      </c>
      <c r="N31" s="60">
        <v>3.27</v>
      </c>
      <c r="O31" s="60">
        <v>0.13</v>
      </c>
      <c r="P31" s="60">
        <v>0.28000000000000003</v>
      </c>
      <c r="Q31" s="60">
        <v>0.35</v>
      </c>
      <c r="R31" s="60">
        <v>5.96</v>
      </c>
      <c r="S31" s="60">
        <v>0.24</v>
      </c>
      <c r="T31" s="60">
        <v>0.99</v>
      </c>
      <c r="U31" s="60">
        <v>0.53</v>
      </c>
      <c r="V31" s="60">
        <v>0.14000000000000001</v>
      </c>
      <c r="W31" s="60">
        <v>0.3</v>
      </c>
      <c r="X31" s="60">
        <v>0.17</v>
      </c>
      <c r="Y31" s="60">
        <v>3.46</v>
      </c>
      <c r="Z31" s="60">
        <v>0.28999999999999998</v>
      </c>
      <c r="AA31" s="66">
        <f t="shared" si="0"/>
        <v>0.98181818181818203</v>
      </c>
      <c r="AB31" s="103">
        <f t="shared" si="1"/>
        <v>5.96</v>
      </c>
      <c r="AC31" s="66"/>
      <c r="AD31" s="66">
        <f>4*'Chosen Total Requirements'!E17</f>
        <v>60</v>
      </c>
      <c r="AE31" s="66">
        <f>SUM('BVAD Values'!$L$7/100*E31,'BVAD Values'!$L$8/100*F31,'BVAD Values'!$L$9/100*G31,'BVAD Values'!$L$10/100*H31,'BVAD Values'!$L$12/100*J31,'BVAD Values'!$L$13/100*K31,'BVAD Values'!$L$14/100*L31,'BVAD Values'!$L$15/100*M31,'BVAD Values'!$L$16/100*N31,'BVAD Values'!$L$17/100*O31,'BVAD Values'!$L$18/100*P31,'BVAD Values'!$L$19/100*Q31,'BVAD Values'!$L$20/100*R31,'BVAD Values'!$L$21/100*S31,'BVAD Values'!$L$22/100*T31,'BVAD Values'!$L$23/100*U31,'BVAD Values'!$L$24/100*V31,'BVAD Values'!$L$26/100*X31,'BVAD Values'!$L$27/100*Y31,'BVAD Values'!$L$28/100*Z31)</f>
        <v>20.532975999999998</v>
      </c>
    </row>
    <row r="32" spans="3:31" x14ac:dyDescent="0.25">
      <c r="C32" s="66" t="s">
        <v>108</v>
      </c>
      <c r="D32" s="62" t="s">
        <v>197</v>
      </c>
      <c r="E32" s="62">
        <v>1.9E-2</v>
      </c>
      <c r="F32" s="60">
        <v>4.4999999999999998E-2</v>
      </c>
      <c r="G32" s="60">
        <v>0.17899999999999999</v>
      </c>
      <c r="H32" s="60">
        <v>3.5000000000000003E-2</v>
      </c>
      <c r="I32" s="60">
        <v>0.95799999999999996</v>
      </c>
      <c r="J32" s="60">
        <v>3.1E-2</v>
      </c>
      <c r="K32" s="60">
        <v>2.9000000000000001E-2</v>
      </c>
      <c r="L32" s="60">
        <v>3.9E-2</v>
      </c>
      <c r="M32" s="60">
        <v>0.17599999999999999</v>
      </c>
      <c r="N32" s="60">
        <v>1.1439999999999999</v>
      </c>
      <c r="O32" s="60">
        <v>6.6000000000000003E-2</v>
      </c>
      <c r="P32" s="60">
        <v>0.05</v>
      </c>
      <c r="Q32" s="60">
        <v>7.4999999999999997E-2</v>
      </c>
      <c r="R32" s="60">
        <v>0.52400000000000002</v>
      </c>
      <c r="S32" s="60">
        <v>6.9000000000000006E-2</v>
      </c>
      <c r="T32" s="60">
        <v>0.128</v>
      </c>
      <c r="U32" s="60">
        <v>0.13</v>
      </c>
      <c r="V32" s="60">
        <v>4.8000000000000001E-2</v>
      </c>
      <c r="W32" s="60">
        <v>0.151</v>
      </c>
      <c r="X32" s="60">
        <v>5.8999999999999997E-2</v>
      </c>
      <c r="Y32" s="60">
        <v>0.42599999999999999</v>
      </c>
      <c r="Z32" s="60">
        <v>0.11600000000000001</v>
      </c>
      <c r="AA32" s="66">
        <f t="shared" si="0"/>
        <v>0.20440909090909087</v>
      </c>
      <c r="AB32" s="103">
        <f t="shared" si="1"/>
        <v>1.1439999999999999</v>
      </c>
      <c r="AC32" s="66"/>
      <c r="AD32" s="66">
        <f>4*'Chosen Total Requirements'!E18</f>
        <v>20</v>
      </c>
      <c r="AE32" s="66">
        <f>SUM('BVAD Values'!$L$7/100*E32,'BVAD Values'!$L$8/100*F32,'BVAD Values'!$L$9/100*G32,'BVAD Values'!$L$10/100*H32,'BVAD Values'!$L$12/100*J32,'BVAD Values'!$L$13/100*K32,'BVAD Values'!$L$14/100*L32,'BVAD Values'!$L$15/100*M32,'BVAD Values'!$L$16/100*N32,'BVAD Values'!$L$17/100*O32,'BVAD Values'!$L$18/100*P32,'BVAD Values'!$L$19/100*Q32,'BVAD Values'!$L$20/100*R32,'BVAD Values'!$L$21/100*S32,'BVAD Values'!$L$22/100*T32,'BVAD Values'!$L$23/100*U32,'BVAD Values'!$L$24/100*V32,'BVAD Values'!$L$26/100*X32,'BVAD Values'!$L$27/100*Y32,'BVAD Values'!$L$28/100*Z32)</f>
        <v>4.8519844000000001</v>
      </c>
    </row>
    <row r="33" spans="3:31" x14ac:dyDescent="0.25">
      <c r="C33" s="66" t="s">
        <v>109</v>
      </c>
      <c r="D33" s="62" t="s">
        <v>197</v>
      </c>
      <c r="E33" s="62">
        <v>0.16</v>
      </c>
      <c r="F33" s="60">
        <v>0.14299999999999999</v>
      </c>
      <c r="G33" s="60">
        <v>0.36599999999999999</v>
      </c>
      <c r="H33" s="60">
        <v>0.10299999999999999</v>
      </c>
      <c r="I33" s="60">
        <v>1.0209999999999999</v>
      </c>
      <c r="J33" s="60">
        <v>0.15</v>
      </c>
      <c r="K33" s="60">
        <v>0.25</v>
      </c>
      <c r="L33" s="60">
        <v>0.129</v>
      </c>
      <c r="M33" s="60">
        <v>0.41</v>
      </c>
      <c r="N33" s="60">
        <v>1.9339999999999999</v>
      </c>
      <c r="O33" s="60">
        <v>0.122</v>
      </c>
      <c r="P33" s="60">
        <v>6.9000000000000006E-2</v>
      </c>
      <c r="Q33" s="60">
        <v>0.32900000000000001</v>
      </c>
      <c r="R33" s="60">
        <v>1.329</v>
      </c>
      <c r="S33" s="60">
        <v>0.216</v>
      </c>
      <c r="T33" s="60">
        <v>0.54700000000000004</v>
      </c>
      <c r="U33" s="60">
        <v>0.89700000000000002</v>
      </c>
      <c r="V33" s="60">
        <v>0.38600000000000001</v>
      </c>
      <c r="W33" s="60">
        <v>0.25800000000000001</v>
      </c>
      <c r="X33" s="60">
        <v>0.114</v>
      </c>
      <c r="Y33" s="60">
        <v>3.4060000000000001</v>
      </c>
      <c r="Z33" s="60">
        <v>0.14499999999999999</v>
      </c>
      <c r="AA33" s="66">
        <f t="shared" si="0"/>
        <v>0.56745454545454543</v>
      </c>
      <c r="AB33" s="103">
        <f t="shared" si="1"/>
        <v>3.4060000000000001</v>
      </c>
      <c r="AC33" s="66"/>
      <c r="AD33" s="66">
        <f>4*'Chosen Total Requirements'!E19</f>
        <v>20</v>
      </c>
      <c r="AE33" s="66">
        <f>SUM('BVAD Values'!$L$7/100*E33,'BVAD Values'!$L$8/100*F33,'BVAD Values'!$L$9/100*G33,'BVAD Values'!$L$10/100*H33,'BVAD Values'!$L$12/100*J33,'BVAD Values'!$L$13/100*K33,'BVAD Values'!$L$14/100*L33,'BVAD Values'!$L$15/100*M33,'BVAD Values'!$L$16/100*N33,'BVAD Values'!$L$17/100*O33,'BVAD Values'!$L$18/100*P33,'BVAD Values'!$L$19/100*Q33,'BVAD Values'!$L$20/100*R33,'BVAD Values'!$L$21/100*S33,'BVAD Values'!$L$22/100*T33,'BVAD Values'!$L$23/100*U33,'BVAD Values'!$L$24/100*V33,'BVAD Values'!$L$26/100*X33,'BVAD Values'!$L$27/100*Y33,'BVAD Values'!$L$28/100*Z33)</f>
        <v>17.2102328</v>
      </c>
    </row>
    <row r="34" spans="3:31" x14ac:dyDescent="0.25">
      <c r="C34" s="66" t="s">
        <v>139</v>
      </c>
      <c r="D34" s="62" t="s">
        <v>198</v>
      </c>
      <c r="E34" s="62">
        <v>0.3</v>
      </c>
      <c r="F34" s="60">
        <v>0.1</v>
      </c>
      <c r="G34" s="60">
        <v>0.9</v>
      </c>
      <c r="H34" s="60">
        <v>0.04</v>
      </c>
      <c r="I34" s="60">
        <v>3.2</v>
      </c>
      <c r="J34" s="60">
        <v>0.5</v>
      </c>
      <c r="K34" s="60">
        <v>0.6</v>
      </c>
      <c r="L34" s="60">
        <v>0.5</v>
      </c>
      <c r="M34" s="60">
        <v>1.8</v>
      </c>
      <c r="N34" s="60">
        <v>7.2</v>
      </c>
      <c r="O34" s="60">
        <v>0</v>
      </c>
      <c r="P34" s="60">
        <v>0.6</v>
      </c>
      <c r="Q34" s="60">
        <v>0.7</v>
      </c>
      <c r="R34" s="60">
        <v>2.8</v>
      </c>
      <c r="S34" s="60">
        <v>0.6</v>
      </c>
      <c r="T34" s="60">
        <v>1.5</v>
      </c>
      <c r="U34" s="60">
        <v>1</v>
      </c>
      <c r="V34" s="60">
        <v>0.4</v>
      </c>
      <c r="W34" s="60">
        <v>0.6</v>
      </c>
      <c r="X34" s="60">
        <v>0</v>
      </c>
      <c r="Y34" s="60"/>
      <c r="Z34" s="60">
        <v>0.3</v>
      </c>
      <c r="AA34" s="66">
        <f t="shared" si="0"/>
        <v>1.1257142857142859</v>
      </c>
      <c r="AB34" s="103">
        <f t="shared" si="1"/>
        <v>7.2</v>
      </c>
      <c r="AC34" s="66"/>
      <c r="AD34" s="66">
        <f>4*'Chosen Total Requirements'!E20</f>
        <v>136</v>
      </c>
      <c r="AE34" s="66">
        <f>SUM('BVAD Values'!$L$7/100*E34,'BVAD Values'!$L$8/100*F34,'BVAD Values'!$L$9/100*G34,'BVAD Values'!$L$10/100*H34,'BVAD Values'!$L$12/100*J34,'BVAD Values'!$L$13/100*K34,'BVAD Values'!$L$14/100*L34,'BVAD Values'!$L$15/100*M34,'BVAD Values'!$L$16/100*N34,'BVAD Values'!$L$17/100*O34,'BVAD Values'!$L$18/100*P34,'BVAD Values'!$L$19/100*Q34,'BVAD Values'!$L$20/100*R34,'BVAD Values'!$L$21/100*S34,'BVAD Values'!$L$22/100*T34,'BVAD Values'!$L$23/100*U34,'BVAD Values'!$L$24/100*V34,'BVAD Values'!$L$26/100*X34,'BVAD Values'!$L$27/100*Y34,'BVAD Values'!$L$28/100*Z34)</f>
        <v>27.196152000000001</v>
      </c>
    </row>
    <row r="35" spans="3:31" x14ac:dyDescent="0.25">
      <c r="C35" s="66" t="s">
        <v>117</v>
      </c>
      <c r="D35" s="62" t="s">
        <v>198</v>
      </c>
      <c r="E35" s="62">
        <v>1</v>
      </c>
      <c r="F35" s="60">
        <v>3.2</v>
      </c>
      <c r="G35" s="60"/>
      <c r="H35" s="60">
        <v>4</v>
      </c>
      <c r="I35" s="60"/>
      <c r="J35" s="60"/>
      <c r="K35" s="60"/>
      <c r="L35" s="60">
        <v>1.1000000000000001</v>
      </c>
      <c r="M35" s="60"/>
      <c r="N35" s="60"/>
      <c r="O35" s="75">
        <v>2</v>
      </c>
      <c r="P35" s="60">
        <v>6</v>
      </c>
      <c r="Q35" s="60"/>
      <c r="R35" s="60"/>
      <c r="S35" s="60">
        <v>19</v>
      </c>
      <c r="T35" s="60"/>
      <c r="U35" s="60"/>
      <c r="V35" s="60">
        <v>4.4000000000000004</v>
      </c>
      <c r="W35" s="60"/>
      <c r="X35" s="60">
        <v>2.2999999999999998</v>
      </c>
      <c r="Y35" s="60"/>
      <c r="Z35" s="60"/>
      <c r="AA35" s="66">
        <f t="shared" si="0"/>
        <v>4.7777777777777768</v>
      </c>
      <c r="AB35" s="103">
        <f t="shared" si="1"/>
        <v>19</v>
      </c>
      <c r="AC35" s="66"/>
      <c r="AD35" s="66">
        <f>4*'Chosen Total Requirements'!E21</f>
        <v>4000</v>
      </c>
      <c r="AE35" s="66">
        <f>SUM('BVAD Values'!$L$7/100*E35,'BVAD Values'!$L$8/100*F35,'BVAD Values'!$L$9/100*G35,'BVAD Values'!$L$10/100*H35,'BVAD Values'!$L$12/100*J35,'BVAD Values'!$L$13/100*K35,'BVAD Values'!$L$14/100*L35,'BVAD Values'!$L$15/100*M35,'BVAD Values'!$L$16/100*N35,'BVAD Values'!$L$17/100*O35,'BVAD Values'!$L$18/100*P35,'BVAD Values'!$L$19/100*Q35,'BVAD Values'!$L$20/100*R35,'BVAD Values'!$L$21/100*S35,'BVAD Values'!$L$22/100*T35,'BVAD Values'!$L$23/100*U35,'BVAD Values'!$L$24/100*V35,'BVAD Values'!$L$26/100*X35,'BVAD Values'!$L$27/100*Y35,'BVAD Values'!$L$28/100*Z35)</f>
        <v>209.20152000000002</v>
      </c>
    </row>
    <row r="36" spans="3:31" x14ac:dyDescent="0.25">
      <c r="C36" s="68" t="s">
        <v>140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90"/>
      <c r="AB36" s="101"/>
      <c r="AC36" s="90"/>
      <c r="AD36" s="90"/>
      <c r="AE36" s="90"/>
    </row>
    <row r="37" spans="3:31" x14ac:dyDescent="0.25">
      <c r="C37" s="66" t="s">
        <v>143</v>
      </c>
      <c r="D37" s="60" t="s">
        <v>197</v>
      </c>
      <c r="E37" s="60">
        <v>36.6</v>
      </c>
      <c r="F37" s="60">
        <v>5.9</v>
      </c>
      <c r="G37" s="60">
        <v>30</v>
      </c>
      <c r="H37" s="60">
        <v>3.1</v>
      </c>
      <c r="I37" s="60">
        <v>4.5</v>
      </c>
      <c r="J37" s="60">
        <v>13.4</v>
      </c>
      <c r="K37" s="60">
        <v>9.1999999999999993</v>
      </c>
      <c r="L37" s="60">
        <v>7.4</v>
      </c>
      <c r="M37" s="60">
        <v>40</v>
      </c>
      <c r="N37" s="60">
        <v>0</v>
      </c>
      <c r="O37" s="60">
        <v>80.400000000000006</v>
      </c>
      <c r="P37" s="60">
        <v>14.8</v>
      </c>
      <c r="Q37" s="60">
        <v>4.9000000000000004</v>
      </c>
      <c r="R37" s="60">
        <v>0</v>
      </c>
      <c r="S37" s="60">
        <v>12.2</v>
      </c>
      <c r="T37" s="60">
        <v>29</v>
      </c>
      <c r="U37" s="60">
        <v>28.1</v>
      </c>
      <c r="V37" s="60">
        <v>58.8</v>
      </c>
      <c r="W37" s="60">
        <v>2.4</v>
      </c>
      <c r="X37" s="60">
        <v>13.7</v>
      </c>
      <c r="Y37" s="60">
        <v>0</v>
      </c>
      <c r="Z37" s="60">
        <v>9.1</v>
      </c>
      <c r="AA37" s="66">
        <f t="shared" si="0"/>
        <v>18.340909090909093</v>
      </c>
      <c r="AB37" s="103">
        <f t="shared" si="1"/>
        <v>80.400000000000006</v>
      </c>
      <c r="AC37" s="66"/>
      <c r="AD37" s="66">
        <f>4*'Chosen Total Requirements'!E23</f>
        <v>300</v>
      </c>
      <c r="AE37" s="66">
        <f>SUM('BVAD Values'!$L$7/100*E37,'BVAD Values'!$L$8/100*F37,'BVAD Values'!$L$9/100*G37,'BVAD Values'!$L$10/100*H37,'BVAD Values'!$L$12/100*J37,'BVAD Values'!$L$13/100*K37,'BVAD Values'!$L$14/100*L37,'BVAD Values'!$L$15/100*M37,'BVAD Values'!$L$16/100*N37,'BVAD Values'!$L$17/100*O37,'BVAD Values'!$L$18/100*P37,'BVAD Values'!$L$19/100*Q37,'BVAD Values'!$L$20/100*R37,'BVAD Values'!$L$21/100*S37,'BVAD Values'!$L$22/100*T37,'BVAD Values'!$L$23/100*U37,'BVAD Values'!$L$24/100*V37,'BVAD Values'!$L$26/100*X37,'BVAD Values'!$L$27/100*Y37,'BVAD Values'!$L$28/100*Z37)</f>
        <v>1400.8337199999996</v>
      </c>
    </row>
    <row r="38" spans="3:31" x14ac:dyDescent="0.25">
      <c r="C38" s="66" t="s">
        <v>142</v>
      </c>
      <c r="D38" s="60" t="s">
        <v>197</v>
      </c>
      <c r="E38" s="60">
        <v>6.0999999999999999E-2</v>
      </c>
      <c r="F38" s="60">
        <v>6.6000000000000003E-2</v>
      </c>
      <c r="G38" s="60">
        <v>0.04</v>
      </c>
      <c r="H38" s="60">
        <v>2.1000000000000001E-2</v>
      </c>
      <c r="I38" s="60">
        <v>0.52900000000000003</v>
      </c>
      <c r="J38" s="60">
        <v>0.03</v>
      </c>
      <c r="K38" s="60">
        <v>7.0000000000000007E-2</v>
      </c>
      <c r="L38" s="60">
        <v>4.5999999999999999E-2</v>
      </c>
      <c r="M38" s="60">
        <v>0.26600000000000001</v>
      </c>
      <c r="N38" s="60">
        <v>0.64</v>
      </c>
      <c r="O38" s="60">
        <v>5.7000000000000002E-2</v>
      </c>
      <c r="P38" s="60">
        <v>1.2E-2</v>
      </c>
      <c r="Q38" s="60">
        <v>3.1E-2</v>
      </c>
      <c r="R38" s="60">
        <v>0.115</v>
      </c>
      <c r="S38" s="60">
        <v>8.2000000000000003E-2</v>
      </c>
      <c r="T38" s="60">
        <v>0.435</v>
      </c>
      <c r="U38" s="60">
        <v>7.8E-2</v>
      </c>
      <c r="V38" s="60">
        <v>2.4E-2</v>
      </c>
      <c r="W38" s="60">
        <v>7.8E-2</v>
      </c>
      <c r="X38" s="60">
        <v>3.6999999999999998E-2</v>
      </c>
      <c r="Y38" s="60">
        <v>0.41</v>
      </c>
      <c r="Z38" s="60">
        <v>7.0999999999999994E-2</v>
      </c>
      <c r="AA38" s="66">
        <f t="shared" si="0"/>
        <v>0.1454090909090909</v>
      </c>
      <c r="AB38" s="103">
        <f t="shared" si="1"/>
        <v>0.64</v>
      </c>
      <c r="AC38" s="66"/>
      <c r="AD38" s="66">
        <f>4*'Chosen Total Requirements'!E24</f>
        <v>4.8</v>
      </c>
      <c r="AE38" s="66">
        <f>SUM('BVAD Values'!$L$7/100*E38,'BVAD Values'!$L$8/100*F38,'BVAD Values'!$L$9/100*G38,'BVAD Values'!$L$10/100*H38,'BVAD Values'!$L$12/100*J38,'BVAD Values'!$L$13/100*K38,'BVAD Values'!$L$14/100*L38,'BVAD Values'!$L$15/100*M38,'BVAD Values'!$L$16/100*N38,'BVAD Values'!$L$17/100*O38,'BVAD Values'!$L$18/100*P38,'BVAD Values'!$L$19/100*Q38,'BVAD Values'!$L$20/100*R38,'BVAD Values'!$L$21/100*S38,'BVAD Values'!$L$22/100*T38,'BVAD Values'!$L$23/100*U38,'BVAD Values'!$L$24/100*V38,'BVAD Values'!$L$26/100*X38,'BVAD Values'!$L$27/100*Y38,'BVAD Values'!$L$28/100*Z38)</f>
        <v>3.8127028000000003</v>
      </c>
    </row>
    <row r="39" spans="3:31" x14ac:dyDescent="0.25">
      <c r="C39" s="66" t="s">
        <v>179</v>
      </c>
      <c r="D39" s="60" t="s">
        <v>197</v>
      </c>
      <c r="E39" s="60">
        <v>0.04</v>
      </c>
      <c r="F39" s="60">
        <v>5.8000000000000003E-2</v>
      </c>
      <c r="G39" s="60">
        <v>0.09</v>
      </c>
      <c r="H39" s="60">
        <v>5.7000000000000002E-2</v>
      </c>
      <c r="I39" s="60">
        <v>0.219</v>
      </c>
      <c r="J39" s="60">
        <v>2.5999999999999999E-2</v>
      </c>
      <c r="K39" s="60">
        <v>0.08</v>
      </c>
      <c r="L39" s="60">
        <v>2.7E-2</v>
      </c>
      <c r="M39" s="60">
        <v>0.13200000000000001</v>
      </c>
      <c r="N39" s="60">
        <v>0.13500000000000001</v>
      </c>
      <c r="O39" s="60">
        <v>2.8000000000000001E-2</v>
      </c>
      <c r="P39" s="60">
        <v>3.9E-2</v>
      </c>
      <c r="Q39" s="60">
        <v>0.04</v>
      </c>
      <c r="R39" s="60">
        <v>0.16200000000000001</v>
      </c>
      <c r="S39" s="60">
        <v>0.104</v>
      </c>
      <c r="T39" s="60">
        <v>0.17499999999999999</v>
      </c>
      <c r="U39" s="60">
        <v>0.189</v>
      </c>
      <c r="V39" s="60">
        <v>2.1999999999999999E-2</v>
      </c>
      <c r="W39" s="60">
        <v>6.0999999999999999E-2</v>
      </c>
      <c r="X39" s="60">
        <v>1.9E-2</v>
      </c>
      <c r="Y39" s="60">
        <v>0.107</v>
      </c>
      <c r="Z39" s="60">
        <v>3.4000000000000002E-2</v>
      </c>
      <c r="AA39" s="66">
        <f t="shared" si="0"/>
        <v>8.3818181818181819E-2</v>
      </c>
      <c r="AB39" s="103">
        <f t="shared" si="1"/>
        <v>0.219</v>
      </c>
      <c r="AC39" s="66"/>
      <c r="AD39" s="66">
        <f>4*'Chosen Total Requirements'!E25</f>
        <v>5.2</v>
      </c>
      <c r="AE39" s="66">
        <f>SUM('BVAD Values'!$L$7/100*E39,'BVAD Values'!$L$8/100*F39,'BVAD Values'!$L$9/100*G39,'BVAD Values'!$L$10/100*H39,'BVAD Values'!$L$12/100*J39,'BVAD Values'!$L$13/100*K39,'BVAD Values'!$L$14/100*L39,'BVAD Values'!$L$15/100*M39,'BVAD Values'!$L$16/100*N39,'BVAD Values'!$L$17/100*O39,'BVAD Values'!$L$18/100*P39,'BVAD Values'!$L$19/100*Q39,'BVAD Values'!$L$20/100*R39,'BVAD Values'!$L$21/100*S39,'BVAD Values'!$L$22/100*T39,'BVAD Values'!$L$23/100*U39,'BVAD Values'!$L$24/100*V39,'BVAD Values'!$L$26/100*X39,'BVAD Values'!$L$27/100*Y39,'BVAD Values'!$L$28/100*Z39)</f>
        <v>3.6209471999999994</v>
      </c>
    </row>
    <row r="40" spans="3:31" x14ac:dyDescent="0.25">
      <c r="C40" s="66" t="s">
        <v>76</v>
      </c>
      <c r="D40" s="60" t="s">
        <v>197</v>
      </c>
      <c r="E40" s="60">
        <v>0.23400000000000001</v>
      </c>
      <c r="F40" s="60">
        <v>0.98299999999999998</v>
      </c>
      <c r="G40" s="60">
        <v>0.4</v>
      </c>
      <c r="H40" s="60">
        <v>0.32</v>
      </c>
      <c r="I40" s="60">
        <v>20.059999999999999</v>
      </c>
      <c r="J40" s="60">
        <v>0.33</v>
      </c>
      <c r="K40" s="60">
        <v>0.375</v>
      </c>
      <c r="L40" s="60">
        <v>0.11600000000000001</v>
      </c>
      <c r="M40" s="60">
        <v>2.09</v>
      </c>
      <c r="N40" s="60">
        <v>12.066000000000001</v>
      </c>
      <c r="O40" s="60">
        <v>0.48</v>
      </c>
      <c r="P40" s="60">
        <v>0.254</v>
      </c>
      <c r="Q40" s="60">
        <v>0.33400000000000002</v>
      </c>
      <c r="R40" s="60">
        <v>6.7329999999999997</v>
      </c>
      <c r="S40" s="60">
        <v>0.73399999999999999</v>
      </c>
      <c r="T40" s="60">
        <v>1.65</v>
      </c>
      <c r="U40" s="60">
        <v>0.72399999999999998</v>
      </c>
      <c r="V40" s="60">
        <v>0.38600000000000001</v>
      </c>
      <c r="W40" s="60">
        <v>0.55700000000000005</v>
      </c>
      <c r="X40" s="60">
        <v>0.59399999999999997</v>
      </c>
      <c r="Y40" s="60">
        <v>4.766</v>
      </c>
      <c r="Z40" s="60">
        <v>1.0660000000000001</v>
      </c>
      <c r="AA40" s="66">
        <f t="shared" si="0"/>
        <v>2.5114545454545452</v>
      </c>
      <c r="AB40" s="103">
        <f t="shared" si="1"/>
        <v>20.059999999999999</v>
      </c>
      <c r="AC40" s="66"/>
      <c r="AD40" s="66">
        <f>4*'Chosen Total Requirements'!E26</f>
        <v>80</v>
      </c>
      <c r="AE40" s="66">
        <f>SUM('BVAD Values'!$L$7/100*E40,'BVAD Values'!$L$8/100*F40,'BVAD Values'!$L$9/100*G40,'BVAD Values'!$L$10/100*H40,'BVAD Values'!$L$12/100*J40,'BVAD Values'!$L$13/100*K40,'BVAD Values'!$L$14/100*L40,'BVAD Values'!$L$15/100*M40,'BVAD Values'!$L$16/100*N40,'BVAD Values'!$L$17/100*O40,'BVAD Values'!$L$18/100*P40,'BVAD Values'!$L$19/100*Q40,'BVAD Values'!$L$20/100*R40,'BVAD Values'!$L$21/100*S40,'BVAD Values'!$L$22/100*T40,'BVAD Values'!$L$23/100*U40,'BVAD Values'!$L$24/100*V40,'BVAD Values'!$L$26/100*X40,'BVAD Values'!$L$27/100*Y40,'BVAD Values'!$L$28/100*Z40)</f>
        <v>41.762072000000003</v>
      </c>
    </row>
    <row r="41" spans="3:31" x14ac:dyDescent="0.25">
      <c r="C41" s="66" t="s">
        <v>199</v>
      </c>
      <c r="D41" s="60" t="s">
        <v>197</v>
      </c>
      <c r="E41" s="60">
        <v>0.21199999999999999</v>
      </c>
      <c r="F41" s="60">
        <v>0.27300000000000002</v>
      </c>
      <c r="G41" s="60">
        <v>0.17199999999999999</v>
      </c>
      <c r="H41" s="60">
        <v>0.246</v>
      </c>
      <c r="I41" s="60">
        <v>0.78</v>
      </c>
      <c r="J41" s="60">
        <v>0.13800000000000001</v>
      </c>
      <c r="K41" s="60">
        <v>0.13400000000000001</v>
      </c>
      <c r="L41" s="60">
        <v>0.123</v>
      </c>
      <c r="M41" s="60">
        <v>0.104</v>
      </c>
      <c r="N41" s="60">
        <v>1.7669999999999999</v>
      </c>
      <c r="O41" s="60">
        <v>9.9000000000000005E-2</v>
      </c>
      <c r="P41" s="60">
        <v>0.16500000000000001</v>
      </c>
      <c r="Q41" s="60">
        <v>0.155</v>
      </c>
      <c r="R41" s="60">
        <v>1.0740000000000001</v>
      </c>
      <c r="S41" s="60">
        <v>0.22500000000000001</v>
      </c>
      <c r="T41" s="60">
        <v>0.14699999999999999</v>
      </c>
      <c r="U41" s="60">
        <v>6.5000000000000002E-2</v>
      </c>
      <c r="V41" s="60">
        <v>0.125</v>
      </c>
      <c r="W41" s="60">
        <v>0.8</v>
      </c>
      <c r="X41" s="60">
        <v>8.8999999999999996E-2</v>
      </c>
      <c r="Y41" s="60">
        <v>0.85</v>
      </c>
      <c r="Z41" s="60">
        <v>0.28100000000000003</v>
      </c>
      <c r="AA41" s="66">
        <f t="shared" si="0"/>
        <v>0.36472727272727279</v>
      </c>
      <c r="AB41" s="103">
        <f t="shared" si="1"/>
        <v>1.7669999999999999</v>
      </c>
      <c r="AC41" s="66"/>
      <c r="AD41" s="66">
        <f>4*'Chosen Total Requirements'!E27</f>
        <v>32</v>
      </c>
      <c r="AE41" s="66">
        <f>SUM('BVAD Values'!$L$7/100*E41,'BVAD Values'!$L$8/100*F41,'BVAD Values'!$L$9/100*G41,'BVAD Values'!$L$10/100*H41,'BVAD Values'!$L$12/100*J41,'BVAD Values'!$L$13/100*K41,'BVAD Values'!$L$14/100*L41,'BVAD Values'!$L$15/100*M41,'BVAD Values'!$L$16/100*N41,'BVAD Values'!$L$17/100*O41,'BVAD Values'!$L$18/100*P41,'BVAD Values'!$L$19/100*Q41,'BVAD Values'!$L$20/100*R41,'BVAD Values'!$L$21/100*S41,'BVAD Values'!$L$22/100*T41,'BVAD Values'!$L$23/100*U41,'BVAD Values'!$L$24/100*V41,'BVAD Values'!$L$26/100*X41,'BVAD Values'!$L$27/100*Y41,'BVAD Values'!$L$28/100*Z41)</f>
        <v>11.476396399999999</v>
      </c>
    </row>
    <row r="42" spans="3:31" x14ac:dyDescent="0.25">
      <c r="C42" s="66" t="s">
        <v>200</v>
      </c>
      <c r="D42" s="60" t="s">
        <v>197</v>
      </c>
      <c r="E42" s="60">
        <v>0.124</v>
      </c>
      <c r="F42" s="60">
        <v>0.13800000000000001</v>
      </c>
      <c r="G42" s="60">
        <v>9.9000000000000005E-2</v>
      </c>
      <c r="H42" s="60">
        <v>7.3999999999999996E-2</v>
      </c>
      <c r="I42" s="60">
        <v>0.39700000000000002</v>
      </c>
      <c r="J42" s="60">
        <v>8.7999999999999995E-2</v>
      </c>
      <c r="K42" s="60">
        <v>0.09</v>
      </c>
      <c r="L42" s="60">
        <v>0.12</v>
      </c>
      <c r="M42" s="60">
        <v>0.16900000000000001</v>
      </c>
      <c r="N42" s="60">
        <v>0.34799999999999998</v>
      </c>
      <c r="O42" s="60">
        <v>0.224</v>
      </c>
      <c r="P42" s="60">
        <v>7.0999999999999994E-2</v>
      </c>
      <c r="Q42" s="60">
        <v>6.7000000000000004E-2</v>
      </c>
      <c r="R42" s="60">
        <v>0.39100000000000001</v>
      </c>
      <c r="S42" s="60">
        <v>0.14099999999999999</v>
      </c>
      <c r="T42" s="60">
        <v>6.5000000000000002E-2</v>
      </c>
      <c r="U42" s="60">
        <v>0.19500000000000001</v>
      </c>
      <c r="V42" s="60">
        <v>4.7E-2</v>
      </c>
      <c r="W42" s="60">
        <v>0.20899999999999999</v>
      </c>
      <c r="X42" s="60">
        <v>0.08</v>
      </c>
      <c r="Y42" s="60">
        <v>0.378</v>
      </c>
      <c r="Z42" s="60">
        <v>0.20300000000000001</v>
      </c>
      <c r="AA42" s="66">
        <f t="shared" si="0"/>
        <v>0.16900000000000001</v>
      </c>
      <c r="AB42" s="103">
        <f t="shared" si="1"/>
        <v>0.39700000000000002</v>
      </c>
      <c r="AC42" s="66"/>
      <c r="AD42" s="66">
        <f>4*'Chosen Total Requirements'!E28</f>
        <v>8</v>
      </c>
      <c r="AE42" s="66">
        <f>SUM('BVAD Values'!$L$7/100*E42,'BVAD Values'!$L$8/100*F42,'BVAD Values'!$L$9/100*G42,'BVAD Values'!$L$10/100*H42,'BVAD Values'!$L$12/100*J42,'BVAD Values'!$L$13/100*K42,'BVAD Values'!$L$14/100*L42,'BVAD Values'!$L$15/100*M42,'BVAD Values'!$L$16/100*N42,'BVAD Values'!$L$17/100*O42,'BVAD Values'!$L$18/100*P42,'BVAD Values'!$L$19/100*Q42,'BVAD Values'!$L$20/100*R42,'BVAD Values'!$L$21/100*S42,'BVAD Values'!$L$22/100*T42,'BVAD Values'!$L$23/100*U42,'BVAD Values'!$L$24/100*V42,'BVAD Values'!$L$26/100*X42,'BVAD Values'!$L$27/100*Y42,'BVAD Values'!$L$28/100*Z42)</f>
        <v>7.9282104000000011</v>
      </c>
    </row>
    <row r="43" spans="3:31" x14ac:dyDescent="0.25">
      <c r="C43" s="66" t="s">
        <v>201</v>
      </c>
      <c r="D43" s="60" t="s">
        <v>198</v>
      </c>
      <c r="E43" s="60">
        <v>43</v>
      </c>
      <c r="F43" s="60">
        <v>19</v>
      </c>
      <c r="G43" s="60">
        <v>14</v>
      </c>
      <c r="H43" s="60">
        <v>36</v>
      </c>
      <c r="I43" s="60">
        <v>394</v>
      </c>
      <c r="J43" s="60">
        <v>30</v>
      </c>
      <c r="K43" s="60">
        <v>38</v>
      </c>
      <c r="L43" s="60">
        <v>19</v>
      </c>
      <c r="M43" s="60">
        <v>65</v>
      </c>
      <c r="N43" s="60">
        <v>240</v>
      </c>
      <c r="O43" s="75">
        <v>10</v>
      </c>
      <c r="P43" s="60">
        <v>25</v>
      </c>
      <c r="Q43" s="60">
        <v>109</v>
      </c>
      <c r="R43" s="60">
        <v>95</v>
      </c>
      <c r="S43" s="60">
        <v>33</v>
      </c>
      <c r="T43" s="60">
        <v>165</v>
      </c>
      <c r="U43" s="60">
        <v>194</v>
      </c>
      <c r="V43" s="60">
        <v>24</v>
      </c>
      <c r="W43" s="60">
        <v>11</v>
      </c>
      <c r="X43" s="60">
        <v>15</v>
      </c>
      <c r="Y43" s="60">
        <v>41</v>
      </c>
      <c r="Z43" s="60">
        <v>18</v>
      </c>
      <c r="AA43" s="66">
        <f t="shared" si="0"/>
        <v>74.454545454545453</v>
      </c>
      <c r="AB43" s="103">
        <f t="shared" si="1"/>
        <v>394</v>
      </c>
      <c r="AC43" s="66"/>
      <c r="AD43" s="66">
        <f>4*'Chosen Total Requirements'!E29</f>
        <v>1600</v>
      </c>
      <c r="AE43" s="66">
        <f>SUM('BVAD Values'!$L$7/100*E43,'BVAD Values'!$L$8/100*F43,'BVAD Values'!$L$9/100*G43,'BVAD Values'!$L$10/100*H43,'BVAD Values'!$L$12/100*J43,'BVAD Values'!$L$13/100*K43,'BVAD Values'!$L$14/100*L43,'BVAD Values'!$L$15/100*M43,'BVAD Values'!$L$16/100*N43,'BVAD Values'!$L$17/100*O43,'BVAD Values'!$L$18/100*P43,'BVAD Values'!$L$19/100*Q43,'BVAD Values'!$L$20/100*R43,'BVAD Values'!$L$21/100*S43,'BVAD Values'!$L$22/100*T43,'BVAD Values'!$L$23/100*U43,'BVAD Values'!$L$24/100*V43,'BVAD Values'!$L$26/100*X43,'BVAD Values'!$L$27/100*Y43,'BVAD Values'!$L$28/100*Z43)</f>
        <v>2263.9035999999996</v>
      </c>
    </row>
    <row r="44" spans="3:31" x14ac:dyDescent="0.25">
      <c r="C44" s="66" t="s">
        <v>236</v>
      </c>
      <c r="D44" s="60" t="s">
        <v>198</v>
      </c>
      <c r="E44" s="60">
        <v>43</v>
      </c>
      <c r="F44" s="60">
        <v>19</v>
      </c>
      <c r="G44" s="60">
        <v>14</v>
      </c>
      <c r="H44" s="60">
        <v>36</v>
      </c>
      <c r="I44" s="60">
        <v>394</v>
      </c>
      <c r="J44" s="60">
        <v>30</v>
      </c>
      <c r="K44" s="60">
        <v>38</v>
      </c>
      <c r="L44" s="60">
        <v>19</v>
      </c>
      <c r="M44" s="60">
        <v>65</v>
      </c>
      <c r="N44" s="60">
        <v>240</v>
      </c>
      <c r="O44" s="75">
        <v>10</v>
      </c>
      <c r="P44" s="60">
        <v>25</v>
      </c>
      <c r="Q44" s="60">
        <v>109</v>
      </c>
      <c r="R44" s="60">
        <v>95</v>
      </c>
      <c r="S44" s="60">
        <v>33</v>
      </c>
      <c r="T44" s="60">
        <v>165</v>
      </c>
      <c r="U44" s="60">
        <v>194</v>
      </c>
      <c r="V44" s="60">
        <v>24</v>
      </c>
      <c r="W44" s="60">
        <v>11</v>
      </c>
      <c r="X44" s="60">
        <v>15</v>
      </c>
      <c r="Y44" s="60">
        <v>41</v>
      </c>
      <c r="Z44" s="60">
        <v>18</v>
      </c>
      <c r="AA44" s="66">
        <f t="shared" si="0"/>
        <v>74.454545454545453</v>
      </c>
      <c r="AB44" s="103">
        <f t="shared" si="1"/>
        <v>394</v>
      </c>
      <c r="AC44" s="66"/>
      <c r="AD44" s="66"/>
      <c r="AE44" s="66">
        <f>SUM('BVAD Values'!$L$7/100*E44,'BVAD Values'!$L$8/100*F44,'BVAD Values'!$L$9/100*G44,'BVAD Values'!$L$10/100*H44,'BVAD Values'!$L$12/100*J44,'BVAD Values'!$L$13/100*K44,'BVAD Values'!$L$14/100*L44,'BVAD Values'!$L$15/100*M44,'BVAD Values'!$L$16/100*N44,'BVAD Values'!$L$17/100*O44,'BVAD Values'!$L$18/100*P44,'BVAD Values'!$L$19/100*Q44,'BVAD Values'!$L$20/100*R44,'BVAD Values'!$L$21/100*S44,'BVAD Values'!$L$22/100*T44,'BVAD Values'!$L$23/100*U44,'BVAD Values'!$L$24/100*V44,'BVAD Values'!$L$26/100*X44,'BVAD Values'!$L$27/100*Y44,'BVAD Values'!$L$28/100*Z44)</f>
        <v>2263.9035999999996</v>
      </c>
    </row>
    <row r="45" spans="3:31" x14ac:dyDescent="0.25">
      <c r="C45" s="66" t="s">
        <v>185</v>
      </c>
      <c r="D45" s="60" t="s">
        <v>198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6">
        <f>AVERAGE(E45:Z45)</f>
        <v>0</v>
      </c>
      <c r="AB45" s="103">
        <f t="shared" si="1"/>
        <v>0</v>
      </c>
      <c r="AC45" s="66"/>
      <c r="AD45" s="66"/>
      <c r="AE45" s="66"/>
    </row>
    <row r="46" spans="3:31" x14ac:dyDescent="0.25">
      <c r="C46" s="66" t="s">
        <v>202</v>
      </c>
      <c r="D46" s="60" t="s">
        <v>198</v>
      </c>
      <c r="E46" s="60">
        <v>5</v>
      </c>
      <c r="F46" s="60">
        <v>835</v>
      </c>
      <c r="G46" s="60">
        <v>306</v>
      </c>
      <c r="H46" s="60">
        <v>22</v>
      </c>
      <c r="I46" s="60">
        <v>0</v>
      </c>
      <c r="J46" s="60">
        <v>200</v>
      </c>
      <c r="K46" s="60">
        <v>370</v>
      </c>
      <c r="L46" s="60">
        <v>0</v>
      </c>
      <c r="M46" s="60">
        <v>38</v>
      </c>
      <c r="N46" s="60">
        <v>0</v>
      </c>
      <c r="O46" s="60">
        <v>18</v>
      </c>
      <c r="P46" s="60">
        <v>0</v>
      </c>
      <c r="Q46" s="60">
        <v>2</v>
      </c>
      <c r="R46" s="60">
        <v>1</v>
      </c>
      <c r="S46" s="60">
        <v>35</v>
      </c>
      <c r="T46" s="60">
        <v>9</v>
      </c>
      <c r="U46" s="60">
        <v>469</v>
      </c>
      <c r="V46" s="60">
        <v>1</v>
      </c>
      <c r="W46" s="60">
        <v>709</v>
      </c>
      <c r="X46" s="60">
        <v>42</v>
      </c>
      <c r="Y46" s="60">
        <v>0</v>
      </c>
      <c r="Z46" s="60">
        <v>0</v>
      </c>
      <c r="AA46" s="66">
        <f t="shared" si="0"/>
        <v>139.18181818181819</v>
      </c>
      <c r="AB46" s="103">
        <f t="shared" si="1"/>
        <v>835</v>
      </c>
      <c r="AC46" s="66"/>
      <c r="AD46" s="66">
        <f>4*'Chosen Total Requirements'!E31</f>
        <v>4800</v>
      </c>
      <c r="AE46" s="66">
        <f>SUM('BVAD Values'!$L$7/100*E46,'BVAD Values'!$L$8/100*F46,'BVAD Values'!$L$9/100*G46,'BVAD Values'!$L$10/100*H46,'BVAD Values'!$L$12/100*J46,'BVAD Values'!$L$13/100*K46,'BVAD Values'!$L$14/100*L46,'BVAD Values'!$L$15/100*M46,'BVAD Values'!$L$16/100*N46,'BVAD Values'!$L$17/100*O46,'BVAD Values'!$L$18/100*P46,'BVAD Values'!$L$19/100*Q46,'BVAD Values'!$L$20/100*R46,'BVAD Values'!$L$21/100*S46,'BVAD Values'!$L$22/100*T46,'BVAD Values'!$L$23/100*U46,'BVAD Values'!$L$24/100*V46,'BVAD Values'!$L$26/100*X46,'BVAD Values'!$L$27/100*Y46,'BVAD Values'!$L$28/100*Z46)</f>
        <v>8277.9135999999999</v>
      </c>
    </row>
    <row r="47" spans="3:31" x14ac:dyDescent="0.25">
      <c r="C47" s="66" t="s">
        <v>233</v>
      </c>
      <c r="D47" s="60" t="s">
        <v>198</v>
      </c>
      <c r="E47" s="60">
        <v>0</v>
      </c>
      <c r="F47" s="60">
        <v>0</v>
      </c>
      <c r="G47" s="60">
        <v>0</v>
      </c>
      <c r="H47" s="60">
        <v>0</v>
      </c>
      <c r="I47" s="60">
        <v>0</v>
      </c>
      <c r="J47" s="60">
        <v>0</v>
      </c>
      <c r="K47" s="60">
        <v>0</v>
      </c>
      <c r="L47" s="60">
        <v>0</v>
      </c>
      <c r="M47" s="60">
        <v>0</v>
      </c>
      <c r="N47" s="60">
        <v>0</v>
      </c>
      <c r="O47" s="60">
        <v>0</v>
      </c>
      <c r="P47" s="60">
        <v>0</v>
      </c>
      <c r="Q47" s="60">
        <v>0</v>
      </c>
      <c r="R47" s="60">
        <v>0</v>
      </c>
      <c r="S47" s="60">
        <v>0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  <c r="Y47" s="60">
        <v>0</v>
      </c>
      <c r="Z47" s="60">
        <v>0</v>
      </c>
      <c r="AA47" s="66">
        <f t="shared" si="0"/>
        <v>0</v>
      </c>
      <c r="AB47" s="103">
        <f t="shared" si="1"/>
        <v>0</v>
      </c>
      <c r="AC47" s="66"/>
      <c r="AD47" s="66"/>
      <c r="AE47" s="66"/>
    </row>
    <row r="48" spans="3:31" x14ac:dyDescent="0.25">
      <c r="C48" s="66" t="s">
        <v>234</v>
      </c>
      <c r="D48" s="60" t="s">
        <v>198</v>
      </c>
      <c r="E48" s="60">
        <v>42</v>
      </c>
      <c r="F48" s="60">
        <v>8285</v>
      </c>
      <c r="G48" s="60">
        <v>3647</v>
      </c>
      <c r="H48" s="60">
        <v>270</v>
      </c>
      <c r="I48" s="60">
        <v>0</v>
      </c>
      <c r="J48" s="60">
        <v>2400</v>
      </c>
      <c r="K48" s="60">
        <v>4443</v>
      </c>
      <c r="L48" s="60">
        <v>1</v>
      </c>
      <c r="M48" s="60">
        <v>449</v>
      </c>
      <c r="N48" s="60">
        <v>0</v>
      </c>
      <c r="O48" s="60">
        <v>208</v>
      </c>
      <c r="P48" s="60">
        <v>4</v>
      </c>
      <c r="Q48" s="60">
        <v>20</v>
      </c>
      <c r="R48" s="60">
        <v>11</v>
      </c>
      <c r="S48" s="60">
        <v>379</v>
      </c>
      <c r="T48" s="60"/>
      <c r="U48" s="60">
        <v>5626</v>
      </c>
      <c r="V48" s="60">
        <v>7</v>
      </c>
      <c r="W48" s="60">
        <v>8509</v>
      </c>
      <c r="X48" s="60">
        <v>449</v>
      </c>
      <c r="Y48" s="60">
        <v>5</v>
      </c>
      <c r="Z48" s="60">
        <v>5</v>
      </c>
      <c r="AA48" s="66">
        <f t="shared" si="0"/>
        <v>1655.2380952380952</v>
      </c>
      <c r="AB48" s="103">
        <f t="shared" si="1"/>
        <v>8509</v>
      </c>
      <c r="AC48" s="66"/>
      <c r="AD48" s="66"/>
      <c r="AE48" s="66">
        <f>SUM('BVAD Values'!$L$7/100*E48,'BVAD Values'!$L$8/100*F48,'BVAD Values'!$L$9/100*G48,'BVAD Values'!$L$10/100*H48,'BVAD Values'!$L$12/100*J48,'BVAD Values'!$L$13/100*K48,'BVAD Values'!$L$14/100*L48,'BVAD Values'!$L$15/100*M48,'BVAD Values'!$L$16/100*N48,'BVAD Values'!$L$17/100*O48,'BVAD Values'!$L$18/100*P48,'BVAD Values'!$L$19/100*Q48,'BVAD Values'!$L$20/100*R48,'BVAD Values'!$L$21/100*S48,'BVAD Values'!$L$22/100*T48,'BVAD Values'!$L$23/100*U48,'BVAD Values'!$L$24/100*V48,'BVAD Values'!$L$26/100*X48,'BVAD Values'!$L$27/100*Y48,'BVAD Values'!$L$28/100*Z48)</f>
        <v>93351.365999999995</v>
      </c>
    </row>
    <row r="49" spans="3:32" x14ac:dyDescent="0.25">
      <c r="C49" s="66" t="s">
        <v>235</v>
      </c>
      <c r="D49" s="60" t="s">
        <v>198</v>
      </c>
      <c r="E49" s="60">
        <v>33</v>
      </c>
      <c r="F49" s="60">
        <v>3477</v>
      </c>
      <c r="G49" s="60">
        <v>45</v>
      </c>
      <c r="H49" s="60">
        <v>0</v>
      </c>
      <c r="I49" s="60">
        <v>0</v>
      </c>
      <c r="J49" s="60">
        <v>0</v>
      </c>
      <c r="K49" s="60">
        <v>0</v>
      </c>
      <c r="L49" s="60">
        <v>0</v>
      </c>
      <c r="M49" s="60">
        <v>21</v>
      </c>
      <c r="N49" s="60">
        <v>0</v>
      </c>
      <c r="O49" s="60">
        <v>21</v>
      </c>
      <c r="P49" s="60">
        <v>0</v>
      </c>
      <c r="Q49" s="60">
        <v>0</v>
      </c>
      <c r="R49" s="60">
        <v>0</v>
      </c>
      <c r="S49" s="60">
        <v>69</v>
      </c>
      <c r="T49" s="60"/>
      <c r="U49" s="60">
        <v>0</v>
      </c>
      <c r="V49" s="60">
        <v>0</v>
      </c>
      <c r="W49" s="60">
        <v>7</v>
      </c>
      <c r="X49" s="60">
        <v>101</v>
      </c>
      <c r="Y49" s="60">
        <v>0</v>
      </c>
      <c r="Z49" s="60">
        <v>0</v>
      </c>
      <c r="AA49" s="66">
        <f t="shared" si="0"/>
        <v>179.71428571428572</v>
      </c>
      <c r="AB49" s="103">
        <f t="shared" si="1"/>
        <v>3477</v>
      </c>
      <c r="AC49" s="66"/>
      <c r="AD49" s="66"/>
      <c r="AE49" s="66">
        <f>SUM('BVAD Values'!$L$7/100*E49,'BVAD Values'!$L$8/100*F49,'BVAD Values'!$L$9/100*G49,'BVAD Values'!$L$10/100*H49,'BVAD Values'!$L$12/100*J49,'BVAD Values'!$L$13/100*K49,'BVAD Values'!$L$14/100*L49,'BVAD Values'!$L$15/100*M49,'BVAD Values'!$L$16/100*N49,'BVAD Values'!$L$17/100*O49,'BVAD Values'!$L$18/100*P49,'BVAD Values'!$L$19/100*Q49,'BVAD Values'!$L$20/100*R49,'BVAD Values'!$L$21/100*S49,'BVAD Values'!$L$22/100*T49,'BVAD Values'!$L$23/100*U49,'BVAD Values'!$L$24/100*V49,'BVAD Values'!$L$26/100*X49,'BVAD Values'!$L$27/100*Y49,'BVAD Values'!$L$28/100*Z49)</f>
        <v>11912.093999999999</v>
      </c>
    </row>
    <row r="50" spans="3:32" x14ac:dyDescent="0.25">
      <c r="C50" s="66" t="s">
        <v>203</v>
      </c>
      <c r="D50" s="60" t="s">
        <v>206</v>
      </c>
      <c r="E50" s="60">
        <v>98</v>
      </c>
      <c r="F50" s="60">
        <v>16706</v>
      </c>
      <c r="G50" s="60">
        <v>6116</v>
      </c>
      <c r="H50" s="60">
        <v>449</v>
      </c>
      <c r="I50" s="60">
        <v>0</v>
      </c>
      <c r="J50" s="60">
        <v>4000</v>
      </c>
      <c r="K50" s="60">
        <v>4443</v>
      </c>
      <c r="L50" s="60">
        <v>2</v>
      </c>
      <c r="M50" s="60">
        <v>765</v>
      </c>
      <c r="N50" s="60">
        <v>0</v>
      </c>
      <c r="O50" s="60">
        <v>370</v>
      </c>
      <c r="P50" s="60">
        <v>7</v>
      </c>
      <c r="Q50" s="60">
        <v>33</v>
      </c>
      <c r="R50" s="60">
        <v>19</v>
      </c>
      <c r="S50" s="60">
        <v>690</v>
      </c>
      <c r="T50" s="60">
        <v>180</v>
      </c>
      <c r="U50" s="60">
        <v>9377</v>
      </c>
      <c r="V50" s="60">
        <v>12</v>
      </c>
      <c r="W50" s="60">
        <v>14187</v>
      </c>
      <c r="X50" s="60">
        <v>833</v>
      </c>
      <c r="Y50" s="60">
        <v>9</v>
      </c>
      <c r="Z50" s="60">
        <v>8</v>
      </c>
      <c r="AA50" s="66">
        <f t="shared" si="0"/>
        <v>2650.181818181818</v>
      </c>
      <c r="AB50" s="103">
        <f t="shared" si="1"/>
        <v>16706</v>
      </c>
      <c r="AC50" s="66"/>
      <c r="AD50" s="66"/>
      <c r="AE50" s="66">
        <f>SUM('BVAD Values'!$L$7/100*E50,'BVAD Values'!$L$8/100*F50,'BVAD Values'!$L$9/100*G50,'BVAD Values'!$L$10/100*H50,'BVAD Values'!$L$12/100*J50,'BVAD Values'!$L$13/100*K50,'BVAD Values'!$L$14/100*L50,'BVAD Values'!$L$15/100*M50,'BVAD Values'!$L$16/100*N50,'BVAD Values'!$L$17/100*O50,'BVAD Values'!$L$18/100*P50,'BVAD Values'!$L$19/100*Q50,'BVAD Values'!$L$20/100*R50,'BVAD Values'!$L$21/100*S50,'BVAD Values'!$L$22/100*T50,'BVAD Values'!$L$23/100*U50,'BVAD Values'!$L$24/100*V50,'BVAD Values'!$L$26/100*X50,'BVAD Values'!$L$27/100*Y50,'BVAD Values'!$L$28/100*Z50)</f>
        <v>150042.13320000001</v>
      </c>
    </row>
    <row r="51" spans="3:32" x14ac:dyDescent="0.25">
      <c r="C51" s="66" t="s">
        <v>204</v>
      </c>
      <c r="D51" s="60" t="s">
        <v>197</v>
      </c>
      <c r="E51" s="60">
        <v>0.15</v>
      </c>
      <c r="F51" s="60">
        <v>0.66</v>
      </c>
      <c r="G51" s="60">
        <v>1.89</v>
      </c>
      <c r="H51" s="60">
        <v>0.27</v>
      </c>
      <c r="I51" s="60">
        <v>0.22</v>
      </c>
      <c r="J51" s="60">
        <v>0.21</v>
      </c>
      <c r="K51" s="60">
        <v>0.22</v>
      </c>
      <c r="L51" s="60">
        <v>0.02</v>
      </c>
      <c r="M51" s="60">
        <v>0.13</v>
      </c>
      <c r="N51" s="60">
        <v>8.33</v>
      </c>
      <c r="O51" s="60">
        <v>0.37</v>
      </c>
      <c r="P51" s="60">
        <v>0</v>
      </c>
      <c r="Q51" s="60">
        <v>0.04</v>
      </c>
      <c r="R51" s="60">
        <v>0.82</v>
      </c>
      <c r="S51" s="60">
        <v>0.41</v>
      </c>
      <c r="T51" s="60"/>
      <c r="U51" s="60">
        <v>2.0299999999999998</v>
      </c>
      <c r="V51" s="60">
        <v>0.28999999999999998</v>
      </c>
      <c r="W51" s="60">
        <v>0.26</v>
      </c>
      <c r="X51" s="60">
        <v>0.54</v>
      </c>
      <c r="Y51" s="60">
        <v>1.01</v>
      </c>
      <c r="Z51" s="60">
        <v>0.01</v>
      </c>
      <c r="AA51" s="66">
        <f>AVERAGE(E51:Z51)</f>
        <v>0.85142857142857153</v>
      </c>
      <c r="AB51" s="103">
        <f t="shared" si="1"/>
        <v>8.33</v>
      </c>
      <c r="AC51" s="66"/>
      <c r="AD51" s="66">
        <f>4*'Chosen Total Requirements'!E32</f>
        <v>60</v>
      </c>
      <c r="AE51" s="66">
        <f>SUM('BVAD Values'!$L$7/100*E51,'BVAD Values'!$L$8/100*F51,'BVAD Values'!$L$9/100*G51,'BVAD Values'!$L$10/100*H51,'BVAD Values'!$L$12/100*J51,'BVAD Values'!$L$13/100*K51,'BVAD Values'!$L$14/100*L51,'BVAD Values'!$L$15/100*M51,'BVAD Values'!$L$16/100*N51,'BVAD Values'!$L$17/100*O51,'BVAD Values'!$L$18/100*P51,'BVAD Values'!$L$19/100*Q51,'BVAD Values'!$L$20/100*R51,'BVAD Values'!$L$21/100*S51,'BVAD Values'!$L$22/100*T51,'BVAD Values'!$L$23/100*U51,'BVAD Values'!$L$24/100*V51,'BVAD Values'!$L$26/100*X51,'BVAD Values'!$L$27/100*Y51,'BVAD Values'!$L$28/100*Z51)</f>
        <v>30.690196</v>
      </c>
    </row>
    <row r="52" spans="3:32" x14ac:dyDescent="0.25">
      <c r="C52" s="66" t="s">
        <v>205</v>
      </c>
      <c r="D52" s="60" t="s">
        <v>198</v>
      </c>
      <c r="E52" s="60">
        <v>0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0">
        <v>0</v>
      </c>
      <c r="M52" s="60">
        <v>0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60">
        <v>0</v>
      </c>
      <c r="W52" s="60">
        <v>0</v>
      </c>
      <c r="X52" s="60">
        <v>0</v>
      </c>
      <c r="Y52" s="60">
        <v>0</v>
      </c>
      <c r="Z52" s="60">
        <v>0</v>
      </c>
      <c r="AA52" s="66">
        <f t="shared" si="0"/>
        <v>0</v>
      </c>
      <c r="AB52" s="103">
        <f t="shared" si="1"/>
        <v>0</v>
      </c>
      <c r="AC52" s="66"/>
      <c r="AD52" s="66"/>
      <c r="AE52" s="66"/>
    </row>
    <row r="53" spans="3:32" ht="15.75" thickBot="1" x14ac:dyDescent="0.3">
      <c r="C53" s="66" t="s">
        <v>189</v>
      </c>
      <c r="D53" s="60" t="s">
        <v>198</v>
      </c>
      <c r="E53" s="60">
        <v>76</v>
      </c>
      <c r="F53" s="60">
        <v>13.2</v>
      </c>
      <c r="G53" s="60">
        <v>830</v>
      </c>
      <c r="H53" s="60">
        <v>29.3</v>
      </c>
      <c r="I53" s="60">
        <v>19</v>
      </c>
      <c r="J53" s="60">
        <v>156.30000000000001</v>
      </c>
      <c r="K53" s="60">
        <v>126.3</v>
      </c>
      <c r="L53" s="60">
        <v>4</v>
      </c>
      <c r="M53" s="60">
        <v>24.8</v>
      </c>
      <c r="N53" s="60">
        <v>0</v>
      </c>
      <c r="O53" s="60">
        <v>7.4</v>
      </c>
      <c r="P53" s="60">
        <v>1.3</v>
      </c>
      <c r="Q53" s="60">
        <v>0.2</v>
      </c>
      <c r="R53" s="60">
        <v>1.9</v>
      </c>
      <c r="S53" s="60">
        <v>14.4</v>
      </c>
      <c r="T53" s="60"/>
      <c r="U53" s="60">
        <v>482.9</v>
      </c>
      <c r="V53" s="60">
        <v>2.2000000000000002</v>
      </c>
      <c r="W53" s="60">
        <v>1.8</v>
      </c>
      <c r="X53" s="60">
        <v>7.9</v>
      </c>
      <c r="Y53" s="60">
        <v>1.9</v>
      </c>
      <c r="Z53" s="60">
        <v>1.6</v>
      </c>
      <c r="AA53" s="66">
        <f t="shared" si="0"/>
        <v>85.828571428571436</v>
      </c>
      <c r="AB53" s="103">
        <f t="shared" si="1"/>
        <v>830</v>
      </c>
      <c r="AC53" s="66"/>
      <c r="AD53" s="66">
        <f>4*'Chosen Total Requirements'!E33</f>
        <v>600</v>
      </c>
      <c r="AE53" s="66">
        <f>SUM('BVAD Values'!$L$7/100*E53,'BVAD Values'!$L$8/100*F53,'BVAD Values'!$L$9/100*G53,'BVAD Values'!$L$10/100*H53,'BVAD Values'!$L$12/100*J53,'BVAD Values'!$L$13/100*K53,'BVAD Values'!$L$14/100*L53,'BVAD Values'!$L$15/100*M53,'BVAD Values'!$L$16/100*N53,'BVAD Values'!$L$17/100*O53,'BVAD Values'!$L$18/100*P53,'BVAD Values'!$L$19/100*Q53,'BVAD Values'!$L$20/100*R53,'BVAD Values'!$L$21/100*S53,'BVAD Values'!$L$22/100*T53,'BVAD Values'!$L$23/100*U53,'BVAD Values'!$L$24/100*V53,'BVAD Values'!$L$26/100*X53,'BVAD Values'!$L$27/100*Y53,'BVAD Values'!$L$28/100*Z53)</f>
        <v>6111.3749999999982</v>
      </c>
    </row>
    <row r="54" spans="3:32" x14ac:dyDescent="0.25">
      <c r="C54" s="69" t="s">
        <v>207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86"/>
      <c r="AB54" s="102"/>
      <c r="AC54" s="86"/>
      <c r="AD54" s="86"/>
      <c r="AE54" s="86"/>
      <c r="AF54" s="105"/>
    </row>
    <row r="55" spans="3:32" x14ac:dyDescent="0.25">
      <c r="C55" s="66" t="s">
        <v>42</v>
      </c>
      <c r="D55" s="60" t="s">
        <v>131</v>
      </c>
      <c r="E55" s="60">
        <v>1.0999999999999999E-2</v>
      </c>
      <c r="F55" s="60">
        <v>1.2E-2</v>
      </c>
      <c r="G55" s="60">
        <v>1.7000000000000001E-2</v>
      </c>
      <c r="H55" s="60">
        <v>8.9999999999999993E-3</v>
      </c>
      <c r="I55" s="60">
        <v>0.27900000000000003</v>
      </c>
      <c r="J55" s="60"/>
      <c r="K55" s="60">
        <v>8.9999999999999993E-3</v>
      </c>
      <c r="L55" s="60">
        <v>1.4E-2</v>
      </c>
      <c r="M55" s="60">
        <v>3.6999999999999998E-2</v>
      </c>
      <c r="N55" s="60">
        <v>0.25</v>
      </c>
      <c r="O55" s="60">
        <v>1.2E-2</v>
      </c>
      <c r="P55" s="60">
        <v>8.9999999999999993E-3</v>
      </c>
      <c r="Q55" s="60">
        <v>1.9E-2</v>
      </c>
      <c r="R55" s="60">
        <v>0.17899999999999999</v>
      </c>
      <c r="S55" s="60">
        <v>1.9E-2</v>
      </c>
      <c r="T55" s="60">
        <v>0.157</v>
      </c>
      <c r="U55" s="60">
        <v>3.9E-2</v>
      </c>
      <c r="V55" s="60">
        <v>8.0000000000000002E-3</v>
      </c>
      <c r="W55" s="60">
        <v>3.1E-2</v>
      </c>
      <c r="X55" s="60">
        <v>6.0000000000000001E-3</v>
      </c>
      <c r="Y55" s="60"/>
      <c r="Z55" s="60">
        <v>1.7000000000000001E-2</v>
      </c>
      <c r="AA55" s="66">
        <f t="shared" si="0"/>
        <v>5.6699999999999987E-2</v>
      </c>
      <c r="AB55" s="103">
        <f t="shared" si="1"/>
        <v>0.27900000000000003</v>
      </c>
      <c r="AC55" s="66"/>
      <c r="AD55" s="66">
        <f>4*'Chosen Total Requirements'!E35/1000</f>
        <v>1.3120000000000001</v>
      </c>
      <c r="AE55" s="66">
        <f>SUM('BVAD Values'!$L$7/100*E55,'BVAD Values'!$L$8/100*F55,'BVAD Values'!$L$9/100*G55,'BVAD Values'!$L$10/100*H55,'BVAD Values'!$L$12/100*J55,'BVAD Values'!$L$13/100*K55,'BVAD Values'!$L$14/100*L55,'BVAD Values'!$L$15/100*M55,'BVAD Values'!$L$16/100*N55,'BVAD Values'!$L$17/100*O55,'BVAD Values'!$L$18/100*P55,'BVAD Values'!$L$19/100*Q55,'BVAD Values'!$L$20/100*R55,'BVAD Values'!$L$21/100*S55,'BVAD Values'!$L$22/100*T55,'BVAD Values'!$L$23/100*U55,'BVAD Values'!$L$24/100*V55,'BVAD Values'!$L$26/100*X55,'BVAD Values'!$L$27/100*Y55,'BVAD Values'!$L$28/100*Z55)</f>
        <v>0.94600960000000001</v>
      </c>
      <c r="AF55" s="66">
        <f>4*'Chosen Total Requirements'!L35/1000</f>
        <v>1</v>
      </c>
    </row>
    <row r="56" spans="3:32" x14ac:dyDescent="0.25">
      <c r="C56" s="66" t="s">
        <v>146</v>
      </c>
      <c r="D56" s="60" t="s">
        <v>131</v>
      </c>
      <c r="E56" s="60">
        <v>3.5000000000000003E-2</v>
      </c>
      <c r="F56" s="60">
        <v>0.191</v>
      </c>
      <c r="G56" s="60">
        <v>8.3000000000000004E-2</v>
      </c>
      <c r="H56" s="60">
        <v>0.02</v>
      </c>
      <c r="I56" s="60">
        <v>0.99199999999999999</v>
      </c>
      <c r="J56" s="60"/>
      <c r="K56" s="60">
        <v>0.59</v>
      </c>
      <c r="L56" s="60">
        <v>2.1000000000000001E-2</v>
      </c>
      <c r="M56" s="60">
        <v>0.20300000000000001</v>
      </c>
      <c r="N56" s="60">
        <v>0.88300000000000001</v>
      </c>
      <c r="O56" s="60">
        <v>3.5999999999999997E-2</v>
      </c>
      <c r="P56" s="60">
        <v>2.3E-2</v>
      </c>
      <c r="Q56" s="60">
        <v>4.7E-2</v>
      </c>
      <c r="R56" s="60">
        <v>0.46899999999999997</v>
      </c>
      <c r="S56" s="60">
        <v>7.9000000000000001E-2</v>
      </c>
      <c r="T56" s="60">
        <v>0.51600000000000001</v>
      </c>
      <c r="U56" s="60">
        <v>0.122</v>
      </c>
      <c r="V56" s="60">
        <v>0.02</v>
      </c>
      <c r="W56" s="60">
        <v>8.3000000000000004E-2</v>
      </c>
      <c r="X56" s="60">
        <v>2.7E-2</v>
      </c>
      <c r="Y56" s="60"/>
      <c r="Z56" s="60">
        <v>5.5E-2</v>
      </c>
      <c r="AA56" s="66">
        <f t="shared" si="0"/>
        <v>0.22475000000000001</v>
      </c>
      <c r="AB56" s="103">
        <f t="shared" si="1"/>
        <v>0.99199999999999999</v>
      </c>
      <c r="AC56" s="66"/>
      <c r="AD56" s="66">
        <f>4*'Chosen Total Requirements'!E36/1000</f>
        <v>4.92</v>
      </c>
      <c r="AE56" s="66">
        <f>SUM('BVAD Values'!$L$7/100*E56,'BVAD Values'!$L$8/100*F56,'BVAD Values'!$L$9/100*G56,'BVAD Values'!$L$10/100*H56,'BVAD Values'!$L$12/100*J56,'BVAD Values'!$L$13/100*K56,'BVAD Values'!$L$14/100*L56,'BVAD Values'!$L$15/100*M56,'BVAD Values'!$L$16/100*N56,'BVAD Values'!$L$17/100*O56,'BVAD Values'!$L$18/100*P56,'BVAD Values'!$L$19/100*Q56,'BVAD Values'!$L$20/100*R56,'BVAD Values'!$L$21/100*S56,'BVAD Values'!$L$22/100*T56,'BVAD Values'!$L$23/100*U56,'BVAD Values'!$L$24/100*V56,'BVAD Values'!$L$26/100*X56,'BVAD Values'!$L$27/100*Y56,'BVAD Values'!$L$28/100*Z56)</f>
        <v>6.5254095999999997</v>
      </c>
      <c r="AF56" s="66">
        <f>4*'Chosen Total Requirements'!L36/1000</f>
        <v>2</v>
      </c>
    </row>
    <row r="57" spans="3:32" x14ac:dyDescent="0.25">
      <c r="C57" s="66" t="s">
        <v>149</v>
      </c>
      <c r="D57" s="60" t="s">
        <v>131</v>
      </c>
      <c r="E57" s="60">
        <v>0.03</v>
      </c>
      <c r="F57" s="60">
        <v>7.6999999999999999E-2</v>
      </c>
      <c r="G57" s="60">
        <v>0.14699999999999999</v>
      </c>
      <c r="H57" s="60">
        <v>2.1000000000000001E-2</v>
      </c>
      <c r="I57" s="60">
        <v>1.0409999999999999</v>
      </c>
      <c r="J57" s="60"/>
      <c r="K57" s="60">
        <v>8.4000000000000005E-2</v>
      </c>
      <c r="L57" s="60">
        <v>1.4E-2</v>
      </c>
      <c r="M57" s="60">
        <v>0.19500000000000001</v>
      </c>
      <c r="N57" s="60">
        <v>0.90700000000000003</v>
      </c>
      <c r="O57" s="60">
        <v>2.4E-2</v>
      </c>
      <c r="P57" s="60">
        <v>0.02</v>
      </c>
      <c r="Q57" s="60">
        <v>4.8000000000000001E-2</v>
      </c>
      <c r="R57" s="60">
        <v>0.61799999999999999</v>
      </c>
      <c r="S57" s="60">
        <v>6.6000000000000003E-2</v>
      </c>
      <c r="T57" s="60">
        <v>0.56999999999999995</v>
      </c>
      <c r="U57" s="60">
        <v>0.14699999999999999</v>
      </c>
      <c r="V57" s="60">
        <v>1.6E-2</v>
      </c>
      <c r="W57" s="60">
        <v>5.5E-2</v>
      </c>
      <c r="X57" s="60">
        <v>1.7999999999999999E-2</v>
      </c>
      <c r="Y57" s="60"/>
      <c r="Z57" s="60">
        <v>5.3999999999999999E-2</v>
      </c>
      <c r="AA57" s="66">
        <f t="shared" si="0"/>
        <v>0.20759999999999995</v>
      </c>
      <c r="AB57" s="103">
        <f t="shared" si="1"/>
        <v>1.0409999999999999</v>
      </c>
      <c r="AC57" s="66"/>
      <c r="AD57" s="66">
        <f>4*'Chosen Total Requirements'!E37/1000</f>
        <v>6.56</v>
      </c>
      <c r="AE57" s="66">
        <f>SUM('BVAD Values'!$L$7/100*E57,'BVAD Values'!$L$8/100*F57,'BVAD Values'!$L$9/100*G57,'BVAD Values'!$L$10/100*H57,'BVAD Values'!$L$12/100*J57,'BVAD Values'!$L$13/100*K57,'BVAD Values'!$L$14/100*L57,'BVAD Values'!$L$15/100*M57,'BVAD Values'!$L$16/100*N57,'BVAD Values'!$L$17/100*O57,'BVAD Values'!$L$18/100*P57,'BVAD Values'!$L$19/100*Q57,'BVAD Values'!$L$20/100*R57,'BVAD Values'!$L$21/100*S57,'BVAD Values'!$L$22/100*T57,'BVAD Values'!$L$23/100*U57,'BVAD Values'!$L$24/100*V57,'BVAD Values'!$L$26/100*X57,'BVAD Values'!$L$27/100*Y57,'BVAD Values'!$L$28/100*Z57)</f>
        <v>3.6285196000000002</v>
      </c>
      <c r="AF57" s="66">
        <f>4*'Chosen Total Requirements'!L37/1000</f>
        <v>4.4000000000000004</v>
      </c>
    </row>
    <row r="58" spans="3:32" x14ac:dyDescent="0.25">
      <c r="C58" s="66" t="s">
        <v>150</v>
      </c>
      <c r="D58" s="60" t="s">
        <v>131</v>
      </c>
      <c r="E58" s="60">
        <v>4.1000000000000002E-2</v>
      </c>
      <c r="F58" s="60">
        <v>0.10199999999999999</v>
      </c>
      <c r="G58" s="60">
        <v>0.13</v>
      </c>
      <c r="H58" s="60">
        <v>3.2000000000000001E-2</v>
      </c>
      <c r="I58" s="60">
        <v>1.8819999999999999</v>
      </c>
      <c r="J58" s="60"/>
      <c r="K58" s="74">
        <v>7.9000000000000001E-2</v>
      </c>
      <c r="L58" s="60">
        <v>2.5000000000000001E-2</v>
      </c>
      <c r="M58" s="60">
        <v>0.32300000000000001</v>
      </c>
      <c r="N58" s="60">
        <v>1.6719999999999999</v>
      </c>
      <c r="O58" s="60">
        <v>3.5999999999999997E-2</v>
      </c>
      <c r="P58" s="60">
        <v>3.1E-2</v>
      </c>
      <c r="Q58" s="60">
        <v>6.8000000000000005E-2</v>
      </c>
      <c r="R58" s="60">
        <v>1.018</v>
      </c>
      <c r="S58" s="60">
        <v>0.112</v>
      </c>
      <c r="T58" s="60">
        <v>0.92600000000000005</v>
      </c>
      <c r="U58" s="60">
        <v>0.223</v>
      </c>
      <c r="V58" s="60">
        <v>3.4000000000000002E-2</v>
      </c>
      <c r="W58" s="60">
        <v>9.1999999999999998E-2</v>
      </c>
      <c r="X58" s="60">
        <v>2.5000000000000001E-2</v>
      </c>
      <c r="Y58" s="60"/>
      <c r="Z58" s="60">
        <v>0.08</v>
      </c>
      <c r="AA58" s="66">
        <f t="shared" si="0"/>
        <v>0.34654999999999991</v>
      </c>
      <c r="AB58" s="103">
        <f t="shared" si="1"/>
        <v>1.8819999999999999</v>
      </c>
      <c r="AC58" s="66"/>
      <c r="AD58" s="66">
        <f>4*'Chosen Total Requirements'!E38/1000</f>
        <v>12.792</v>
      </c>
      <c r="AE58" s="66">
        <f>SUM('BVAD Values'!$L$7/100*E58,'BVAD Values'!$L$8/100*F58,'BVAD Values'!$L$9/100*G58,'BVAD Values'!$L$10/100*H58,'BVAD Values'!$L$12/100*J58,'BVAD Values'!$L$13/100*K58,'BVAD Values'!$L$14/100*L58,'BVAD Values'!$L$15/100*M58,'BVAD Values'!$L$16/100*N58,'BVAD Values'!$L$17/100*O58,'BVAD Values'!$L$18/100*P58,'BVAD Values'!$L$19/100*Q58,'BVAD Values'!$L$20/100*R58,'BVAD Values'!$L$21/100*S58,'BVAD Values'!$L$22/100*T58,'BVAD Values'!$L$23/100*U58,'BVAD Values'!$L$24/100*V58,'BVAD Values'!$L$26/100*X58,'BVAD Values'!$L$27/100*Y58,'BVAD Values'!$L$28/100*Z58)</f>
        <v>5.0831195999999998</v>
      </c>
      <c r="AF58" s="66">
        <f>4*'Chosen Total Requirements'!L38/1000</f>
        <v>3.2</v>
      </c>
    </row>
    <row r="59" spans="3:32" x14ac:dyDescent="0.25">
      <c r="C59" s="66" t="s">
        <v>144</v>
      </c>
      <c r="D59" s="60" t="s">
        <v>131</v>
      </c>
      <c r="E59" s="60">
        <v>4.3999999999999997E-2</v>
      </c>
      <c r="F59" s="60">
        <v>0.10100000000000001</v>
      </c>
      <c r="G59" s="60">
        <v>9.9000000000000005E-2</v>
      </c>
      <c r="H59" s="60">
        <v>2.7E-2</v>
      </c>
      <c r="I59" s="60">
        <v>1.6180000000000001</v>
      </c>
      <c r="J59" s="60"/>
      <c r="K59" s="60">
        <v>8.4000000000000005E-2</v>
      </c>
      <c r="L59" s="60">
        <v>3.9E-2</v>
      </c>
      <c r="M59" s="60">
        <v>0.317</v>
      </c>
      <c r="N59" s="60">
        <v>0.92600000000000005</v>
      </c>
      <c r="O59" s="60">
        <v>3.9E-2</v>
      </c>
      <c r="P59" s="60">
        <v>3.3000000000000002E-2</v>
      </c>
      <c r="Q59" s="60">
        <v>5.8000000000000003E-2</v>
      </c>
      <c r="R59" s="60">
        <v>0.629</v>
      </c>
      <c r="S59" s="60">
        <v>8.7999999999999995E-2</v>
      </c>
      <c r="T59" s="60">
        <v>0.77500000000000002</v>
      </c>
      <c r="U59" s="60">
        <v>0.17399999999999999</v>
      </c>
      <c r="V59" s="60">
        <v>2.5999999999999999E-2</v>
      </c>
      <c r="W59" s="60">
        <v>6.6000000000000003E-2</v>
      </c>
      <c r="X59" s="60">
        <v>2.7E-2</v>
      </c>
      <c r="Y59" s="60"/>
      <c r="Z59" s="60">
        <v>8.6999999999999994E-2</v>
      </c>
      <c r="AA59" s="66">
        <f t="shared" si="0"/>
        <v>0.26285000000000008</v>
      </c>
      <c r="AB59" s="103">
        <f t="shared" si="1"/>
        <v>1.6180000000000001</v>
      </c>
      <c r="AC59" s="66"/>
      <c r="AD59" s="66">
        <f>4*'Chosen Total Requirements'!E39/1000</f>
        <v>9.84</v>
      </c>
      <c r="AE59" s="66">
        <f>SUM('BVAD Values'!$L$7/100*E59,'BVAD Values'!$L$8/100*F59,'BVAD Values'!$L$9/100*G59,'BVAD Values'!$L$10/100*H59,'BVAD Values'!$L$12/100*J59,'BVAD Values'!$L$13/100*K59,'BVAD Values'!$L$14/100*L59,'BVAD Values'!$L$15/100*M59,'BVAD Values'!$L$16/100*N59,'BVAD Values'!$L$17/100*O59,'BVAD Values'!$L$18/100*P59,'BVAD Values'!$L$19/100*Q59,'BVAD Values'!$L$20/100*R59,'BVAD Values'!$L$21/100*S59,'BVAD Values'!$L$22/100*T59,'BVAD Values'!$L$23/100*U59,'BVAD Values'!$L$24/100*V59,'BVAD Values'!$L$26/100*X59,'BVAD Values'!$L$27/100*Y59,'BVAD Values'!$L$28/100*Z59)</f>
        <v>4.3963371999999996</v>
      </c>
      <c r="AF59" s="66">
        <f>4*'Chosen Total Requirements'!L39/1000</f>
        <v>3.2</v>
      </c>
    </row>
    <row r="60" spans="3:32" x14ac:dyDescent="0.25">
      <c r="C60" s="66" t="s">
        <v>168</v>
      </c>
      <c r="D60" s="60" t="s">
        <v>131</v>
      </c>
      <c r="E60" s="60">
        <v>1.2E-2</v>
      </c>
      <c r="F60" s="60">
        <v>0.02</v>
      </c>
      <c r="G60" s="60">
        <v>1.9E-2</v>
      </c>
      <c r="H60" s="60">
        <v>5.0000000000000001E-3</v>
      </c>
      <c r="I60" s="60">
        <v>0.35499999999999998</v>
      </c>
      <c r="J60" s="60"/>
      <c r="K60" s="60">
        <v>1.6E-2</v>
      </c>
      <c r="L60" s="60">
        <v>2E-3</v>
      </c>
      <c r="M60" s="60">
        <v>8.2000000000000003E-2</v>
      </c>
      <c r="N60" s="60">
        <v>0.317</v>
      </c>
      <c r="O60" s="60">
        <v>7.0000000000000001E-3</v>
      </c>
      <c r="P60" s="60">
        <v>0.01</v>
      </c>
      <c r="Q60" s="60">
        <v>1.7999999999999999E-2</v>
      </c>
      <c r="R60" s="60">
        <v>0.438</v>
      </c>
      <c r="S60" s="60">
        <v>2.1999999999999999E-2</v>
      </c>
      <c r="T60" s="60">
        <v>0.157</v>
      </c>
      <c r="U60" s="60">
        <v>5.2999999999999999E-2</v>
      </c>
      <c r="V60" s="60">
        <v>2E-3</v>
      </c>
      <c r="W60" s="60">
        <v>2.9000000000000001E-2</v>
      </c>
      <c r="X60" s="60">
        <v>6.0000000000000001E-3</v>
      </c>
      <c r="Y60" s="60"/>
      <c r="Z60" s="60">
        <v>2.5999999999999999E-2</v>
      </c>
      <c r="AA60" s="66">
        <f t="shared" si="0"/>
        <v>7.980000000000001E-2</v>
      </c>
      <c r="AB60" s="103">
        <f t="shared" si="1"/>
        <v>0.438</v>
      </c>
      <c r="AC60" s="66"/>
      <c r="AD60" s="66">
        <f>4*'Chosen Total Requirements'!E40/1000</f>
        <v>3.28</v>
      </c>
      <c r="AE60" s="66">
        <f>SUM('BVAD Values'!$L$7/100*E60,'BVAD Values'!$L$8/100*F60,'BVAD Values'!$L$9/100*G60,'BVAD Values'!$L$10/100*H60,'BVAD Values'!$L$12/100*J60,'BVAD Values'!$L$13/100*K60,'BVAD Values'!$L$14/100*L60,'BVAD Values'!$L$15/100*M60,'BVAD Values'!$L$16/100*N60,'BVAD Values'!$L$17/100*O60,'BVAD Values'!$L$18/100*P60,'BVAD Values'!$L$19/100*Q60,'BVAD Values'!$L$20/100*R60,'BVAD Values'!$L$21/100*S60,'BVAD Values'!$L$22/100*T60,'BVAD Values'!$L$23/100*U60,'BVAD Values'!$L$24/100*V60,'BVAD Values'!$L$26/100*X60,'BVAD Values'!$L$27/100*Y60,'BVAD Values'!$L$28/100*Z60)</f>
        <v>1.1560872</v>
      </c>
      <c r="AF60" s="66">
        <f>4*'Chosen Total Requirements'!L40/1000</f>
        <v>4.4000000000000004</v>
      </c>
    </row>
    <row r="61" spans="3:32" x14ac:dyDescent="0.25">
      <c r="C61" s="66" t="s">
        <v>169</v>
      </c>
      <c r="D61" s="60" t="s">
        <v>131</v>
      </c>
      <c r="E61" s="60">
        <v>1.0999999999999999E-2</v>
      </c>
      <c r="F61" s="60">
        <v>8.3000000000000004E-2</v>
      </c>
      <c r="G61" s="60"/>
      <c r="H61" s="60">
        <v>4.0000000000000001E-3</v>
      </c>
      <c r="I61" s="60">
        <v>0.25600000000000001</v>
      </c>
      <c r="J61" s="60"/>
      <c r="K61" s="60">
        <v>1.6E-2</v>
      </c>
      <c r="L61" s="60">
        <v>4.0000000000000001E-3</v>
      </c>
      <c r="M61" s="60">
        <v>3.2000000000000001E-2</v>
      </c>
      <c r="N61" s="60">
        <v>0.33100000000000002</v>
      </c>
      <c r="O61" s="60">
        <v>1.2E-2</v>
      </c>
      <c r="P61" s="60">
        <v>0.01</v>
      </c>
      <c r="Q61" s="60">
        <v>1.9E-2</v>
      </c>
      <c r="R61" s="60">
        <v>0.17399999999999999</v>
      </c>
      <c r="S61" s="60">
        <v>1.7999999999999999E-2</v>
      </c>
      <c r="T61" s="60">
        <v>0.11799999999999999</v>
      </c>
      <c r="U61" s="60">
        <v>3.5000000000000003E-2</v>
      </c>
      <c r="V61" s="60">
        <v>6.0000000000000001E-3</v>
      </c>
      <c r="W61" s="60">
        <v>2.1999999999999999E-2</v>
      </c>
      <c r="X61" s="60">
        <v>8.9999999999999993E-3</v>
      </c>
      <c r="Y61" s="60"/>
      <c r="Z61" s="60">
        <v>0.02</v>
      </c>
      <c r="AA61" s="66">
        <f t="shared" si="0"/>
        <v>6.2105263157894733E-2</v>
      </c>
      <c r="AB61" s="103">
        <f t="shared" si="1"/>
        <v>0.33100000000000002</v>
      </c>
      <c r="AC61" s="66"/>
      <c r="AD61" s="66">
        <f>4*'Chosen Total Requirements'!E41/1000</f>
        <v>1.3120000000000001</v>
      </c>
      <c r="AE61" s="66">
        <f>SUM('BVAD Values'!$L$7/100*E61,'BVAD Values'!$L$8/100*F61,'BVAD Values'!$L$9/100*G61,'BVAD Values'!$L$10/100*H61,'BVAD Values'!$L$12/100*J61,'BVAD Values'!$L$13/100*K61,'BVAD Values'!$L$14/100*L61,'BVAD Values'!$L$15/100*M61,'BVAD Values'!$L$16/100*N61,'BVAD Values'!$L$17/100*O61,'BVAD Values'!$L$18/100*P61,'BVAD Values'!$L$19/100*Q61,'BVAD Values'!$L$20/100*R61,'BVAD Values'!$L$21/100*S61,'BVAD Values'!$L$22/100*T61,'BVAD Values'!$L$23/100*U61,'BVAD Values'!$L$24/100*V61,'BVAD Values'!$L$26/100*X61,'BVAD Values'!$L$27/100*Y61,'BVAD Values'!$L$28/100*Z61)</f>
        <v>1.1002456000000003</v>
      </c>
      <c r="AF61" s="66"/>
    </row>
    <row r="62" spans="3:32" x14ac:dyDescent="0.25">
      <c r="C62" s="66" t="s">
        <v>208</v>
      </c>
      <c r="D62" s="60" t="s">
        <v>131</v>
      </c>
      <c r="E62" s="60">
        <v>3.2000000000000001E-2</v>
      </c>
      <c r="F62" s="60">
        <v>6.0999999999999999E-2</v>
      </c>
      <c r="G62" s="60">
        <v>1.0999999999999999E-2</v>
      </c>
      <c r="H62" s="60">
        <v>0.02</v>
      </c>
      <c r="I62" s="60">
        <v>1.2749999999999999</v>
      </c>
      <c r="J62" s="60"/>
      <c r="K62" s="60">
        <v>5.5E-2</v>
      </c>
      <c r="L62" s="60">
        <v>2.5000000000000001E-2</v>
      </c>
      <c r="M62" s="60">
        <v>0.2</v>
      </c>
      <c r="N62" s="60">
        <v>1.377</v>
      </c>
      <c r="O62" s="60">
        <v>9.1999999999999998E-2</v>
      </c>
      <c r="P62" s="60">
        <v>3.5999999999999997E-2</v>
      </c>
      <c r="Q62" s="60">
        <v>4.5999999999999999E-2</v>
      </c>
      <c r="R62" s="60">
        <v>0.72099999999999997</v>
      </c>
      <c r="S62" s="60">
        <v>6.7000000000000004E-2</v>
      </c>
      <c r="T62" s="60">
        <v>0.58599999999999997</v>
      </c>
      <c r="U62" s="60">
        <v>0.129</v>
      </c>
      <c r="V62" s="60">
        <v>1.9E-2</v>
      </c>
      <c r="W62" s="60">
        <v>8.8999999999999996E-2</v>
      </c>
      <c r="X62" s="60">
        <v>2.7E-2</v>
      </c>
      <c r="Y62" s="60"/>
      <c r="Z62" s="60">
        <v>6.6000000000000003E-2</v>
      </c>
      <c r="AA62" s="66">
        <f t="shared" si="0"/>
        <v>0.24670000000000006</v>
      </c>
      <c r="AB62" s="103">
        <f t="shared" si="1"/>
        <v>1.377</v>
      </c>
      <c r="AC62" s="66"/>
      <c r="AD62" s="88">
        <f>4*'Chosen Total Requirements'!E42/1000</f>
        <v>8.1999999999999993</v>
      </c>
      <c r="AE62" s="66">
        <f>SUM('BVAD Values'!$L$7/100*E62,'BVAD Values'!$L$8/100*F62,'BVAD Values'!$L$9/100*G62,'BVAD Values'!$L$10/100*H62,'BVAD Values'!$L$12/100*J62,'BVAD Values'!$L$13/100*K62,'BVAD Values'!$L$14/100*L62,'BVAD Values'!$L$15/100*M62,'BVAD Values'!$L$16/100*N62,'BVAD Values'!$L$17/100*O62,'BVAD Values'!$L$18/100*P62,'BVAD Values'!$L$19/100*Q62,'BVAD Values'!$L$20/100*R62,'BVAD Values'!$L$21/100*S62,'BVAD Values'!$L$22/100*T62,'BVAD Values'!$L$23/100*U62,'BVAD Values'!$L$24/100*V62,'BVAD Values'!$L$26/100*X62,'BVAD Values'!$L$27/100*Y62,'BVAD Values'!$L$28/100*Z62)</f>
        <v>3.6883732</v>
      </c>
      <c r="AF62" s="66">
        <f>4*'Chosen Total Requirements'!L42/1000</f>
        <v>4.4000000000000004</v>
      </c>
    </row>
    <row r="63" spans="3:32" x14ac:dyDescent="0.25">
      <c r="C63" s="66" t="s">
        <v>209</v>
      </c>
      <c r="D63" s="60" t="s">
        <v>131</v>
      </c>
      <c r="E63" s="60">
        <v>1.9E-2</v>
      </c>
      <c r="F63" s="60">
        <v>4.2999999999999997E-2</v>
      </c>
      <c r="G63" s="60"/>
      <c r="H63" s="60">
        <v>8.9999999999999993E-3</v>
      </c>
      <c r="I63" s="60">
        <v>0.66400000000000003</v>
      </c>
      <c r="J63" s="60"/>
      <c r="K63" s="60">
        <v>3.2000000000000001E-2</v>
      </c>
      <c r="L63" s="60">
        <v>1.4E-2</v>
      </c>
      <c r="M63" s="60">
        <v>0.114</v>
      </c>
      <c r="N63" s="60">
        <v>1.0489999999999999</v>
      </c>
      <c r="O63" s="60">
        <v>1.2E-2</v>
      </c>
      <c r="P63" s="60">
        <v>8.9999999999999993E-3</v>
      </c>
      <c r="Q63" s="60">
        <v>3.7999999999999999E-2</v>
      </c>
      <c r="R63" s="60">
        <v>0.622</v>
      </c>
      <c r="S63" s="60">
        <v>4.2000000000000003E-2</v>
      </c>
      <c r="T63" s="60">
        <v>0.46400000000000002</v>
      </c>
      <c r="U63" s="60">
        <v>0.108</v>
      </c>
      <c r="V63" s="60">
        <v>2.1999999999999999E-2</v>
      </c>
      <c r="W63" s="60">
        <v>3.4000000000000002E-2</v>
      </c>
      <c r="X63" s="60">
        <v>1.4E-2</v>
      </c>
      <c r="Y63" s="60"/>
      <c r="Z63" s="60">
        <v>3.9E-2</v>
      </c>
      <c r="AA63" s="66">
        <f t="shared" si="0"/>
        <v>0.17621052631578943</v>
      </c>
      <c r="AB63" s="103">
        <f t="shared" si="1"/>
        <v>1.0489999999999999</v>
      </c>
      <c r="AC63" s="66"/>
      <c r="AD63" s="88">
        <f>AD62</f>
        <v>8.1999999999999993</v>
      </c>
      <c r="AE63" s="66">
        <f>SUM('BVAD Values'!$L$7/100*E63,'BVAD Values'!$L$8/100*F63,'BVAD Values'!$L$9/100*G63,'BVAD Values'!$L$10/100*H63,'BVAD Values'!$L$12/100*J63,'BVAD Values'!$L$13/100*K63,'BVAD Values'!$L$14/100*L63,'BVAD Values'!$L$15/100*M63,'BVAD Values'!$L$16/100*N63,'BVAD Values'!$L$17/100*O63,'BVAD Values'!$L$18/100*P63,'BVAD Values'!$L$19/100*Q63,'BVAD Values'!$L$20/100*R63,'BVAD Values'!$L$21/100*S63,'BVAD Values'!$L$22/100*T63,'BVAD Values'!$L$23/100*U63,'BVAD Values'!$L$24/100*V63,'BVAD Values'!$L$26/100*X63,'BVAD Values'!$L$27/100*Y63,'BVAD Values'!$L$28/100*Z63)</f>
        <v>2.1706091999999995</v>
      </c>
      <c r="AF63" s="66"/>
    </row>
    <row r="64" spans="3:32" x14ac:dyDescent="0.25">
      <c r="C64" s="66" t="s">
        <v>145</v>
      </c>
      <c r="D64" s="60" t="s">
        <v>131</v>
      </c>
      <c r="E64" s="60">
        <v>4.2000000000000003E-2</v>
      </c>
      <c r="F64" s="60">
        <v>6.9000000000000006E-2</v>
      </c>
      <c r="G64" s="60">
        <v>1.0999999999999999E-2</v>
      </c>
      <c r="H64" s="60">
        <v>2.7E-2</v>
      </c>
      <c r="I64" s="60">
        <v>1.2330000000000001</v>
      </c>
      <c r="J64" s="60"/>
      <c r="K64" s="60">
        <v>7.0000000000000007E-2</v>
      </c>
      <c r="L64" s="60">
        <v>2.1000000000000001E-2</v>
      </c>
      <c r="M64" s="60">
        <v>0.23499999999999999</v>
      </c>
      <c r="N64" s="60">
        <v>1.0820000000000001</v>
      </c>
      <c r="O64" s="60">
        <v>3.5999999999999997E-2</v>
      </c>
      <c r="P64" s="60">
        <v>3.5000000000000003E-2</v>
      </c>
      <c r="Q64" s="60">
        <v>5.6000000000000001E-2</v>
      </c>
      <c r="R64" s="60">
        <v>0.85799999999999998</v>
      </c>
      <c r="S64" s="60">
        <v>0.09</v>
      </c>
      <c r="T64" s="60">
        <v>0.57599999999999996</v>
      </c>
      <c r="U64" s="60">
        <v>0.161</v>
      </c>
      <c r="V64" s="60">
        <v>1.9E-2</v>
      </c>
      <c r="W64" s="60">
        <v>8.5999999999999993E-2</v>
      </c>
      <c r="X64" s="60">
        <v>1.7999999999999999E-2</v>
      </c>
      <c r="Y64" s="60"/>
      <c r="Z64" s="60">
        <v>8.4000000000000005E-2</v>
      </c>
      <c r="AA64" s="66">
        <f t="shared" si="0"/>
        <v>0.24044999999999997</v>
      </c>
      <c r="AB64" s="103">
        <f t="shared" si="1"/>
        <v>1.2330000000000001</v>
      </c>
      <c r="AC64" s="66"/>
      <c r="AD64" s="66">
        <f>4*'Chosen Total Requirements'!E44/1000</f>
        <v>8.5280000000000005</v>
      </c>
      <c r="AE64" s="66">
        <f>SUM('BVAD Values'!$L$7/100*E64,'BVAD Values'!$L$8/100*F64,'BVAD Values'!$L$9/100*G64,'BVAD Values'!$L$10/100*H64,'BVAD Values'!$L$12/100*J64,'BVAD Values'!$L$13/100*K64,'BVAD Values'!$L$14/100*L64,'BVAD Values'!$L$15/100*M64,'BVAD Values'!$L$16/100*N64,'BVAD Values'!$L$17/100*O64,'BVAD Values'!$L$18/100*P64,'BVAD Values'!$L$19/100*Q64,'BVAD Values'!$L$20/100*R64,'BVAD Values'!$L$21/100*S64,'BVAD Values'!$L$22/100*T64,'BVAD Values'!$L$23/100*U64,'BVAD Values'!$L$24/100*V64,'BVAD Values'!$L$26/100*X64,'BVAD Values'!$L$27/100*Y64,'BVAD Values'!$L$28/100*Z64)</f>
        <v>3.7568128000000001</v>
      </c>
      <c r="AF64" s="66">
        <f>4*'Chosen Total Requirements'!L44/1000</f>
        <v>3.2</v>
      </c>
    </row>
    <row r="65" spans="3:32" ht="15.75" thickBot="1" x14ac:dyDescent="0.3">
      <c r="C65" s="70" t="s">
        <v>153</v>
      </c>
      <c r="D65" s="65" t="s">
        <v>131</v>
      </c>
      <c r="E65" s="65">
        <v>2.1999999999999999E-2</v>
      </c>
      <c r="F65" s="65">
        <v>0.04</v>
      </c>
      <c r="G65" s="65">
        <v>3.5999999999999997E-2</v>
      </c>
      <c r="H65" s="65">
        <v>1.2E-2</v>
      </c>
      <c r="I65" s="65">
        <v>0.65600000000000003</v>
      </c>
      <c r="J65" s="65"/>
      <c r="K65" s="65">
        <v>2.1999999999999999E-2</v>
      </c>
      <c r="L65" s="65">
        <v>1.4E-2</v>
      </c>
      <c r="M65" s="65">
        <v>0.107</v>
      </c>
      <c r="N65" s="65">
        <v>0.65200000000000002</v>
      </c>
      <c r="O65" s="65">
        <v>0.01</v>
      </c>
      <c r="P65" s="65">
        <v>1.2999999999999999E-2</v>
      </c>
      <c r="Q65" s="65">
        <v>2.1000000000000001E-2</v>
      </c>
      <c r="R65" s="65">
        <v>0.38400000000000001</v>
      </c>
      <c r="S65" s="65">
        <v>3.4000000000000002E-2</v>
      </c>
      <c r="T65" s="65">
        <v>0.34799999999999998</v>
      </c>
      <c r="U65" s="65">
        <v>6.4000000000000001E-2</v>
      </c>
      <c r="V65" s="65">
        <v>1.2E-2</v>
      </c>
      <c r="W65" s="65">
        <v>3.1E-2</v>
      </c>
      <c r="X65" s="65">
        <v>1.4E-2</v>
      </c>
      <c r="Y65" s="65"/>
      <c r="Z65" s="65">
        <v>2.8000000000000001E-2</v>
      </c>
      <c r="AA65" s="70">
        <f t="shared" si="0"/>
        <v>0.12599999999999997</v>
      </c>
      <c r="AB65" s="104">
        <f t="shared" si="1"/>
        <v>0.65600000000000003</v>
      </c>
      <c r="AC65" s="70"/>
      <c r="AD65" s="70">
        <f>4*'Chosen Total Requirements'!E45/1000</f>
        <v>3.28</v>
      </c>
      <c r="AE65" s="70">
        <f>SUM('BVAD Values'!$L$7/100*E65,'BVAD Values'!$L$8/100*F65,'BVAD Values'!$L$9/100*G65,'BVAD Values'!$L$10/100*H65,'BVAD Values'!$L$12/100*J65,'BVAD Values'!$L$13/100*K65,'BVAD Values'!$L$14/100*L65,'BVAD Values'!$L$15/100*M65,'BVAD Values'!$L$16/100*N65,'BVAD Values'!$L$17/100*O65,'BVAD Values'!$L$18/100*P65,'BVAD Values'!$L$19/100*Q65,'BVAD Values'!$L$20/100*R65,'BVAD Values'!$L$21/100*S65,'BVAD Values'!$L$22/100*T65,'BVAD Values'!$L$23/100*U65,'BVAD Values'!$L$24/100*V65,'BVAD Values'!$L$26/100*X65,'BVAD Values'!$L$27/100*Y65,'BVAD Values'!$L$28/100*Z65)</f>
        <v>1.7570555999999999</v>
      </c>
      <c r="AF65" s="70">
        <f>4*'Chosen Total Requirements'!L45/1000</f>
        <v>2.8</v>
      </c>
    </row>
    <row r="66" spans="3:32" ht="15.75" thickBot="1" x14ac:dyDescent="0.3">
      <c r="C66" s="73" t="s">
        <v>326</v>
      </c>
      <c r="D66" s="84"/>
      <c r="E66" s="3" t="s">
        <v>211</v>
      </c>
      <c r="F66" s="56" t="s">
        <v>212</v>
      </c>
      <c r="G66" s="95" t="s">
        <v>213</v>
      </c>
      <c r="H66" s="3" t="s">
        <v>214</v>
      </c>
      <c r="I66" s="96" t="s">
        <v>256</v>
      </c>
      <c r="J66" s="95" t="s">
        <v>215</v>
      </c>
      <c r="K66" s="95" t="s">
        <v>216</v>
      </c>
      <c r="L66" s="95" t="s">
        <v>217</v>
      </c>
      <c r="M66" s="95" t="s">
        <v>218</v>
      </c>
      <c r="N66" s="95" t="s">
        <v>219</v>
      </c>
      <c r="O66" s="95" t="s">
        <v>220</v>
      </c>
      <c r="P66" s="95" t="s">
        <v>222</v>
      </c>
      <c r="Q66" s="96" t="s">
        <v>232</v>
      </c>
      <c r="R66" s="95" t="s">
        <v>223</v>
      </c>
      <c r="S66" s="95" t="s">
        <v>224</v>
      </c>
      <c r="T66" s="95" t="s">
        <v>225</v>
      </c>
      <c r="U66" s="95" t="s">
        <v>226</v>
      </c>
      <c r="V66" s="95" t="s">
        <v>227</v>
      </c>
      <c r="W66" s="95" t="s">
        <v>228</v>
      </c>
      <c r="X66" s="95" t="s">
        <v>229</v>
      </c>
      <c r="Y66" s="95" t="s">
        <v>230</v>
      </c>
      <c r="Z66" s="3" t="s">
        <v>231</v>
      </c>
    </row>
    <row r="67" spans="3:32" x14ac:dyDescent="0.25">
      <c r="C67" s="116"/>
      <c r="D67" s="117"/>
      <c r="E67" s="44"/>
      <c r="F67" s="118"/>
      <c r="G67" s="44"/>
      <c r="H67" s="44"/>
      <c r="I67" s="119"/>
      <c r="J67" s="44"/>
      <c r="K67" s="44"/>
      <c r="L67" s="44"/>
      <c r="M67" s="44"/>
      <c r="N67" s="44"/>
      <c r="O67" s="44"/>
      <c r="P67" s="44"/>
      <c r="Q67" s="119"/>
      <c r="R67" s="44"/>
      <c r="S67" s="44"/>
      <c r="T67" s="44"/>
      <c r="U67" s="44"/>
      <c r="V67" s="44"/>
      <c r="W67" s="44"/>
      <c r="X67" s="44"/>
      <c r="Y67" s="44"/>
      <c r="Z67" s="44"/>
    </row>
    <row r="68" spans="3:32" x14ac:dyDescent="0.25">
      <c r="C68" s="120" t="s">
        <v>331</v>
      </c>
      <c r="E68">
        <f>100-(E8+E23)</f>
        <v>7.1799999999999926</v>
      </c>
      <c r="F68">
        <f>100-(F8+F23)</f>
        <v>10.739999999999995</v>
      </c>
      <c r="G68">
        <f t="shared" ref="G68:Z68" si="8">100-(G8+G23)</f>
        <v>5.7400000000000091</v>
      </c>
      <c r="H68">
        <f t="shared" si="8"/>
        <v>3.8199999999999932</v>
      </c>
      <c r="I68">
        <f t="shared" si="8"/>
        <v>84.42</v>
      </c>
      <c r="J68">
        <f t="shared" si="8"/>
        <v>7.1700000000000017</v>
      </c>
      <c r="K68">
        <f t="shared" si="8"/>
        <v>4.3999999999999915</v>
      </c>
      <c r="L68">
        <f t="shared" si="8"/>
        <v>10.540000000000006</v>
      </c>
      <c r="M68">
        <f t="shared" si="8"/>
        <v>20.269999999999996</v>
      </c>
      <c r="N68">
        <f t="shared" si="8"/>
        <v>91.17</v>
      </c>
      <c r="O68">
        <f t="shared" si="8"/>
        <v>5.6799999999999926</v>
      </c>
      <c r="P68">
        <f t="shared" si="8"/>
        <v>4.1800000000000068</v>
      </c>
      <c r="Q68">
        <f t="shared" si="8"/>
        <v>11.340000000000003</v>
      </c>
      <c r="R68">
        <f t="shared" si="8"/>
        <v>90.710000000000008</v>
      </c>
      <c r="S68">
        <f t="shared" si="8"/>
        <v>9.0200000000000102</v>
      </c>
      <c r="T68">
        <f t="shared" si="8"/>
        <v>30.799999999999997</v>
      </c>
      <c r="U68">
        <f t="shared" si="8"/>
        <v>6.8799999999999955</v>
      </c>
      <c r="V68">
        <f t="shared" si="8"/>
        <v>8.6499999999999915</v>
      </c>
      <c r="W68">
        <f t="shared" si="8"/>
        <v>21.730000000000004</v>
      </c>
      <c r="X68">
        <f t="shared" si="8"/>
        <v>4.980000000000004</v>
      </c>
      <c r="Y68">
        <f t="shared" si="8"/>
        <v>88.039999999999992</v>
      </c>
      <c r="Z68">
        <f t="shared" si="8"/>
        <v>17.480000000000004</v>
      </c>
    </row>
    <row r="69" spans="3:32" x14ac:dyDescent="0.25">
      <c r="C69" t="s">
        <v>327</v>
      </c>
      <c r="D69" t="s">
        <v>328</v>
      </c>
    </row>
    <row r="70" spans="3:32" x14ac:dyDescent="0.25">
      <c r="C70" s="67" t="s">
        <v>133</v>
      </c>
      <c r="D70" t="s">
        <v>329</v>
      </c>
    </row>
    <row r="71" spans="3:32" x14ac:dyDescent="0.25">
      <c r="C71" s="66" t="s">
        <v>134</v>
      </c>
      <c r="D71" t="s">
        <v>330</v>
      </c>
      <c r="E71" s="121">
        <f t="shared" ref="E71:E79" si="9">(E25/1000)/$E$68</f>
        <v>5.5710306406685298E-3</v>
      </c>
      <c r="F71" s="121">
        <f t="shared" ref="F71:F79" si="10">(F25/1000)/$F$68</f>
        <v>3.0726256983240239E-3</v>
      </c>
      <c r="G71" s="121">
        <f t="shared" ref="G71:G79" si="11">(G25/1000)/$G$68</f>
        <v>8.8850174216027721E-3</v>
      </c>
      <c r="H71" s="121">
        <f t="shared" ref="H71:H79" si="12">(H25/1000)/$H$68</f>
        <v>1.0471204188481695E-2</v>
      </c>
      <c r="I71" s="121">
        <f t="shared" ref="I71:I79" si="13">(I25/1000)/$I$68</f>
        <v>1.6939113954039325E-3</v>
      </c>
      <c r="J71" s="121">
        <f t="shared" ref="J71:J79" si="14">(J25/1000)/$J$68</f>
        <v>7.2524407252440703E-3</v>
      </c>
      <c r="K71" s="121">
        <f t="shared" ref="K71:K79" si="15">(K25/1000)/$K$68</f>
        <v>8.1818181818181963E-3</v>
      </c>
      <c r="L71" s="121">
        <f t="shared" ref="L71:L79" si="16">(L25/1000)/$L$68</f>
        <v>2.182163187855786E-3</v>
      </c>
      <c r="M71" s="121">
        <f t="shared" ref="M71:M79" si="17">(M25/1000)/$M$68</f>
        <v>1.2333497779970402E-3</v>
      </c>
      <c r="N71" s="121">
        <f t="shared" ref="N71:N79" si="18">(N25/1000)/$N$68</f>
        <v>1.0091038718876824E-3</v>
      </c>
      <c r="O71" s="121">
        <f t="shared" ref="O71:O79" si="19">(O25/1000)/$O$68</f>
        <v>1.7605633802816926E-3</v>
      </c>
      <c r="P71" s="121">
        <f t="shared" ref="P71:P79" si="20">(P25/1000)/$P$68</f>
        <v>5.9808612440191292E-3</v>
      </c>
      <c r="Q71" s="121">
        <f t="shared" ref="Q71:Q79" si="21">(Q25/1000)/$Q$68</f>
        <v>1.4109347442680773E-3</v>
      </c>
      <c r="R71" s="121">
        <f t="shared" ref="R71:R79" si="22">(R25/1000)/$R$68</f>
        <v>2.3150700033072429E-4</v>
      </c>
      <c r="S71" s="121">
        <f t="shared" ref="S71:S79" si="23">(S25/1000)/$S$68</f>
        <v>4.101995565410195E-3</v>
      </c>
      <c r="T71" s="121">
        <f t="shared" ref="T71:T79" si="24">(T25/1000)/$T$68</f>
        <v>6.396103896103897E-3</v>
      </c>
      <c r="U71" s="121">
        <f t="shared" ref="U71:U79" si="25">(U25/1000)/$U$68</f>
        <v>1.4389534883720941E-2</v>
      </c>
      <c r="V71" s="121">
        <f t="shared" ref="V71:V79" si="26">(V25/1000)/$V$68</f>
        <v>1.8497109826589614E-3</v>
      </c>
      <c r="W71" s="121">
        <f t="shared" ref="W71:W79" si="27">(W25/1000)/$W$68</f>
        <v>1.3805798435342841E-3</v>
      </c>
      <c r="X71" s="121">
        <f t="shared" ref="X71:X79" si="28">(X25/1000)/$X$68</f>
        <v>2.0080321285140547E-3</v>
      </c>
      <c r="Y71" s="121">
        <f t="shared" ref="Y71:Y79" si="29">(Y25/1000)/$Y$68</f>
        <v>3.8618809631985469E-4</v>
      </c>
      <c r="Z71" s="121">
        <f t="shared" ref="Z71:Z79" si="30">(Z25/1000)/$Z$68</f>
        <v>5.1487414187643E-4</v>
      </c>
    </row>
    <row r="72" spans="3:32" x14ac:dyDescent="0.25">
      <c r="C72" s="66" t="s">
        <v>107</v>
      </c>
      <c r="E72" s="121">
        <f t="shared" si="9"/>
        <v>3.7604456824512572E-5</v>
      </c>
      <c r="F72" s="121">
        <f t="shared" si="10"/>
        <v>2.7932960893854759E-5</v>
      </c>
      <c r="G72" s="121">
        <f t="shared" si="11"/>
        <v>3.1358885017421554E-4</v>
      </c>
      <c r="H72" s="121">
        <f t="shared" si="12"/>
        <v>5.235602094240847E-5</v>
      </c>
      <c r="I72" s="121">
        <f t="shared" si="13"/>
        <v>9.7133380715470251E-5</v>
      </c>
      <c r="J72" s="121">
        <f t="shared" si="14"/>
        <v>7.1129707112970705E-5</v>
      </c>
      <c r="K72" s="121">
        <f t="shared" si="15"/>
        <v>1.9545454545454583E-4</v>
      </c>
      <c r="L72" s="121">
        <f t="shared" si="16"/>
        <v>1.9924098671726742E-5</v>
      </c>
      <c r="M72" s="121">
        <f t="shared" si="17"/>
        <v>7.252096694622596E-5</v>
      </c>
      <c r="N72" s="121">
        <f t="shared" si="18"/>
        <v>5.023582318745201E-5</v>
      </c>
      <c r="O72" s="121">
        <f t="shared" si="19"/>
        <v>5.9859154929577547E-5</v>
      </c>
      <c r="P72" s="121">
        <f t="shared" si="20"/>
        <v>8.1339712918660157E-5</v>
      </c>
      <c r="Q72" s="121">
        <f t="shared" si="21"/>
        <v>7.054673721340386E-5</v>
      </c>
      <c r="R72" s="121">
        <f t="shared" si="22"/>
        <v>2.1607320030867599E-5</v>
      </c>
      <c r="S72" s="121">
        <f t="shared" si="23"/>
        <v>1.1419068736141895E-4</v>
      </c>
      <c r="T72" s="121">
        <f t="shared" si="24"/>
        <v>1.1525974025974027E-4</v>
      </c>
      <c r="U72" s="121">
        <f t="shared" si="25"/>
        <v>3.9389534883720956E-4</v>
      </c>
      <c r="V72" s="121">
        <f t="shared" si="26"/>
        <v>4.7398843930635887E-5</v>
      </c>
      <c r="W72" s="121">
        <f t="shared" si="27"/>
        <v>2.8071790151863775E-5</v>
      </c>
      <c r="X72" s="121">
        <f t="shared" si="28"/>
        <v>5.4216867469879475E-5</v>
      </c>
      <c r="Y72" s="121">
        <f t="shared" si="29"/>
        <v>6.0995002271694688E-5</v>
      </c>
      <c r="Z72" s="121">
        <f t="shared" si="30"/>
        <v>2.9748283752860408E-5</v>
      </c>
    </row>
    <row r="73" spans="3:32" x14ac:dyDescent="0.25">
      <c r="C73" s="66" t="s">
        <v>135</v>
      </c>
      <c r="E73" s="121">
        <f t="shared" si="9"/>
        <v>1.6713091922005588E-3</v>
      </c>
      <c r="F73" s="121">
        <f t="shared" si="10"/>
        <v>1.1173184357541905E-3</v>
      </c>
      <c r="G73" s="121">
        <f t="shared" si="11"/>
        <v>1.4111498257839699E-2</v>
      </c>
      <c r="H73" s="121">
        <f t="shared" si="12"/>
        <v>2.8795811518324659E-3</v>
      </c>
      <c r="I73" s="121">
        <f t="shared" si="13"/>
        <v>1.658374792703151E-3</v>
      </c>
      <c r="J73" s="121">
        <f t="shared" si="14"/>
        <v>2.2315202231520219E-3</v>
      </c>
      <c r="K73" s="121">
        <f t="shared" si="15"/>
        <v>2.9545454545454601E-3</v>
      </c>
      <c r="L73" s="121">
        <f t="shared" si="16"/>
        <v>9.4876660341555925E-4</v>
      </c>
      <c r="M73" s="121">
        <f t="shared" si="17"/>
        <v>1.6280217069560932E-3</v>
      </c>
      <c r="N73" s="121">
        <f t="shared" si="18"/>
        <v>1.8427114182296808E-3</v>
      </c>
      <c r="O73" s="121">
        <f t="shared" si="19"/>
        <v>1.7605633802816926E-3</v>
      </c>
      <c r="P73" s="121">
        <f t="shared" si="20"/>
        <v>2.3923444976076515E-3</v>
      </c>
      <c r="Q73" s="121">
        <f t="shared" si="21"/>
        <v>2.0282186948853611E-3</v>
      </c>
      <c r="R73" s="121">
        <f t="shared" si="22"/>
        <v>1.9512732885018187E-3</v>
      </c>
      <c r="S73" s="121">
        <f t="shared" si="23"/>
        <v>2.771618625277159E-3</v>
      </c>
      <c r="T73" s="121">
        <f t="shared" si="24"/>
        <v>2.1103896103896107E-3</v>
      </c>
      <c r="U73" s="121">
        <f t="shared" si="25"/>
        <v>1.1482558139534891E-2</v>
      </c>
      <c r="V73" s="121">
        <f t="shared" si="26"/>
        <v>1.502890173410406E-3</v>
      </c>
      <c r="W73" s="121">
        <f t="shared" si="27"/>
        <v>1.1504832029452369E-3</v>
      </c>
      <c r="X73" s="121">
        <f t="shared" si="28"/>
        <v>2.2088353413654599E-3</v>
      </c>
      <c r="Y73" s="121">
        <f t="shared" si="29"/>
        <v>1.0222626079054976E-3</v>
      </c>
      <c r="Z73" s="121">
        <f t="shared" si="30"/>
        <v>1.2013729977116703E-3</v>
      </c>
    </row>
    <row r="74" spans="3:32" x14ac:dyDescent="0.25">
      <c r="C74" s="66" t="s">
        <v>136</v>
      </c>
      <c r="E74" s="121">
        <f t="shared" si="9"/>
        <v>3.6211699164345437E-3</v>
      </c>
      <c r="F74" s="121">
        <f t="shared" si="10"/>
        <v>3.2588454376163891E-3</v>
      </c>
      <c r="G74" s="121">
        <f t="shared" si="11"/>
        <v>8.0139372822299517E-3</v>
      </c>
      <c r="H74" s="121">
        <f t="shared" si="12"/>
        <v>6.2827225130890167E-3</v>
      </c>
      <c r="I74" s="121">
        <f t="shared" si="13"/>
        <v>4.821132433072731E-3</v>
      </c>
      <c r="J74" s="121">
        <f t="shared" si="14"/>
        <v>3.4867503486750344E-3</v>
      </c>
      <c r="K74" s="121">
        <f t="shared" si="15"/>
        <v>6.5909090909091039E-3</v>
      </c>
      <c r="L74" s="121">
        <f t="shared" si="16"/>
        <v>2.751423149905122E-3</v>
      </c>
      <c r="M74" s="121">
        <f t="shared" si="17"/>
        <v>5.3280710409472137E-3</v>
      </c>
      <c r="N74" s="121">
        <f t="shared" si="18"/>
        <v>4.1241636503235712E-3</v>
      </c>
      <c r="O74" s="121">
        <f t="shared" si="19"/>
        <v>3.5211267605633851E-3</v>
      </c>
      <c r="P74" s="121">
        <f t="shared" si="20"/>
        <v>4.784688995215303E-3</v>
      </c>
      <c r="Q74" s="121">
        <f t="shared" si="21"/>
        <v>3.5273368606701929E-3</v>
      </c>
      <c r="R74" s="121">
        <f t="shared" si="22"/>
        <v>4.7734538639620768E-3</v>
      </c>
      <c r="S74" s="121">
        <f t="shared" si="23"/>
        <v>4.2128603104212813E-3</v>
      </c>
      <c r="T74" s="121">
        <f t="shared" si="24"/>
        <v>6.2987012987012992E-3</v>
      </c>
      <c r="U74" s="121">
        <f t="shared" si="25"/>
        <v>7.1220930232558186E-3</v>
      </c>
      <c r="V74" s="121">
        <f t="shared" si="26"/>
        <v>2.7745664739884423E-3</v>
      </c>
      <c r="W74" s="121">
        <f t="shared" si="27"/>
        <v>2.1629084215370451E-3</v>
      </c>
      <c r="X74" s="121">
        <f t="shared" si="28"/>
        <v>4.819277108433731E-3</v>
      </c>
      <c r="Y74" s="121">
        <f t="shared" si="29"/>
        <v>4.5661063153112228E-3</v>
      </c>
      <c r="Z74" s="121">
        <f t="shared" si="30"/>
        <v>3.5469107551487408E-3</v>
      </c>
    </row>
    <row r="75" spans="3:32" x14ac:dyDescent="0.25">
      <c r="C75" s="66" t="s">
        <v>137</v>
      </c>
      <c r="E75" s="121">
        <f t="shared" si="9"/>
        <v>2.3676880222841253E-2</v>
      </c>
      <c r="F75" s="121">
        <f t="shared" si="10"/>
        <v>2.9795158286778412E-2</v>
      </c>
      <c r="G75" s="121">
        <f t="shared" si="11"/>
        <v>6.6027874564459826E-2</v>
      </c>
      <c r="H75" s="121">
        <f t="shared" si="12"/>
        <v>6.8062827225131017E-2</v>
      </c>
      <c r="I75" s="121">
        <f t="shared" si="13"/>
        <v>1.6654821132433072E-2</v>
      </c>
      <c r="J75" s="121">
        <f t="shared" si="14"/>
        <v>2.2175732217573216E-2</v>
      </c>
      <c r="K75" s="121">
        <f t="shared" si="15"/>
        <v>4.4090909090909181E-2</v>
      </c>
      <c r="L75" s="121">
        <f t="shared" si="16"/>
        <v>1.3851992409867163E-2</v>
      </c>
      <c r="M75" s="121">
        <f t="shared" si="17"/>
        <v>1.2037493833251112E-2</v>
      </c>
      <c r="N75" s="121">
        <f t="shared" si="18"/>
        <v>7.7328068443566957E-3</v>
      </c>
      <c r="O75" s="121">
        <f t="shared" si="19"/>
        <v>3.0809859154929616E-2</v>
      </c>
      <c r="P75" s="121">
        <f t="shared" si="20"/>
        <v>5.5741626794258287E-2</v>
      </c>
      <c r="Q75" s="121">
        <f t="shared" si="21"/>
        <v>2.8659611992945318E-2</v>
      </c>
      <c r="R75" s="121">
        <f t="shared" si="22"/>
        <v>4.7073090067247265E-3</v>
      </c>
      <c r="S75" s="121">
        <f t="shared" si="23"/>
        <v>2.3392461197339218E-2</v>
      </c>
      <c r="T75" s="121">
        <f t="shared" si="24"/>
        <v>2.0129870129870133E-2</v>
      </c>
      <c r="U75" s="121">
        <f t="shared" si="25"/>
        <v>8.1104651162790753E-2</v>
      </c>
      <c r="V75" s="121">
        <f t="shared" si="26"/>
        <v>1.7687861271676316E-2</v>
      </c>
      <c r="W75" s="121">
        <f t="shared" si="27"/>
        <v>1.5508513575701793E-2</v>
      </c>
      <c r="X75" s="121">
        <f t="shared" si="28"/>
        <v>4.7590361445783096E-2</v>
      </c>
      <c r="Y75" s="121">
        <f t="shared" si="29"/>
        <v>4.9409359382099052E-3</v>
      </c>
      <c r="Z75" s="121">
        <f t="shared" si="30"/>
        <v>2.3283752860411892E-2</v>
      </c>
    </row>
    <row r="76" spans="3:32" x14ac:dyDescent="0.25">
      <c r="C76" s="66" t="s">
        <v>138</v>
      </c>
      <c r="E76" s="121">
        <f t="shared" si="9"/>
        <v>2.5069637883008379E-3</v>
      </c>
      <c r="F76" s="121">
        <f t="shared" si="10"/>
        <v>6.4245810055865958E-3</v>
      </c>
      <c r="G76" s="121">
        <f t="shared" si="11"/>
        <v>3.7108013937282171E-2</v>
      </c>
      <c r="H76" s="121">
        <f t="shared" si="12"/>
        <v>2.094240837696339E-2</v>
      </c>
      <c r="I76" s="121">
        <f t="shared" si="13"/>
        <v>2.8429282160625445E-4</v>
      </c>
      <c r="J76" s="121">
        <f t="shared" si="14"/>
        <v>2.0920502092050203E-3</v>
      </c>
      <c r="K76" s="121">
        <f t="shared" si="15"/>
        <v>6.363636363636376E-3</v>
      </c>
      <c r="L76" s="121">
        <f t="shared" si="16"/>
        <v>3.7950664136622369E-4</v>
      </c>
      <c r="M76" s="121">
        <f t="shared" si="17"/>
        <v>2.4666995559940807E-4</v>
      </c>
      <c r="N76" s="121">
        <f t="shared" si="18"/>
        <v>1.9743336623889436E-4</v>
      </c>
      <c r="O76" s="121">
        <f t="shared" si="19"/>
        <v>5.2816901408450775E-4</v>
      </c>
      <c r="P76" s="121">
        <f t="shared" si="20"/>
        <v>9.3301435406698413E-3</v>
      </c>
      <c r="Q76" s="121">
        <f t="shared" si="21"/>
        <v>6.8783068783068758E-3</v>
      </c>
      <c r="R76" s="121">
        <f t="shared" si="22"/>
        <v>7.7169000110241425E-5</v>
      </c>
      <c r="S76" s="121">
        <f t="shared" si="23"/>
        <v>6.6518847006651809E-4</v>
      </c>
      <c r="T76" s="121">
        <f t="shared" si="24"/>
        <v>4.8701298701298707E-4</v>
      </c>
      <c r="U76" s="121">
        <f t="shared" si="25"/>
        <v>1.1482558139534891E-2</v>
      </c>
      <c r="V76" s="121">
        <f t="shared" si="26"/>
        <v>1.1560693641618509E-4</v>
      </c>
      <c r="W76" s="121">
        <f t="shared" si="27"/>
        <v>2.5310630464795208E-3</v>
      </c>
      <c r="X76" s="121">
        <f t="shared" si="28"/>
        <v>1.0040160642570274E-3</v>
      </c>
      <c r="Y76" s="121">
        <f t="shared" si="29"/>
        <v>2.2716946842344391E-5</v>
      </c>
      <c r="Z76" s="121">
        <f t="shared" si="30"/>
        <v>9.1533180778032019E-4</v>
      </c>
    </row>
    <row r="77" spans="3:32" x14ac:dyDescent="0.25">
      <c r="C77" s="66" t="s">
        <v>110</v>
      </c>
      <c r="E77" s="121">
        <f t="shared" si="9"/>
        <v>2.5069637883008381E-5</v>
      </c>
      <c r="F77" s="121">
        <f t="shared" si="10"/>
        <v>2.2346368715083807E-5</v>
      </c>
      <c r="G77" s="121">
        <f t="shared" si="11"/>
        <v>6.2717770034843103E-5</v>
      </c>
      <c r="H77" s="121">
        <f t="shared" si="12"/>
        <v>3.4031413612565509E-5</v>
      </c>
      <c r="I77" s="121">
        <f t="shared" si="13"/>
        <v>3.3049040511727079E-5</v>
      </c>
      <c r="J77" s="121">
        <f t="shared" si="14"/>
        <v>2.7894002789400273E-5</v>
      </c>
      <c r="K77" s="121">
        <f t="shared" si="15"/>
        <v>4.0909090909090983E-5</v>
      </c>
      <c r="L77" s="121">
        <f t="shared" si="16"/>
        <v>1.6129032258064507E-5</v>
      </c>
      <c r="M77" s="121">
        <f t="shared" si="17"/>
        <v>6.1174148988653196E-5</v>
      </c>
      <c r="N77" s="121">
        <f t="shared" si="18"/>
        <v>3.5867061533399145E-5</v>
      </c>
      <c r="O77" s="121">
        <f t="shared" si="19"/>
        <v>2.2887323943662005E-5</v>
      </c>
      <c r="P77" s="121">
        <f t="shared" si="20"/>
        <v>6.6985645933014253E-5</v>
      </c>
      <c r="Q77" s="121">
        <f t="shared" si="21"/>
        <v>3.0864197530864185E-5</v>
      </c>
      <c r="R77" s="121">
        <f t="shared" si="22"/>
        <v>6.5703891522434128E-5</v>
      </c>
      <c r="S77" s="121">
        <f t="shared" si="23"/>
        <v>2.6607538802660723E-5</v>
      </c>
      <c r="T77" s="121">
        <f t="shared" si="24"/>
        <v>3.2142857142857144E-5</v>
      </c>
      <c r="U77" s="121">
        <f t="shared" si="25"/>
        <v>7.7034883720930277E-5</v>
      </c>
      <c r="V77" s="121">
        <f t="shared" si="26"/>
        <v>1.6184971098265914E-5</v>
      </c>
      <c r="W77" s="121">
        <f t="shared" si="27"/>
        <v>1.380579843534284E-5</v>
      </c>
      <c r="X77" s="121">
        <f t="shared" si="28"/>
        <v>3.4136546184738929E-5</v>
      </c>
      <c r="Y77" s="121">
        <f t="shared" si="29"/>
        <v>3.9300318037255799E-5</v>
      </c>
      <c r="Z77" s="121">
        <f t="shared" si="30"/>
        <v>1.6590389016018304E-5</v>
      </c>
    </row>
    <row r="78" spans="3:32" x14ac:dyDescent="0.25">
      <c r="C78" s="66" t="s">
        <v>108</v>
      </c>
      <c r="E78" s="121">
        <f t="shared" si="9"/>
        <v>2.6462395543175517E-6</v>
      </c>
      <c r="F78" s="121">
        <f t="shared" si="10"/>
        <v>4.1899441340782139E-6</v>
      </c>
      <c r="G78" s="121">
        <f t="shared" si="11"/>
        <v>3.1184668989546985E-5</v>
      </c>
      <c r="H78" s="121">
        <f t="shared" si="12"/>
        <v>9.1623036649214838E-6</v>
      </c>
      <c r="I78" s="121">
        <f t="shared" si="13"/>
        <v>1.134802179578299E-5</v>
      </c>
      <c r="J78" s="121">
        <f t="shared" si="14"/>
        <v>4.3235704323570421E-6</v>
      </c>
      <c r="K78" s="121">
        <f t="shared" si="15"/>
        <v>6.590909090909104E-6</v>
      </c>
      <c r="L78" s="121">
        <f t="shared" si="16"/>
        <v>3.7001897533206809E-6</v>
      </c>
      <c r="M78" s="121">
        <f t="shared" si="17"/>
        <v>8.682782437099162E-6</v>
      </c>
      <c r="N78" s="121">
        <f t="shared" si="18"/>
        <v>1.2547987276516396E-5</v>
      </c>
      <c r="O78" s="121">
        <f t="shared" si="19"/>
        <v>1.1619718309859171E-5</v>
      </c>
      <c r="P78" s="121">
        <f t="shared" si="20"/>
        <v>1.1961722488038259E-5</v>
      </c>
      <c r="Q78" s="121">
        <f t="shared" si="21"/>
        <v>6.6137566137566115E-6</v>
      </c>
      <c r="R78" s="121">
        <f t="shared" si="22"/>
        <v>5.7766508653952155E-6</v>
      </c>
      <c r="S78" s="121">
        <f t="shared" si="23"/>
        <v>7.6496674057649589E-6</v>
      </c>
      <c r="T78" s="121">
        <f t="shared" si="24"/>
        <v>4.1558441558441559E-6</v>
      </c>
      <c r="U78" s="121">
        <f t="shared" si="25"/>
        <v>1.8895348837209316E-5</v>
      </c>
      <c r="V78" s="121">
        <f t="shared" si="26"/>
        <v>5.5491329479768841E-6</v>
      </c>
      <c r="W78" s="121">
        <f t="shared" si="27"/>
        <v>6.9489185457892292E-6</v>
      </c>
      <c r="X78" s="121">
        <f t="shared" si="28"/>
        <v>1.1847389558232921E-5</v>
      </c>
      <c r="Y78" s="121">
        <f t="shared" si="29"/>
        <v>4.8387096774193552E-6</v>
      </c>
      <c r="Z78" s="121">
        <f t="shared" si="30"/>
        <v>6.6361556064073214E-6</v>
      </c>
    </row>
    <row r="79" spans="3:32" x14ac:dyDescent="0.25">
      <c r="C79" s="66" t="s">
        <v>109</v>
      </c>
      <c r="E79" s="121">
        <f t="shared" si="9"/>
        <v>2.228412256267412E-5</v>
      </c>
      <c r="F79" s="121">
        <f t="shared" si="10"/>
        <v>1.3314711359404101E-5</v>
      </c>
      <c r="G79" s="121">
        <f t="shared" si="11"/>
        <v>6.3763066202090487E-5</v>
      </c>
      <c r="H79" s="121">
        <f t="shared" si="12"/>
        <v>2.6963350785340363E-5</v>
      </c>
      <c r="I79" s="121">
        <f t="shared" si="13"/>
        <v>1.2094290452499408E-5</v>
      </c>
      <c r="J79" s="121">
        <f t="shared" si="14"/>
        <v>2.0920502092050204E-5</v>
      </c>
      <c r="K79" s="121">
        <f t="shared" si="15"/>
        <v>5.6818181818181927E-5</v>
      </c>
      <c r="L79" s="121">
        <f t="shared" si="16"/>
        <v>1.2239089184060713E-5</v>
      </c>
      <c r="M79" s="121">
        <f t="shared" si="17"/>
        <v>2.0226936359151459E-5</v>
      </c>
      <c r="N79" s="121">
        <f t="shared" si="18"/>
        <v>2.1213118350334539E-5</v>
      </c>
      <c r="O79" s="121">
        <f t="shared" si="19"/>
        <v>2.1478873239436646E-5</v>
      </c>
      <c r="P79" s="121">
        <f t="shared" si="20"/>
        <v>1.6507177033492798E-5</v>
      </c>
      <c r="Q79" s="121">
        <f t="shared" si="21"/>
        <v>2.9012345679012341E-5</v>
      </c>
      <c r="R79" s="121">
        <f t="shared" si="22"/>
        <v>1.4651085878072978E-5</v>
      </c>
      <c r="S79" s="121">
        <f t="shared" si="23"/>
        <v>2.394678492239465E-5</v>
      </c>
      <c r="T79" s="121">
        <f t="shared" si="24"/>
        <v>1.7759740259740263E-5</v>
      </c>
      <c r="U79" s="121">
        <f t="shared" si="25"/>
        <v>1.3037790697674427E-4</v>
      </c>
      <c r="V79" s="121">
        <f t="shared" si="26"/>
        <v>4.4624277456647445E-5</v>
      </c>
      <c r="W79" s="121">
        <f t="shared" si="27"/>
        <v>1.1872986654394842E-5</v>
      </c>
      <c r="X79" s="121">
        <f t="shared" si="28"/>
        <v>2.2891566265060224E-5</v>
      </c>
      <c r="Y79" s="121">
        <f t="shared" si="29"/>
        <v>3.86869604725125E-5</v>
      </c>
      <c r="Z79" s="121">
        <f t="shared" si="30"/>
        <v>8.295194508009152E-6</v>
      </c>
    </row>
    <row r="80" spans="3:32" x14ac:dyDescent="0.25">
      <c r="C80" s="66" t="s">
        <v>139</v>
      </c>
      <c r="E80" s="121">
        <f>(E34/1000000)/$E$68</f>
        <v>4.1782729805013966E-8</v>
      </c>
      <c r="F80" s="121">
        <f>(F34/1000000)/$F$68</f>
        <v>9.3109869646182548E-9</v>
      </c>
      <c r="G80" s="121">
        <f>(G34/1000000)/$G$68</f>
        <v>1.5679442508710778E-7</v>
      </c>
      <c r="H80" s="121">
        <f>(H34/1000000)/$H$68</f>
        <v>1.0471204188481694E-8</v>
      </c>
      <c r="I80" s="121">
        <f>(I34/1000000)/$I$68</f>
        <v>3.7905709547500596E-8</v>
      </c>
      <c r="J80" s="121">
        <f>(J34/1000000)/$J$68</f>
        <v>6.9735006973500674E-8</v>
      </c>
      <c r="K80" s="121">
        <f>(K34/1000000)/$K$68</f>
        <v>1.3636363636363661E-7</v>
      </c>
      <c r="L80" s="121">
        <f>(L34/1000000)/$L$68</f>
        <v>4.7438330170777959E-8</v>
      </c>
      <c r="M80" s="121">
        <f>(M34/1000000)/$M$68</f>
        <v>8.8801184015786902E-8</v>
      </c>
      <c r="N80" s="121">
        <f>(N34/1000000)/$N$68</f>
        <v>7.897334649555775E-8</v>
      </c>
      <c r="O80" s="121">
        <f>(O34/1000000)/$O$68</f>
        <v>0</v>
      </c>
      <c r="P80" s="121">
        <f>(P34/1000000)/$P$68</f>
        <v>1.4354066985645909E-7</v>
      </c>
      <c r="Q80" s="121">
        <f>(Q34/1000000)/$Q$68</f>
        <v>6.1728395061728372E-8</v>
      </c>
      <c r="R80" s="121">
        <f>(R34/1000000)/$R$68</f>
        <v>3.0867600044096569E-8</v>
      </c>
      <c r="S80" s="121">
        <f>(S34/1000000)/$S$68</f>
        <v>6.6518847006651805E-8</v>
      </c>
      <c r="T80" s="121">
        <f>(T34/1000000)/$T$68</f>
        <v>4.8701298701298708E-8</v>
      </c>
      <c r="U80" s="121">
        <f>(U34/1000000)/$U$68</f>
        <v>1.4534883720930243E-7</v>
      </c>
      <c r="V80" s="121">
        <f>(V34/1000000)/$V$68</f>
        <v>4.6242774566474036E-8</v>
      </c>
      <c r="W80" s="121">
        <f>(W34/1000000)/$W$68</f>
        <v>2.761159687068568E-8</v>
      </c>
      <c r="X80" s="121">
        <f>(X34/1000000)/$X$68</f>
        <v>0</v>
      </c>
      <c r="Y80" s="121">
        <f>(Y34/1000000)/$Y$68</f>
        <v>0</v>
      </c>
      <c r="Z80" s="121">
        <f>(Z34/1000000)/$Z$68</f>
        <v>1.7162471395881001E-8</v>
      </c>
    </row>
    <row r="81" spans="3:26" x14ac:dyDescent="0.25">
      <c r="C81" s="66" t="s">
        <v>117</v>
      </c>
      <c r="E81" s="121">
        <f>(E35/1000000)/$E$68</f>
        <v>1.3927576601671324E-7</v>
      </c>
      <c r="F81" s="121">
        <f>(F35/1000000)/$F$68</f>
        <v>2.9795158286778416E-7</v>
      </c>
      <c r="G81" s="121">
        <f>(G35/1000000)/$G$68</f>
        <v>0</v>
      </c>
      <c r="H81" s="121">
        <f>(H35/1000000)/$H$68</f>
        <v>1.0471204188481693E-6</v>
      </c>
      <c r="I81" s="121">
        <f>(I35/1000000)/$I$68</f>
        <v>0</v>
      </c>
      <c r="J81" s="121">
        <f>(J35/1000000)/$J$68</f>
        <v>0</v>
      </c>
      <c r="K81" s="121">
        <f>(K35/1000000)/$K$68</f>
        <v>0</v>
      </c>
      <c r="L81" s="121">
        <f>(L35/1000000)/$L$68</f>
        <v>1.0436432637571152E-7</v>
      </c>
      <c r="M81" s="121">
        <f>(M35/1000000)/$M$68</f>
        <v>0</v>
      </c>
      <c r="N81" s="121">
        <f>(N35/1000000)/$N$68</f>
        <v>0</v>
      </c>
      <c r="O81" s="121">
        <f>(O35/1000000)/$O$68</f>
        <v>3.5211267605633845E-7</v>
      </c>
      <c r="P81" s="121">
        <f>(P35/1000000)/$P$68</f>
        <v>1.4354066985645911E-6</v>
      </c>
      <c r="Q81" s="121">
        <f>(Q35/1000000)/$Q$68</f>
        <v>0</v>
      </c>
      <c r="R81" s="121">
        <f>(R35/1000000)/$R$68</f>
        <v>0</v>
      </c>
      <c r="S81" s="121">
        <f>(S35/1000000)/$S$68</f>
        <v>2.1064301552106407E-6</v>
      </c>
      <c r="T81" s="121">
        <f>(T35/1000000)/$T$68</f>
        <v>0</v>
      </c>
      <c r="U81" s="121">
        <f>(U35/1000000)/$U$68</f>
        <v>0</v>
      </c>
      <c r="V81" s="121">
        <f>(V35/1000000)/$V$68</f>
        <v>5.0867052023121437E-7</v>
      </c>
      <c r="W81" s="121">
        <f>(W35/1000000)/$W$68</f>
        <v>0</v>
      </c>
      <c r="X81" s="121">
        <f>(X35/1000000)/$X$68</f>
        <v>4.6184738955823254E-7</v>
      </c>
      <c r="Y81" s="121">
        <f>(Y35/1000000)/$Y$68</f>
        <v>0</v>
      </c>
      <c r="Z81" s="121">
        <f>(Z35/1000000)/$Z$68</f>
        <v>0</v>
      </c>
    </row>
    <row r="82" spans="3:26" x14ac:dyDescent="0.25">
      <c r="C82" s="66" t="s">
        <v>143</v>
      </c>
      <c r="E82" s="121">
        <f t="shared" ref="E82:E87" si="31">(E37/1000)/$E$68</f>
        <v>5.0974930362117045E-3</v>
      </c>
      <c r="F82" s="121">
        <f t="shared" ref="F82:F87" si="32">(F37/1000)/$F$68</f>
        <v>5.4934823091247703E-4</v>
      </c>
      <c r="G82" s="121">
        <f t="shared" ref="G82:G87" si="33">(G37/1000)/$G$68</f>
        <v>5.2264808362369256E-3</v>
      </c>
      <c r="H82" s="121">
        <f t="shared" ref="H82:H87" si="34">(H37/1000)/$H$68</f>
        <v>8.1151832460733125E-4</v>
      </c>
      <c r="I82" s="121">
        <f t="shared" ref="I82:I87" si="35">(I37/1000)/$I$68</f>
        <v>5.3304904051172706E-5</v>
      </c>
      <c r="J82" s="121">
        <f t="shared" ref="J82:J87" si="36">(J37/1000)/$J$68</f>
        <v>1.8688981868898182E-3</v>
      </c>
      <c r="K82" s="121">
        <f t="shared" ref="K82:K87" si="37">(K37/1000)/$K$68</f>
        <v>2.0909090909090951E-3</v>
      </c>
      <c r="L82" s="121">
        <f t="shared" ref="L82:L87" si="38">(L37/1000)/$L$68</f>
        <v>7.0208728652751385E-4</v>
      </c>
      <c r="M82" s="121">
        <f t="shared" ref="M82:M87" si="39">(M37/1000)/$M$68</f>
        <v>1.9733596447952645E-3</v>
      </c>
      <c r="N82" s="121">
        <f t="shared" ref="N82:N87" si="40">(N37/1000)/$N$68</f>
        <v>0</v>
      </c>
      <c r="O82" s="121">
        <f t="shared" ref="O82:O87" si="41">(O37/1000)/$O$68</f>
        <v>1.4154929577464807E-2</v>
      </c>
      <c r="P82" s="121">
        <f t="shared" ref="P82:P87" si="42">(P37/1000)/$P$68</f>
        <v>3.5406698564593247E-3</v>
      </c>
      <c r="Q82" s="121">
        <f t="shared" ref="Q82:Q87" si="43">(Q37/1000)/$Q$68</f>
        <v>4.3209876543209868E-4</v>
      </c>
      <c r="R82" s="121">
        <f t="shared" ref="R82:R87" si="44">(R37/1000)/$R$68</f>
        <v>0</v>
      </c>
      <c r="S82" s="121">
        <f t="shared" ref="S82:S87" si="45">(S37/1000)/$S$68</f>
        <v>1.3525498891352533E-3</v>
      </c>
      <c r="T82" s="121">
        <f t="shared" ref="T82:T87" si="46">(T37/1000)/$T$68</f>
        <v>9.4155844155844172E-4</v>
      </c>
      <c r="U82" s="121">
        <f t="shared" ref="U82:U87" si="47">(U37/1000)/$U$68</f>
        <v>4.0843023255813984E-3</v>
      </c>
      <c r="V82" s="121">
        <f t="shared" ref="V82:V87" si="48">(V37/1000)/$V$68</f>
        <v>6.7976878612716826E-3</v>
      </c>
      <c r="W82" s="121">
        <f t="shared" ref="W82:W87" si="49">(W37/1000)/$W$68</f>
        <v>1.1044638748274272E-4</v>
      </c>
      <c r="X82" s="121">
        <f t="shared" ref="X82:X87" si="50">(X37/1000)/$X$68</f>
        <v>2.7510040160642546E-3</v>
      </c>
      <c r="Y82" s="121">
        <f t="shared" ref="Y82:Y87" si="51">(Y37/1000)/$Y$68</f>
        <v>0</v>
      </c>
      <c r="Z82" s="121">
        <f t="shared" ref="Z82:Z87" si="52">(Z37/1000)/$Z$68</f>
        <v>5.2059496567505715E-4</v>
      </c>
    </row>
    <row r="83" spans="3:26" x14ac:dyDescent="0.25">
      <c r="C83" s="66" t="s">
        <v>142</v>
      </c>
      <c r="E83" s="121">
        <f t="shared" si="31"/>
        <v>8.4958217270195069E-6</v>
      </c>
      <c r="F83" s="121">
        <f t="shared" si="32"/>
        <v>6.1452513966480477E-6</v>
      </c>
      <c r="G83" s="121">
        <f t="shared" si="33"/>
        <v>6.9686411149825679E-6</v>
      </c>
      <c r="H83" s="121">
        <f t="shared" si="34"/>
        <v>5.4973821989528901E-6</v>
      </c>
      <c r="I83" s="121">
        <f t="shared" si="35"/>
        <v>6.2662876095711923E-6</v>
      </c>
      <c r="J83" s="121">
        <f t="shared" si="36"/>
        <v>4.1841004184100401E-6</v>
      </c>
      <c r="K83" s="121">
        <f t="shared" si="37"/>
        <v>1.5909090909090941E-5</v>
      </c>
      <c r="L83" s="121">
        <f t="shared" si="38"/>
        <v>4.3643263757115724E-6</v>
      </c>
      <c r="M83" s="121">
        <f t="shared" si="39"/>
        <v>1.3122841637888508E-5</v>
      </c>
      <c r="N83" s="121">
        <f t="shared" si="40"/>
        <v>7.0198530218273556E-6</v>
      </c>
      <c r="O83" s="121">
        <f t="shared" si="41"/>
        <v>1.0035211267605647E-5</v>
      </c>
      <c r="P83" s="121">
        <f t="shared" si="42"/>
        <v>2.8708133971291822E-6</v>
      </c>
      <c r="Q83" s="121">
        <f t="shared" si="43"/>
        <v>2.7336860670193997E-6</v>
      </c>
      <c r="R83" s="121">
        <f t="shared" si="44"/>
        <v>1.2677764303825377E-6</v>
      </c>
      <c r="S83" s="121">
        <f t="shared" si="45"/>
        <v>9.0909090909090809E-6</v>
      </c>
      <c r="T83" s="121">
        <f t="shared" si="46"/>
        <v>1.4123376623376625E-5</v>
      </c>
      <c r="U83" s="121">
        <f t="shared" si="47"/>
        <v>1.1337209302325588E-5</v>
      </c>
      <c r="V83" s="121">
        <f t="shared" si="48"/>
        <v>2.774566473988442E-6</v>
      </c>
      <c r="W83" s="121">
        <f t="shared" si="49"/>
        <v>3.5895075931891387E-6</v>
      </c>
      <c r="X83" s="121">
        <f t="shared" si="50"/>
        <v>7.4297188755020019E-6</v>
      </c>
      <c r="Y83" s="121">
        <f t="shared" si="51"/>
        <v>4.6569741026806002E-6</v>
      </c>
      <c r="Z83" s="121">
        <f t="shared" si="52"/>
        <v>4.06178489702517E-6</v>
      </c>
    </row>
    <row r="84" spans="3:26" x14ac:dyDescent="0.25">
      <c r="C84" s="66" t="s">
        <v>179</v>
      </c>
      <c r="E84" s="121">
        <f t="shared" si="31"/>
        <v>5.5710306406685299E-6</v>
      </c>
      <c r="F84" s="121">
        <f t="shared" si="32"/>
        <v>5.4003724394785877E-6</v>
      </c>
      <c r="G84" s="121">
        <f t="shared" si="33"/>
        <v>1.5679442508710776E-5</v>
      </c>
      <c r="H84" s="121">
        <f t="shared" si="34"/>
        <v>1.4921465968586416E-5</v>
      </c>
      <c r="I84" s="121">
        <f t="shared" si="35"/>
        <v>2.5941719971570717E-6</v>
      </c>
      <c r="J84" s="121">
        <f t="shared" si="36"/>
        <v>3.6262203626220352E-6</v>
      </c>
      <c r="K84" s="121">
        <f t="shared" si="37"/>
        <v>1.8181818181818219E-5</v>
      </c>
      <c r="L84" s="121">
        <f t="shared" si="38"/>
        <v>2.5616698292220096E-6</v>
      </c>
      <c r="M84" s="121">
        <f t="shared" si="39"/>
        <v>6.5120868278243728E-6</v>
      </c>
      <c r="N84" s="121">
        <f t="shared" si="40"/>
        <v>1.4807502467917077E-6</v>
      </c>
      <c r="O84" s="121">
        <f t="shared" si="41"/>
        <v>4.9295774647887391E-6</v>
      </c>
      <c r="P84" s="121">
        <f t="shared" si="42"/>
        <v>9.3301435406698411E-6</v>
      </c>
      <c r="Q84" s="121">
        <f t="shared" si="43"/>
        <v>3.5273368606701932E-6</v>
      </c>
      <c r="R84" s="121">
        <f t="shared" si="44"/>
        <v>1.7859111454084444E-6</v>
      </c>
      <c r="S84" s="121">
        <f t="shared" si="45"/>
        <v>1.1529933481152979E-5</v>
      </c>
      <c r="T84" s="121">
        <f t="shared" si="46"/>
        <v>5.6818181818181823E-6</v>
      </c>
      <c r="U84" s="121">
        <f t="shared" si="47"/>
        <v>2.7470930232558161E-5</v>
      </c>
      <c r="V84" s="121">
        <f t="shared" si="48"/>
        <v>2.5433526011560717E-6</v>
      </c>
      <c r="W84" s="121">
        <f t="shared" si="49"/>
        <v>2.8071790151863775E-6</v>
      </c>
      <c r="X84" s="121">
        <f t="shared" si="50"/>
        <v>3.8152610441767041E-6</v>
      </c>
      <c r="Y84" s="121">
        <f t="shared" si="51"/>
        <v>1.215356656065425E-6</v>
      </c>
      <c r="Z84" s="121">
        <f t="shared" si="52"/>
        <v>1.9450800915331803E-6</v>
      </c>
    </row>
    <row r="85" spans="3:26" x14ac:dyDescent="0.25">
      <c r="C85" s="66" t="s">
        <v>76</v>
      </c>
      <c r="E85" s="121">
        <f t="shared" si="31"/>
        <v>3.2590529247910902E-5</v>
      </c>
      <c r="F85" s="121">
        <f t="shared" si="32"/>
        <v>9.1527001862197428E-5</v>
      </c>
      <c r="G85" s="121">
        <f t="shared" si="33"/>
        <v>6.9686411149825675E-5</v>
      </c>
      <c r="H85" s="121">
        <f t="shared" si="34"/>
        <v>8.3769633507853561E-5</v>
      </c>
      <c r="I85" s="121">
        <f t="shared" si="35"/>
        <v>2.3762141672589431E-4</v>
      </c>
      <c r="J85" s="121">
        <f t="shared" si="36"/>
        <v>4.6025104602510451E-5</v>
      </c>
      <c r="K85" s="121">
        <f t="shared" si="37"/>
        <v>8.5227272727272897E-5</v>
      </c>
      <c r="L85" s="121">
        <f t="shared" si="38"/>
        <v>1.1005692599620487E-5</v>
      </c>
      <c r="M85" s="121">
        <f t="shared" si="39"/>
        <v>1.0310804144055256E-4</v>
      </c>
      <c r="N85" s="121">
        <f t="shared" si="40"/>
        <v>1.3234616650213885E-4</v>
      </c>
      <c r="O85" s="121">
        <f t="shared" si="41"/>
        <v>8.4507042253521234E-5</v>
      </c>
      <c r="P85" s="121">
        <f t="shared" si="42"/>
        <v>6.0765550239234349E-5</v>
      </c>
      <c r="Q85" s="121">
        <f t="shared" si="43"/>
        <v>2.9453262786596114E-5</v>
      </c>
      <c r="R85" s="121">
        <f t="shared" si="44"/>
        <v>7.4225553963179353E-5</v>
      </c>
      <c r="S85" s="121">
        <f t="shared" si="45"/>
        <v>8.1374722838137379E-5</v>
      </c>
      <c r="T85" s="121">
        <f t="shared" si="46"/>
        <v>5.3571428571428575E-5</v>
      </c>
      <c r="U85" s="121">
        <f t="shared" si="47"/>
        <v>1.0523255813953494E-4</v>
      </c>
      <c r="V85" s="121">
        <f t="shared" si="48"/>
        <v>4.4624277456647445E-5</v>
      </c>
      <c r="W85" s="121">
        <f t="shared" si="49"/>
        <v>2.563276576161988E-5</v>
      </c>
      <c r="X85" s="121">
        <f t="shared" si="50"/>
        <v>1.1927710843373485E-4</v>
      </c>
      <c r="Y85" s="121">
        <f t="shared" si="51"/>
        <v>5.4134484325306687E-5</v>
      </c>
      <c r="Z85" s="121">
        <f t="shared" si="52"/>
        <v>6.0983981693363836E-5</v>
      </c>
    </row>
    <row r="86" spans="3:26" x14ac:dyDescent="0.25">
      <c r="C86" s="66" t="s">
        <v>199</v>
      </c>
      <c r="E86" s="121">
        <f t="shared" si="31"/>
        <v>2.9526462395543206E-5</v>
      </c>
      <c r="F86" s="121">
        <f t="shared" si="32"/>
        <v>2.5418994413407835E-5</v>
      </c>
      <c r="G86" s="121">
        <f t="shared" si="33"/>
        <v>2.9965156794425037E-5</v>
      </c>
      <c r="H86" s="121">
        <f t="shared" si="34"/>
        <v>6.439790575916243E-5</v>
      </c>
      <c r="I86" s="121">
        <f t="shared" si="35"/>
        <v>9.2395167022032685E-6</v>
      </c>
      <c r="J86" s="121">
        <f t="shared" si="36"/>
        <v>1.9246861924686191E-5</v>
      </c>
      <c r="K86" s="121">
        <f t="shared" si="37"/>
        <v>3.0454545454545514E-5</v>
      </c>
      <c r="L86" s="121">
        <f t="shared" si="38"/>
        <v>1.166982922201138E-5</v>
      </c>
      <c r="M86" s="121">
        <f t="shared" si="39"/>
        <v>5.1307350764676872E-6</v>
      </c>
      <c r="N86" s="121">
        <f t="shared" si="40"/>
        <v>1.9381375452451463E-5</v>
      </c>
      <c r="O86" s="121">
        <f t="shared" si="41"/>
        <v>1.7429577464788757E-5</v>
      </c>
      <c r="P86" s="121">
        <f t="shared" si="42"/>
        <v>3.9473684210526248E-5</v>
      </c>
      <c r="Q86" s="121">
        <f t="shared" si="43"/>
        <v>1.3668430335096998E-5</v>
      </c>
      <c r="R86" s="121">
        <f t="shared" si="44"/>
        <v>1.1839929445485614E-5</v>
      </c>
      <c r="S86" s="121">
        <f t="shared" si="45"/>
        <v>2.4944567627494426E-5</v>
      </c>
      <c r="T86" s="121">
        <f t="shared" si="46"/>
        <v>4.7727272727272734E-6</v>
      </c>
      <c r="U86" s="121">
        <f t="shared" si="47"/>
        <v>9.4476744186046582E-6</v>
      </c>
      <c r="V86" s="121">
        <f t="shared" si="48"/>
        <v>1.4450867052023136E-5</v>
      </c>
      <c r="W86" s="121">
        <f t="shared" si="49"/>
        <v>3.6815462494247577E-5</v>
      </c>
      <c r="X86" s="121">
        <f t="shared" si="50"/>
        <v>1.7871485943775086E-5</v>
      </c>
      <c r="Y86" s="121">
        <f t="shared" si="51"/>
        <v>9.6547024079963649E-6</v>
      </c>
      <c r="Z86" s="121">
        <f t="shared" si="52"/>
        <v>1.6075514874141875E-5</v>
      </c>
    </row>
    <row r="87" spans="3:26" x14ac:dyDescent="0.25">
      <c r="C87" s="66" t="s">
        <v>200</v>
      </c>
      <c r="E87" s="121">
        <f t="shared" si="31"/>
        <v>1.7270194986072443E-5</v>
      </c>
      <c r="F87" s="121">
        <f t="shared" si="32"/>
        <v>1.2849162011173193E-5</v>
      </c>
      <c r="G87" s="121">
        <f t="shared" si="33"/>
        <v>1.7247386759581856E-5</v>
      </c>
      <c r="H87" s="121">
        <f t="shared" si="34"/>
        <v>1.9371727748691135E-5</v>
      </c>
      <c r="I87" s="121">
        <f t="shared" si="35"/>
        <v>4.702677090736792E-6</v>
      </c>
      <c r="J87" s="121">
        <f t="shared" si="36"/>
        <v>1.227336122733612E-5</v>
      </c>
      <c r="K87" s="121">
        <f t="shared" si="37"/>
        <v>2.0454545454545491E-5</v>
      </c>
      <c r="L87" s="121">
        <f t="shared" si="38"/>
        <v>1.1385199240986709E-5</v>
      </c>
      <c r="M87" s="121">
        <f t="shared" si="39"/>
        <v>8.3374444992599923E-6</v>
      </c>
      <c r="N87" s="121">
        <f t="shared" si="40"/>
        <v>3.8170450806186247E-6</v>
      </c>
      <c r="O87" s="121">
        <f t="shared" si="41"/>
        <v>3.9436619718309912E-5</v>
      </c>
      <c r="P87" s="121">
        <f t="shared" si="42"/>
        <v>1.6985645933014325E-5</v>
      </c>
      <c r="Q87" s="121">
        <f t="shared" si="43"/>
        <v>5.9082892416225735E-6</v>
      </c>
      <c r="R87" s="121">
        <f t="shared" si="44"/>
        <v>4.3104398633006278E-6</v>
      </c>
      <c r="S87" s="121">
        <f t="shared" si="45"/>
        <v>1.5631929046563174E-5</v>
      </c>
      <c r="T87" s="121">
        <f t="shared" si="46"/>
        <v>2.110389610389611E-6</v>
      </c>
      <c r="U87" s="121">
        <f t="shared" si="47"/>
        <v>2.8343023255813971E-5</v>
      </c>
      <c r="V87" s="121">
        <f t="shared" si="48"/>
        <v>5.4335260115606987E-6</v>
      </c>
      <c r="W87" s="121">
        <f t="shared" si="49"/>
        <v>9.6180395766221784E-6</v>
      </c>
      <c r="X87" s="121">
        <f t="shared" si="50"/>
        <v>1.6064257028112438E-5</v>
      </c>
      <c r="Y87" s="121">
        <f t="shared" si="51"/>
        <v>4.2935029532030902E-6</v>
      </c>
      <c r="Z87" s="121">
        <f t="shared" si="52"/>
        <v>1.1613272311212811E-5</v>
      </c>
    </row>
    <row r="88" spans="3:26" x14ac:dyDescent="0.25">
      <c r="C88" s="66" t="s">
        <v>201</v>
      </c>
      <c r="E88" s="121">
        <f>(E43/1000000)/$E$68</f>
        <v>5.9888579387186694E-6</v>
      </c>
      <c r="F88" s="121">
        <f>(F43/1000000)/$F$68</f>
        <v>1.7690875232774684E-6</v>
      </c>
      <c r="G88" s="121">
        <f>(G43/1000000)/$G$68</f>
        <v>2.4390243902438985E-6</v>
      </c>
      <c r="H88" s="121">
        <f>(H43/1000000)/$H$68</f>
        <v>9.4240837696335247E-6</v>
      </c>
      <c r="I88" s="121">
        <f>(I43/1000000)/$I$68</f>
        <v>4.66714048803601E-6</v>
      </c>
      <c r="J88" s="121">
        <f>(J43/1000000)/$J$68</f>
        <v>4.1841004184100409E-6</v>
      </c>
      <c r="K88" s="121">
        <f>(K43/1000000)/$K$68</f>
        <v>8.6363636363636539E-6</v>
      </c>
      <c r="L88" s="121">
        <f>(L43/1000000)/$L$68</f>
        <v>1.8026565464895626E-6</v>
      </c>
      <c r="M88" s="121">
        <f>(M43/1000000)/$M$68</f>
        <v>3.2067094227923043E-6</v>
      </c>
      <c r="N88" s="121">
        <f>(N43/1000000)/$N$68</f>
        <v>2.6324448831852582E-6</v>
      </c>
      <c r="O88" s="121">
        <f>(O43/1000000)/$O$68</f>
        <v>1.7605633802816925E-6</v>
      </c>
      <c r="P88" s="121">
        <f>(P43/1000000)/$P$68</f>
        <v>5.9808612440191296E-6</v>
      </c>
      <c r="Q88" s="121">
        <f>(Q43/1000000)/$Q$68</f>
        <v>9.611992945326276E-6</v>
      </c>
      <c r="R88" s="121">
        <f>(R43/1000000)/$R$68</f>
        <v>1.0472935729247051E-6</v>
      </c>
      <c r="S88" s="121">
        <f>(S43/1000000)/$S$68</f>
        <v>3.6585365853658499E-6</v>
      </c>
      <c r="T88" s="121">
        <f>(T43/1000000)/$T$68</f>
        <v>5.3571428571428579E-6</v>
      </c>
      <c r="U88" s="121">
        <f>(U43/1000000)/$U$68</f>
        <v>2.819767441860467E-5</v>
      </c>
      <c r="V88" s="121">
        <f>(V43/1000000)/$V$68</f>
        <v>2.774566473988442E-6</v>
      </c>
      <c r="W88" s="121">
        <f>(W43/1000000)/$W$68</f>
        <v>5.062126092959042E-7</v>
      </c>
      <c r="X88" s="121">
        <f>(X43/1000000)/$X$68</f>
        <v>3.0120481927710821E-6</v>
      </c>
      <c r="Y88" s="121">
        <f>(Y43/1000000)/$Y$68</f>
        <v>4.6569741026806001E-7</v>
      </c>
      <c r="Z88" s="121">
        <f>(Z43/1000000)/$Z$68</f>
        <v>1.0297482837528602E-6</v>
      </c>
    </row>
    <row r="89" spans="3:26" x14ac:dyDescent="0.25">
      <c r="C89" s="66" t="s">
        <v>236</v>
      </c>
      <c r="E89" s="121">
        <f>(E44/1000000)/$E$68</f>
        <v>5.9888579387186694E-6</v>
      </c>
      <c r="F89" s="121">
        <f>(F44/1000000)/$F$68</f>
        <v>1.7690875232774684E-6</v>
      </c>
      <c r="G89" s="121">
        <f>(G44/1000000)/$G$68</f>
        <v>2.4390243902438985E-6</v>
      </c>
      <c r="H89" s="121">
        <f>(H44/1000000)/$H$68</f>
        <v>9.4240837696335247E-6</v>
      </c>
      <c r="I89" s="121">
        <f>(I44/1000000)/$I$68</f>
        <v>4.66714048803601E-6</v>
      </c>
      <c r="J89" s="121">
        <f>(J44/1000000)/$J$68</f>
        <v>4.1841004184100409E-6</v>
      </c>
      <c r="K89" s="121">
        <f>(K44/1000000)/$K$68</f>
        <v>8.6363636363636539E-6</v>
      </c>
      <c r="L89" s="121">
        <f>(L44/1000000)/$L$68</f>
        <v>1.8026565464895626E-6</v>
      </c>
      <c r="M89" s="121">
        <f>(M44/1000000)/$M$68</f>
        <v>3.2067094227923043E-6</v>
      </c>
      <c r="N89" s="121">
        <f>(N44/1000000)/$N$68</f>
        <v>2.6324448831852582E-6</v>
      </c>
      <c r="O89" s="121">
        <f>(O44/1000000)/$O$68</f>
        <v>1.7605633802816925E-6</v>
      </c>
      <c r="P89" s="121">
        <f>(P44/1000000)/$P$68</f>
        <v>5.9808612440191296E-6</v>
      </c>
      <c r="Q89" s="121">
        <f>(Q44/1000000)/$Q$68</f>
        <v>9.611992945326276E-6</v>
      </c>
      <c r="R89" s="121">
        <f>(R44/1000000)/$R$68</f>
        <v>1.0472935729247051E-6</v>
      </c>
      <c r="S89" s="121">
        <f>(S44/1000000)/$S$68</f>
        <v>3.6585365853658499E-6</v>
      </c>
      <c r="T89" s="121">
        <f>(T44/1000000)/$T$68</f>
        <v>5.3571428571428579E-6</v>
      </c>
      <c r="U89" s="121">
        <f>(U44/1000000)/$U$68</f>
        <v>2.819767441860467E-5</v>
      </c>
      <c r="V89" s="121">
        <f>(V44/1000000)/$V$68</f>
        <v>2.774566473988442E-6</v>
      </c>
      <c r="W89" s="121">
        <f>(W44/1000000)/$W$68</f>
        <v>5.062126092959042E-7</v>
      </c>
      <c r="X89" s="121">
        <f>(X44/1000000)/$X$68</f>
        <v>3.0120481927710821E-6</v>
      </c>
      <c r="Y89" s="121">
        <f>(Y44/1000000)/$Y$68</f>
        <v>4.6569741026806001E-7</v>
      </c>
      <c r="Z89" s="121">
        <f>(Z44/1000000)/$Z$68</f>
        <v>1.0297482837528602E-6</v>
      </c>
    </row>
    <row r="90" spans="3:26" x14ac:dyDescent="0.25">
      <c r="C90" s="66" t="s">
        <v>202</v>
      </c>
      <c r="E90" s="121">
        <f>(E46/1000000)/$E$68</f>
        <v>6.9637883008356624E-7</v>
      </c>
      <c r="F90" s="121">
        <f>(F46/1000000)/$F$68</f>
        <v>7.7746741154562416E-5</v>
      </c>
      <c r="G90" s="121">
        <f>(G46/1000000)/$G$68</f>
        <v>5.3310104529616641E-5</v>
      </c>
      <c r="H90" s="121">
        <f>(H46/1000000)/$H$68</f>
        <v>5.7591623036649319E-6</v>
      </c>
      <c r="I90" s="121">
        <f>(I46/1000000)/$I$68</f>
        <v>0</v>
      </c>
      <c r="J90" s="121">
        <f>(J46/1000000)/$J$68</f>
        <v>2.7894002789400273E-5</v>
      </c>
      <c r="K90" s="121">
        <f>(K46/1000000)/$K$68</f>
        <v>8.4090909090909257E-5</v>
      </c>
      <c r="L90" s="121">
        <f>(L46/1000000)/$L$68</f>
        <v>0</v>
      </c>
      <c r="M90" s="121">
        <f>(M46/1000000)/$M$68</f>
        <v>1.8746916625555012E-6</v>
      </c>
      <c r="N90" s="121">
        <f>(N46/1000000)/$N$68</f>
        <v>0</v>
      </c>
      <c r="O90" s="121">
        <f>(O46/1000000)/$O$68</f>
        <v>3.1690140845070465E-6</v>
      </c>
      <c r="P90" s="121">
        <f>(P46/1000000)/$P$68</f>
        <v>0</v>
      </c>
      <c r="Q90" s="121">
        <f>(Q46/1000000)/$Q$68</f>
        <v>1.7636684303350965E-7</v>
      </c>
      <c r="R90" s="121">
        <f>(R46/1000000)/$R$68</f>
        <v>1.1024142872891631E-8</v>
      </c>
      <c r="S90" s="121">
        <f>(S46/1000000)/$S$68</f>
        <v>3.8802660753880222E-6</v>
      </c>
      <c r="T90" s="121">
        <f>(T46/1000000)/$T$68</f>
        <v>2.9220779220779225E-7</v>
      </c>
      <c r="U90" s="121">
        <f>(U46/1000000)/$U$68</f>
        <v>6.816860465116284E-5</v>
      </c>
      <c r="V90" s="121">
        <f>(V46/1000000)/$V$68</f>
        <v>1.1560693641618508E-7</v>
      </c>
      <c r="W90" s="121">
        <f>(W46/1000000)/$W$68</f>
        <v>3.2627703635526917E-5</v>
      </c>
      <c r="X90" s="121">
        <f>(X46/1000000)/$X$68</f>
        <v>8.4337349397590297E-6</v>
      </c>
      <c r="Y90" s="121">
        <f>(Y46/1000000)/$Y$68</f>
        <v>0</v>
      </c>
      <c r="Z90" s="121">
        <f>(Z46/1000000)/$Z$68</f>
        <v>0</v>
      </c>
    </row>
    <row r="91" spans="3:26" x14ac:dyDescent="0.25">
      <c r="C91" s="66" t="s">
        <v>234</v>
      </c>
      <c r="E91" s="121">
        <f>(E48/1000000)/$E$68</f>
        <v>5.8495821727019557E-6</v>
      </c>
      <c r="F91" s="121">
        <f>(F48/1000000)/$F$68</f>
        <v>7.7141527001862238E-4</v>
      </c>
      <c r="G91" s="121">
        <f>(G48/1000000)/$G$68</f>
        <v>6.3536585365853561E-4</v>
      </c>
      <c r="H91" s="121">
        <f>(H48/1000000)/$H$68</f>
        <v>7.0680628272251438E-5</v>
      </c>
      <c r="I91" s="121">
        <f>(I48/1000000)/$I$68</f>
        <v>0</v>
      </c>
      <c r="J91" s="121">
        <f>(J48/1000000)/$J$68</f>
        <v>3.3472803347280326E-4</v>
      </c>
      <c r="K91" s="121">
        <f>(K48/1000000)/$K$68</f>
        <v>1.0097727272727292E-3</v>
      </c>
      <c r="L91" s="121">
        <f>(L48/1000000)/$L$68</f>
        <v>9.4876660341555919E-8</v>
      </c>
      <c r="M91" s="121">
        <f>(M48/1000000)/$M$68</f>
        <v>2.2150962012826841E-5</v>
      </c>
      <c r="N91" s="121">
        <f>(N48/1000000)/$N$68</f>
        <v>0</v>
      </c>
      <c r="O91" s="121">
        <f>(O48/1000000)/$O$68</f>
        <v>3.6619718309859201E-5</v>
      </c>
      <c r="P91" s="121">
        <f>(P48/1000000)/$P$68</f>
        <v>9.5693779904306051E-7</v>
      </c>
      <c r="Q91" s="121">
        <f>(Q48/1000000)/$Q$68</f>
        <v>1.7636684303350966E-6</v>
      </c>
      <c r="R91" s="121">
        <f>(R48/1000000)/$R$68</f>
        <v>1.2126557160180794E-7</v>
      </c>
      <c r="S91" s="121">
        <f>(S48/1000000)/$S$68</f>
        <v>4.2017738359201723E-5</v>
      </c>
      <c r="T91" s="121">
        <f>(T48/1000000)/$T$68</f>
        <v>0</v>
      </c>
      <c r="U91" s="121">
        <f>(U48/1000000)/$U$68</f>
        <v>8.177325581395354E-4</v>
      </c>
      <c r="V91" s="121">
        <f>(V48/1000000)/$V$68</f>
        <v>8.0924855491329556E-7</v>
      </c>
      <c r="W91" s="121">
        <f>(W48/1000000)/$W$68</f>
        <v>3.9157846295444074E-4</v>
      </c>
      <c r="X91" s="121">
        <f>(X48/1000000)/$X$68</f>
        <v>9.016064257028106E-5</v>
      </c>
      <c r="Y91" s="121">
        <f>(Y48/1000000)/$Y$68</f>
        <v>5.6792367105860984E-8</v>
      </c>
      <c r="Z91" s="121">
        <f>(Z48/1000000)/$Z$68</f>
        <v>2.8604118993135006E-7</v>
      </c>
    </row>
    <row r="92" spans="3:26" x14ac:dyDescent="0.25">
      <c r="C92" s="66" t="s">
        <v>235</v>
      </c>
      <c r="E92" s="121">
        <f>(E49/1000)/$E$68</f>
        <v>4.5961002785515374E-3</v>
      </c>
      <c r="F92" s="121">
        <f>(F49/1000)/$F$68</f>
        <v>0.32374301675977668</v>
      </c>
      <c r="G92" s="121">
        <f>(G49/1000)/$G$68</f>
        <v>7.8397212543553883E-3</v>
      </c>
      <c r="H92" s="121">
        <f>(H49/1000)/$H$68</f>
        <v>0</v>
      </c>
      <c r="I92" s="121">
        <f>(I49/1000)/$I$68</f>
        <v>0</v>
      </c>
      <c r="J92" s="121">
        <f>(J49/1000)/$J$68</f>
        <v>0</v>
      </c>
      <c r="K92" s="121">
        <f>(K49/1000)/$K$68</f>
        <v>0</v>
      </c>
      <c r="L92" s="121">
        <f>(L49/1000)/$L$68</f>
        <v>0</v>
      </c>
      <c r="M92" s="121">
        <f>(M49/1000)/$M$68</f>
        <v>1.0360138135175139E-3</v>
      </c>
      <c r="N92" s="121">
        <f>(N49/1000)/$N$68</f>
        <v>0</v>
      </c>
      <c r="O92" s="121">
        <f>(O49/1000)/$O$68</f>
        <v>3.6971830985915543E-3</v>
      </c>
      <c r="P92" s="121">
        <f>(P49/1000)/$P$68</f>
        <v>0</v>
      </c>
      <c r="Q92" s="121">
        <f>(Q49/1000)/$Q$68</f>
        <v>0</v>
      </c>
      <c r="R92" s="121">
        <f>(R49/1000)/$R$68</f>
        <v>0</v>
      </c>
      <c r="S92" s="121">
        <f>(S49/1000)/$S$68</f>
        <v>7.6496674057649587E-3</v>
      </c>
      <c r="T92" s="121">
        <f>(T49/1000)/$T$68</f>
        <v>0</v>
      </c>
      <c r="U92" s="121">
        <f>(U49/1000)/$U$68</f>
        <v>0</v>
      </c>
      <c r="V92" s="121">
        <f>(V49/1000)/$V$68</f>
        <v>0</v>
      </c>
      <c r="W92" s="121">
        <f>(W49/1000)/$W$68</f>
        <v>3.2213529682466633E-4</v>
      </c>
      <c r="X92" s="121">
        <f>(X49/1000)/$X$68</f>
        <v>2.0281124497991954E-2</v>
      </c>
      <c r="Y92" s="121">
        <f>(Y49/1000)/$Y$68</f>
        <v>0</v>
      </c>
      <c r="Z92" s="121">
        <f>(Z49/1000)/$Z$68</f>
        <v>0</v>
      </c>
    </row>
    <row r="93" spans="3:26" x14ac:dyDescent="0.25">
      <c r="C93" s="66" t="s">
        <v>204</v>
      </c>
      <c r="E93" s="121">
        <f>(E51/1000)/$E$68</f>
        <v>2.0891364902506984E-5</v>
      </c>
      <c r="F93" s="121">
        <f>(F51/1000)/$F$68</f>
        <v>6.145251396648048E-5</v>
      </c>
      <c r="G93" s="121">
        <f>(G51/1000)/$G$68</f>
        <v>3.2926829268292631E-4</v>
      </c>
      <c r="H93" s="121">
        <f>(H51/1000)/$H$68</f>
        <v>7.0680628272251438E-5</v>
      </c>
      <c r="I93" s="121">
        <f>(I51/1000)/$I$68</f>
        <v>2.6060175313906659E-6</v>
      </c>
      <c r="J93" s="121">
        <f>(J51/1000)/$J$68</f>
        <v>2.9288702928870284E-5</v>
      </c>
      <c r="K93" s="121">
        <f>(K51/1000)/$K$68</f>
        <v>5.0000000000000097E-5</v>
      </c>
      <c r="L93" s="121">
        <f>(L51/1000)/$L$68</f>
        <v>1.8975332068311185E-6</v>
      </c>
      <c r="M93" s="121">
        <f>(M51/1000)/$M$68</f>
        <v>6.4134188455846102E-6</v>
      </c>
      <c r="N93" s="121">
        <f>(N51/1000)/$N$68</f>
        <v>9.1367774487221678E-5</v>
      </c>
      <c r="O93" s="121">
        <f>(O51/1000)/$O$68</f>
        <v>6.5140845070422619E-5</v>
      </c>
      <c r="P93" s="121">
        <f>(P51/1000)/$P$68</f>
        <v>0</v>
      </c>
      <c r="Q93" s="121">
        <f>(Q51/1000)/$Q$68</f>
        <v>3.5273368606701932E-6</v>
      </c>
      <c r="R93" s="121">
        <f>(R51/1000)/$R$68</f>
        <v>9.0397971557711373E-6</v>
      </c>
      <c r="S93" s="121">
        <f>(S51/1000)/$S$68</f>
        <v>4.5454545454545404E-5</v>
      </c>
      <c r="T93" s="121">
        <f>(T51/1000)/$T$68</f>
        <v>0</v>
      </c>
      <c r="U93" s="121">
        <f>(U51/1000)/$U$68</f>
        <v>2.9505813953488387E-4</v>
      </c>
      <c r="V93" s="121">
        <f>(V51/1000)/$V$68</f>
        <v>3.3526011560693677E-5</v>
      </c>
      <c r="W93" s="121">
        <f>(W51/1000)/$W$68</f>
        <v>1.1965025310630465E-5</v>
      </c>
      <c r="X93" s="121">
        <f>(X51/1000)/$X$68</f>
        <v>1.0843373493975895E-4</v>
      </c>
      <c r="Y93" s="121">
        <f>(Y51/1000)/$Y$68</f>
        <v>1.1472058155383918E-5</v>
      </c>
      <c r="Z93" s="121">
        <f>(Z51/1000)/$Z$68</f>
        <v>5.7208237986270012E-7</v>
      </c>
    </row>
    <row r="94" spans="3:26" x14ac:dyDescent="0.25">
      <c r="C94" s="66" t="s">
        <v>189</v>
      </c>
      <c r="E94" s="121">
        <f>(E53/1000000)/$E$68</f>
        <v>1.0584958217270207E-5</v>
      </c>
      <c r="F94" s="121">
        <f>(F53/1000000)/$F$68</f>
        <v>1.2290502793296095E-6</v>
      </c>
      <c r="G94" s="121">
        <f>(G53/1000000)/$G$68</f>
        <v>1.4459930313588827E-4</v>
      </c>
      <c r="H94" s="121">
        <f>(H53/1000000)/$H$68</f>
        <v>7.6701570680628418E-6</v>
      </c>
      <c r="I94" s="121">
        <f>(I53/1000000)/$I$68</f>
        <v>2.2506515043828478E-7</v>
      </c>
      <c r="J94" s="121">
        <f>(J53/1000000)/$J$68</f>
        <v>2.1799163179916315E-5</v>
      </c>
      <c r="K94" s="121">
        <f>(K53/1000000)/$K$68</f>
        <v>2.8704545454545512E-5</v>
      </c>
      <c r="L94" s="121">
        <f>(L53/1000000)/$L$68</f>
        <v>3.7950664136622367E-7</v>
      </c>
      <c r="M94" s="121">
        <f>(M53/1000000)/$M$68</f>
        <v>1.2234829797730639E-6</v>
      </c>
      <c r="N94" s="121">
        <f>(N53/1000000)/$N$68</f>
        <v>0</v>
      </c>
      <c r="O94" s="121">
        <f>(O53/1000000)/$O$68</f>
        <v>1.3028169014084525E-6</v>
      </c>
      <c r="P94" s="121">
        <f>(P53/1000000)/$P$68</f>
        <v>3.1100478468899471E-7</v>
      </c>
      <c r="Q94" s="121">
        <f>(Q53/1000000)/$Q$68</f>
        <v>1.7636684303350966E-8</v>
      </c>
      <c r="R94" s="121">
        <f>(R53/1000000)/$R$68</f>
        <v>2.0945871458494097E-8</v>
      </c>
      <c r="S94" s="121">
        <f>(S53/1000000)/$S$68</f>
        <v>1.5964523281596436E-6</v>
      </c>
      <c r="T94" s="121">
        <f>(T53/1000000)/$T$68</f>
        <v>0</v>
      </c>
      <c r="U94" s="121">
        <f>(U53/1000000)/$U$68</f>
        <v>7.0188953488372133E-5</v>
      </c>
      <c r="V94" s="121">
        <f>(V53/1000000)/$V$68</f>
        <v>2.5433526011560718E-7</v>
      </c>
      <c r="W94" s="121">
        <f>(W53/1000000)/$W$68</f>
        <v>8.2834790612057054E-8</v>
      </c>
      <c r="X94" s="121">
        <f>(X53/1000000)/$X$68</f>
        <v>1.5863453815261033E-6</v>
      </c>
      <c r="Y94" s="121">
        <f>(Y53/1000000)/$Y$68</f>
        <v>2.158109950022717E-8</v>
      </c>
      <c r="Z94" s="121">
        <f>(Z53/1000000)/$Z$68</f>
        <v>9.1533180778032023E-8</v>
      </c>
    </row>
    <row r="95" spans="3:26" x14ac:dyDescent="0.25">
      <c r="C95" s="66" t="s">
        <v>42</v>
      </c>
      <c r="E95" s="121">
        <f t="shared" ref="E95:E105" si="53">E55/$E$68</f>
        <v>1.5320334261838455E-3</v>
      </c>
      <c r="F95" s="121">
        <f t="shared" ref="F95:F105" si="54">F55/$F$68</f>
        <v>1.1173184357541905E-3</v>
      </c>
      <c r="G95" s="121">
        <f t="shared" ref="G95:G105" si="55">G55/$G$68</f>
        <v>2.9616724738675913E-3</v>
      </c>
      <c r="H95" s="121">
        <f t="shared" ref="H95:H105" si="56">H55/$H$68</f>
        <v>2.3560209424083808E-3</v>
      </c>
      <c r="I95" s="121">
        <f t="shared" ref="I95:I105" si="57">I55/$I$68</f>
        <v>3.304904051172708E-3</v>
      </c>
      <c r="J95" s="121">
        <f t="shared" ref="J95:J105" si="58">J55/$J$68</f>
        <v>0</v>
      </c>
      <c r="K95" s="121">
        <f t="shared" ref="K95:K105" si="59">K55/$K$68</f>
        <v>2.0454545454545491E-3</v>
      </c>
      <c r="L95" s="121">
        <f t="shared" ref="L95:L105" si="60">L55/$L$68</f>
        <v>1.328273244781783E-3</v>
      </c>
      <c r="M95" s="121">
        <f t="shared" ref="M95:M105" si="61">M55/$M$68</f>
        <v>1.8253576714356195E-3</v>
      </c>
      <c r="N95" s="121">
        <f t="shared" ref="N95:N105" si="62">N55/$N$68</f>
        <v>2.7421300866513109E-3</v>
      </c>
      <c r="O95" s="121">
        <f t="shared" ref="O95:O105" si="63">O55/$O$68</f>
        <v>2.112676056338031E-3</v>
      </c>
      <c r="P95" s="121">
        <f t="shared" ref="P95:P105" si="64">P55/$P$68</f>
        <v>2.1531100478468864E-3</v>
      </c>
      <c r="Q95" s="121">
        <f t="shared" ref="Q95:Q105" si="65">Q55/$Q$68</f>
        <v>1.6754850088183417E-3</v>
      </c>
      <c r="R95" s="121">
        <f t="shared" ref="R95:R105" si="66">R55/$R$68</f>
        <v>1.9733215742476018E-3</v>
      </c>
      <c r="S95" s="121">
        <f t="shared" ref="S95:S105" si="67">S55/$S$68</f>
        <v>2.1064301552106406E-3</v>
      </c>
      <c r="T95" s="121">
        <f t="shared" ref="T95:T105" si="68">T55/$T$68</f>
        <v>5.0974025974025979E-3</v>
      </c>
      <c r="U95" s="121">
        <f t="shared" ref="U95:U105" si="69">U55/$U$68</f>
        <v>5.6686046511627945E-3</v>
      </c>
      <c r="V95" s="121">
        <f t="shared" ref="V95:V105" si="70">V55/$V$68</f>
        <v>9.2485549132948072E-4</v>
      </c>
      <c r="W95" s="121">
        <f t="shared" ref="W95:W105" si="71">W55/$W$68</f>
        <v>1.4265991716520935E-3</v>
      </c>
      <c r="X95" s="121">
        <f t="shared" ref="X95:X105" si="72">X55/$X$68</f>
        <v>1.2048192771084328E-3</v>
      </c>
      <c r="Y95" s="121">
        <f t="shared" ref="Y95:Y105" si="73">Y55/$Y$68</f>
        <v>0</v>
      </c>
      <c r="Z95" s="121">
        <f t="shared" ref="Z95:Z105" si="74">Z55/$Z$68</f>
        <v>9.7254004576659021E-4</v>
      </c>
    </row>
    <row r="96" spans="3:26" x14ac:dyDescent="0.25">
      <c r="C96" s="66" t="s">
        <v>146</v>
      </c>
      <c r="E96" s="121">
        <f t="shared" si="53"/>
        <v>4.8746518105849635E-3</v>
      </c>
      <c r="F96" s="121">
        <f t="shared" si="54"/>
        <v>1.7783985102420866E-2</v>
      </c>
      <c r="G96" s="121">
        <f t="shared" si="55"/>
        <v>1.4459930313588828E-2</v>
      </c>
      <c r="H96" s="121">
        <f t="shared" si="56"/>
        <v>5.2356020942408476E-3</v>
      </c>
      <c r="I96" s="121">
        <f t="shared" si="57"/>
        <v>1.1750769959725182E-2</v>
      </c>
      <c r="J96" s="121">
        <f t="shared" si="58"/>
        <v>0</v>
      </c>
      <c r="K96" s="121">
        <f t="shared" si="59"/>
        <v>0.13409090909090934</v>
      </c>
      <c r="L96" s="121">
        <f t="shared" si="60"/>
        <v>1.9924098671726745E-3</v>
      </c>
      <c r="M96" s="121">
        <f t="shared" si="61"/>
        <v>1.0014800197335968E-2</v>
      </c>
      <c r="N96" s="121">
        <f t="shared" si="62"/>
        <v>9.6852034660524292E-3</v>
      </c>
      <c r="O96" s="121">
        <f t="shared" si="63"/>
        <v>6.3380281690140925E-3</v>
      </c>
      <c r="P96" s="121">
        <f t="shared" si="64"/>
        <v>5.5023923444975989E-3</v>
      </c>
      <c r="Q96" s="121">
        <f t="shared" si="65"/>
        <v>4.1446208112874763E-3</v>
      </c>
      <c r="R96" s="121">
        <f t="shared" si="66"/>
        <v>5.1703230073861751E-3</v>
      </c>
      <c r="S96" s="121">
        <f t="shared" si="67"/>
        <v>8.7583148558758213E-3</v>
      </c>
      <c r="T96" s="121">
        <f t="shared" si="68"/>
        <v>1.6753246753246756E-2</v>
      </c>
      <c r="U96" s="121">
        <f t="shared" si="69"/>
        <v>1.7732558139534896E-2</v>
      </c>
      <c r="V96" s="121">
        <f t="shared" si="70"/>
        <v>2.3121387283237017E-3</v>
      </c>
      <c r="W96" s="121">
        <f t="shared" si="71"/>
        <v>3.8196042337781864E-3</v>
      </c>
      <c r="X96" s="121">
        <f t="shared" si="72"/>
        <v>5.4216867469879474E-3</v>
      </c>
      <c r="Y96" s="121">
        <f t="shared" si="73"/>
        <v>0</v>
      </c>
      <c r="Z96" s="121">
        <f t="shared" si="74"/>
        <v>3.1464530892448507E-3</v>
      </c>
    </row>
    <row r="97" spans="3:26" x14ac:dyDescent="0.25">
      <c r="C97" s="66" t="s">
        <v>149</v>
      </c>
      <c r="E97" s="121">
        <f t="shared" si="53"/>
        <v>4.1782729805013973E-3</v>
      </c>
      <c r="F97" s="121">
        <f t="shared" si="54"/>
        <v>7.1694599627560559E-3</v>
      </c>
      <c r="G97" s="121">
        <f t="shared" si="55"/>
        <v>2.5609756097560932E-2</v>
      </c>
      <c r="H97" s="121">
        <f t="shared" si="56"/>
        <v>5.4973821989528901E-3</v>
      </c>
      <c r="I97" s="121">
        <f t="shared" si="57"/>
        <v>1.2331201137171285E-2</v>
      </c>
      <c r="J97" s="121">
        <f t="shared" si="58"/>
        <v>0</v>
      </c>
      <c r="K97" s="121">
        <f t="shared" si="59"/>
        <v>1.9090909090909131E-2</v>
      </c>
      <c r="L97" s="121">
        <f t="shared" si="60"/>
        <v>1.328273244781783E-3</v>
      </c>
      <c r="M97" s="121">
        <f t="shared" si="61"/>
        <v>9.6201282683769131E-3</v>
      </c>
      <c r="N97" s="121">
        <f t="shared" si="62"/>
        <v>9.9484479543709547E-3</v>
      </c>
      <c r="O97" s="121">
        <f t="shared" si="63"/>
        <v>4.225352112676062E-3</v>
      </c>
      <c r="P97" s="121">
        <f t="shared" si="64"/>
        <v>4.784688995215303E-3</v>
      </c>
      <c r="Q97" s="121">
        <f t="shared" si="65"/>
        <v>4.2328042328042314E-3</v>
      </c>
      <c r="R97" s="121">
        <f t="shared" si="66"/>
        <v>6.812920295447028E-3</v>
      </c>
      <c r="S97" s="121">
        <f t="shared" si="67"/>
        <v>7.3170731707316991E-3</v>
      </c>
      <c r="T97" s="121">
        <f t="shared" si="68"/>
        <v>1.8506493506493506E-2</v>
      </c>
      <c r="U97" s="121">
        <f t="shared" si="69"/>
        <v>2.1366279069767454E-2</v>
      </c>
      <c r="V97" s="121">
        <f t="shared" si="70"/>
        <v>1.8497109826589614E-3</v>
      </c>
      <c r="W97" s="121">
        <f t="shared" si="71"/>
        <v>2.5310630464795208E-3</v>
      </c>
      <c r="X97" s="121">
        <f t="shared" si="72"/>
        <v>3.6144578313252978E-3</v>
      </c>
      <c r="Y97" s="121">
        <f t="shared" si="73"/>
        <v>0</v>
      </c>
      <c r="Z97" s="121">
        <f t="shared" si="74"/>
        <v>3.0892448512585807E-3</v>
      </c>
    </row>
    <row r="98" spans="3:26" x14ac:dyDescent="0.25">
      <c r="C98" s="66" t="s">
        <v>150</v>
      </c>
      <c r="E98" s="121">
        <f t="shared" si="53"/>
        <v>5.7103064066852428E-3</v>
      </c>
      <c r="F98" s="121">
        <f t="shared" si="54"/>
        <v>9.4972067039106184E-3</v>
      </c>
      <c r="G98" s="121">
        <f t="shared" si="55"/>
        <v>2.2648083623693346E-2</v>
      </c>
      <c r="H98" s="121">
        <f t="shared" si="56"/>
        <v>8.376963350785355E-3</v>
      </c>
      <c r="I98" s="121">
        <f t="shared" si="57"/>
        <v>2.2293295427623785E-2</v>
      </c>
      <c r="J98" s="121">
        <f t="shared" si="58"/>
        <v>0</v>
      </c>
      <c r="K98" s="121">
        <f t="shared" si="59"/>
        <v>1.795454545454549E-2</v>
      </c>
      <c r="L98" s="121">
        <f t="shared" si="60"/>
        <v>2.371916508538898E-3</v>
      </c>
      <c r="M98" s="121">
        <f t="shared" si="61"/>
        <v>1.5934879131721761E-2</v>
      </c>
      <c r="N98" s="121">
        <f t="shared" si="62"/>
        <v>1.8339366019523965E-2</v>
      </c>
      <c r="O98" s="121">
        <f t="shared" si="63"/>
        <v>6.3380281690140925E-3</v>
      </c>
      <c r="P98" s="121">
        <f t="shared" si="64"/>
        <v>7.4162679425837201E-3</v>
      </c>
      <c r="Q98" s="121">
        <f t="shared" si="65"/>
        <v>5.9964726631393283E-3</v>
      </c>
      <c r="R98" s="121">
        <f t="shared" si="66"/>
        <v>1.1222577444603681E-2</v>
      </c>
      <c r="S98" s="121">
        <f t="shared" si="67"/>
        <v>1.2416851441241671E-2</v>
      </c>
      <c r="T98" s="121">
        <f t="shared" si="68"/>
        <v>3.0064935064935069E-2</v>
      </c>
      <c r="U98" s="121">
        <f t="shared" si="69"/>
        <v>3.2412790697674443E-2</v>
      </c>
      <c r="V98" s="121">
        <f t="shared" si="70"/>
        <v>3.9306358381502931E-3</v>
      </c>
      <c r="W98" s="121">
        <f t="shared" si="71"/>
        <v>4.2337781868384715E-3</v>
      </c>
      <c r="X98" s="121">
        <f t="shared" si="72"/>
        <v>5.0200803212851371E-3</v>
      </c>
      <c r="Y98" s="121">
        <f t="shared" si="73"/>
        <v>0</v>
      </c>
      <c r="Z98" s="121">
        <f t="shared" si="74"/>
        <v>4.576659038901601E-3</v>
      </c>
    </row>
    <row r="99" spans="3:26" x14ac:dyDescent="0.25">
      <c r="C99" s="66" t="s">
        <v>144</v>
      </c>
      <c r="E99" s="121">
        <f t="shared" si="53"/>
        <v>6.128133704735382E-3</v>
      </c>
      <c r="F99" s="121">
        <f t="shared" si="54"/>
        <v>9.4040968342644377E-3</v>
      </c>
      <c r="G99" s="121">
        <f t="shared" si="55"/>
        <v>1.7247386759581856E-2</v>
      </c>
      <c r="H99" s="121">
        <f t="shared" si="56"/>
        <v>7.0680628272251434E-3</v>
      </c>
      <c r="I99" s="121">
        <f t="shared" si="57"/>
        <v>1.9166074389954987E-2</v>
      </c>
      <c r="J99" s="121">
        <f t="shared" si="58"/>
        <v>0</v>
      </c>
      <c r="K99" s="121">
        <f t="shared" si="59"/>
        <v>1.9090909090909131E-2</v>
      </c>
      <c r="L99" s="121">
        <f t="shared" si="60"/>
        <v>3.700189753320681E-3</v>
      </c>
      <c r="M99" s="121">
        <f t="shared" si="61"/>
        <v>1.5638875185002472E-2</v>
      </c>
      <c r="N99" s="121">
        <f t="shared" si="62"/>
        <v>1.0156849840956455E-2</v>
      </c>
      <c r="O99" s="121">
        <f t="shared" si="63"/>
        <v>6.8661971830986006E-3</v>
      </c>
      <c r="P99" s="121">
        <f t="shared" si="64"/>
        <v>7.8947368421052513E-3</v>
      </c>
      <c r="Q99" s="121">
        <f t="shared" si="65"/>
        <v>5.1146384479717798E-3</v>
      </c>
      <c r="R99" s="121">
        <f t="shared" si="66"/>
        <v>6.9341858670488362E-3</v>
      </c>
      <c r="S99" s="121">
        <f t="shared" si="67"/>
        <v>9.7560975609755976E-3</v>
      </c>
      <c r="T99" s="121">
        <f t="shared" si="68"/>
        <v>2.5162337662337664E-2</v>
      </c>
      <c r="U99" s="121">
        <f t="shared" si="69"/>
        <v>2.5290697674418619E-2</v>
      </c>
      <c r="V99" s="121">
        <f t="shared" si="70"/>
        <v>3.0057803468208121E-3</v>
      </c>
      <c r="W99" s="121">
        <f t="shared" si="71"/>
        <v>3.0372756557754252E-3</v>
      </c>
      <c r="X99" s="121">
        <f t="shared" si="72"/>
        <v>5.4216867469879474E-3</v>
      </c>
      <c r="Y99" s="121">
        <f t="shared" si="73"/>
        <v>0</v>
      </c>
      <c r="Z99" s="121">
        <f t="shared" si="74"/>
        <v>4.9771167048054902E-3</v>
      </c>
    </row>
    <row r="100" spans="3:26" x14ac:dyDescent="0.25">
      <c r="C100" s="66" t="s">
        <v>168</v>
      </c>
      <c r="E100" s="121">
        <f t="shared" si="53"/>
        <v>1.6713091922005588E-3</v>
      </c>
      <c r="F100" s="121">
        <f t="shared" si="54"/>
        <v>1.8621973929236508E-3</v>
      </c>
      <c r="G100" s="121">
        <f t="shared" si="55"/>
        <v>3.3101045296167193E-3</v>
      </c>
      <c r="H100" s="121">
        <f t="shared" si="56"/>
        <v>1.3089005235602119E-3</v>
      </c>
      <c r="I100" s="121">
        <f t="shared" si="57"/>
        <v>4.205164652925847E-3</v>
      </c>
      <c r="J100" s="121">
        <f t="shared" si="58"/>
        <v>0</v>
      </c>
      <c r="K100" s="121">
        <f t="shared" si="59"/>
        <v>3.6363636363636433E-3</v>
      </c>
      <c r="L100" s="121">
        <f t="shared" si="60"/>
        <v>1.8975332068311184E-4</v>
      </c>
      <c r="M100" s="121">
        <f t="shared" si="61"/>
        <v>4.0453872718302919E-3</v>
      </c>
      <c r="N100" s="121">
        <f t="shared" si="62"/>
        <v>3.4770209498738618E-3</v>
      </c>
      <c r="O100" s="121">
        <f t="shared" si="63"/>
        <v>1.2323943661971847E-3</v>
      </c>
      <c r="P100" s="121">
        <f t="shared" si="64"/>
        <v>2.3923444976076515E-3</v>
      </c>
      <c r="Q100" s="121">
        <f t="shared" si="65"/>
        <v>1.5873015873015866E-3</v>
      </c>
      <c r="R100" s="121">
        <f t="shared" si="66"/>
        <v>4.8285745783265346E-3</v>
      </c>
      <c r="S100" s="121">
        <f t="shared" si="67"/>
        <v>2.4390243902438994E-3</v>
      </c>
      <c r="T100" s="121">
        <f t="shared" si="68"/>
        <v>5.0974025974025979E-3</v>
      </c>
      <c r="U100" s="121">
        <f t="shared" si="69"/>
        <v>7.7034883720930279E-3</v>
      </c>
      <c r="V100" s="121">
        <f t="shared" si="70"/>
        <v>2.3121387283237018E-4</v>
      </c>
      <c r="W100" s="121">
        <f t="shared" si="71"/>
        <v>1.3345605154164747E-3</v>
      </c>
      <c r="X100" s="121">
        <f t="shared" si="72"/>
        <v>1.2048192771084328E-3</v>
      </c>
      <c r="Y100" s="121">
        <f t="shared" si="73"/>
        <v>0</v>
      </c>
      <c r="Z100" s="121">
        <f t="shared" si="74"/>
        <v>1.4874141876430201E-3</v>
      </c>
    </row>
    <row r="101" spans="3:26" x14ac:dyDescent="0.25">
      <c r="C101" s="66" t="s">
        <v>169</v>
      </c>
      <c r="E101" s="121">
        <f t="shared" si="53"/>
        <v>1.5320334261838455E-3</v>
      </c>
      <c r="F101" s="121">
        <f t="shared" si="54"/>
        <v>7.7281191806331511E-3</v>
      </c>
      <c r="G101" s="121">
        <f t="shared" si="55"/>
        <v>0</v>
      </c>
      <c r="H101" s="121">
        <f t="shared" si="56"/>
        <v>1.0471204188481694E-3</v>
      </c>
      <c r="I101" s="121">
        <f t="shared" si="57"/>
        <v>3.0324567638000473E-3</v>
      </c>
      <c r="J101" s="121">
        <f t="shared" si="58"/>
        <v>0</v>
      </c>
      <c r="K101" s="121">
        <f t="shared" si="59"/>
        <v>3.6363636363636433E-3</v>
      </c>
      <c r="L101" s="121">
        <f t="shared" si="60"/>
        <v>3.7950664136622369E-4</v>
      </c>
      <c r="M101" s="121">
        <f t="shared" si="61"/>
        <v>1.5786877158362115E-3</v>
      </c>
      <c r="N101" s="121">
        <f t="shared" si="62"/>
        <v>3.6305802347263356E-3</v>
      </c>
      <c r="O101" s="121">
        <f t="shared" si="63"/>
        <v>2.112676056338031E-3</v>
      </c>
      <c r="P101" s="121">
        <f t="shared" si="64"/>
        <v>2.3923444976076515E-3</v>
      </c>
      <c r="Q101" s="121">
        <f t="shared" si="65"/>
        <v>1.6754850088183417E-3</v>
      </c>
      <c r="R101" s="121">
        <f t="shared" si="66"/>
        <v>1.9182008598831438E-3</v>
      </c>
      <c r="S101" s="121">
        <f t="shared" si="67"/>
        <v>1.9955654101995539E-3</v>
      </c>
      <c r="T101" s="121">
        <f t="shared" si="68"/>
        <v>3.8311688311688315E-3</v>
      </c>
      <c r="U101" s="121">
        <f t="shared" si="69"/>
        <v>5.0872093023255852E-3</v>
      </c>
      <c r="V101" s="121">
        <f t="shared" si="70"/>
        <v>6.9364161849711056E-4</v>
      </c>
      <c r="W101" s="121">
        <f t="shared" si="71"/>
        <v>1.0124252185918082E-3</v>
      </c>
      <c r="X101" s="121">
        <f t="shared" si="72"/>
        <v>1.8072289156626489E-3</v>
      </c>
      <c r="Y101" s="121">
        <f t="shared" si="73"/>
        <v>0</v>
      </c>
      <c r="Z101" s="121">
        <f t="shared" si="74"/>
        <v>1.1441647597254002E-3</v>
      </c>
    </row>
    <row r="102" spans="3:26" x14ac:dyDescent="0.25">
      <c r="C102" s="66" t="s">
        <v>208</v>
      </c>
      <c r="E102" s="121">
        <f t="shared" si="53"/>
        <v>4.4568245125348235E-3</v>
      </c>
      <c r="F102" s="121">
        <f t="shared" si="54"/>
        <v>5.6797020484171349E-3</v>
      </c>
      <c r="G102" s="121">
        <f t="shared" si="55"/>
        <v>1.9163763066202058E-3</v>
      </c>
      <c r="H102" s="121">
        <f t="shared" si="56"/>
        <v>5.2356020942408476E-3</v>
      </c>
      <c r="I102" s="121">
        <f t="shared" si="57"/>
        <v>1.5103056147832266E-2</v>
      </c>
      <c r="J102" s="121">
        <f t="shared" si="58"/>
        <v>0</v>
      </c>
      <c r="K102" s="121">
        <f t="shared" si="59"/>
        <v>1.2500000000000025E-2</v>
      </c>
      <c r="L102" s="121">
        <f t="shared" si="60"/>
        <v>2.371916508538898E-3</v>
      </c>
      <c r="M102" s="121">
        <f t="shared" si="61"/>
        <v>9.8667982239763214E-3</v>
      </c>
      <c r="N102" s="121">
        <f t="shared" si="62"/>
        <v>1.5103652517275419E-2</v>
      </c>
      <c r="O102" s="121">
        <f t="shared" si="63"/>
        <v>1.6197183098591569E-2</v>
      </c>
      <c r="P102" s="121">
        <f t="shared" si="64"/>
        <v>8.6124401913875454E-3</v>
      </c>
      <c r="Q102" s="121">
        <f t="shared" si="65"/>
        <v>4.0564373897707222E-3</v>
      </c>
      <c r="R102" s="121">
        <f t="shared" si="66"/>
        <v>7.948407011354866E-3</v>
      </c>
      <c r="S102" s="121">
        <f t="shared" si="67"/>
        <v>7.4279379157427862E-3</v>
      </c>
      <c r="T102" s="121">
        <f t="shared" si="68"/>
        <v>1.9025974025974026E-2</v>
      </c>
      <c r="U102" s="121">
        <f t="shared" si="69"/>
        <v>1.8750000000000013E-2</v>
      </c>
      <c r="V102" s="121">
        <f t="shared" si="70"/>
        <v>2.1965317919075164E-3</v>
      </c>
      <c r="W102" s="121">
        <f t="shared" si="71"/>
        <v>4.0957202024850424E-3</v>
      </c>
      <c r="X102" s="121">
        <f t="shared" si="72"/>
        <v>5.4216867469879474E-3</v>
      </c>
      <c r="Y102" s="121">
        <f t="shared" si="73"/>
        <v>0</v>
      </c>
      <c r="Z102" s="121">
        <f t="shared" si="74"/>
        <v>3.7757437070938208E-3</v>
      </c>
    </row>
    <row r="103" spans="3:26" x14ac:dyDescent="0.25">
      <c r="C103" s="66" t="s">
        <v>209</v>
      </c>
      <c r="E103" s="121">
        <f t="shared" si="53"/>
        <v>2.6462395543175514E-3</v>
      </c>
      <c r="F103" s="121">
        <f t="shared" si="54"/>
        <v>4.0037243947858491E-3</v>
      </c>
      <c r="G103" s="121">
        <f t="shared" si="55"/>
        <v>0</v>
      </c>
      <c r="H103" s="121">
        <f t="shared" si="56"/>
        <v>2.3560209424083808E-3</v>
      </c>
      <c r="I103" s="121">
        <f t="shared" si="57"/>
        <v>7.8654347311063726E-3</v>
      </c>
      <c r="J103" s="121">
        <f t="shared" si="58"/>
        <v>0</v>
      </c>
      <c r="K103" s="121">
        <f t="shared" si="59"/>
        <v>7.2727272727272866E-3</v>
      </c>
      <c r="L103" s="121">
        <f t="shared" si="60"/>
        <v>1.328273244781783E-3</v>
      </c>
      <c r="M103" s="121">
        <f t="shared" si="61"/>
        <v>5.6240749876665039E-3</v>
      </c>
      <c r="N103" s="121">
        <f t="shared" si="62"/>
        <v>1.1505977843588899E-2</v>
      </c>
      <c r="O103" s="121">
        <f t="shared" si="63"/>
        <v>2.112676056338031E-3</v>
      </c>
      <c r="P103" s="121">
        <f t="shared" si="64"/>
        <v>2.1531100478468864E-3</v>
      </c>
      <c r="Q103" s="121">
        <f t="shared" si="65"/>
        <v>3.3509700176366833E-3</v>
      </c>
      <c r="R103" s="121">
        <f t="shared" si="66"/>
        <v>6.8570168669385952E-3</v>
      </c>
      <c r="S103" s="121">
        <f t="shared" si="67"/>
        <v>4.6563192904656272E-3</v>
      </c>
      <c r="T103" s="121">
        <f t="shared" si="68"/>
        <v>1.5064935064935068E-2</v>
      </c>
      <c r="U103" s="121">
        <f t="shared" si="69"/>
        <v>1.5697674418604663E-2</v>
      </c>
      <c r="V103" s="121">
        <f t="shared" si="70"/>
        <v>2.5433526011560716E-3</v>
      </c>
      <c r="W103" s="121">
        <f t="shared" si="71"/>
        <v>1.5646571560055222E-3</v>
      </c>
      <c r="X103" s="121">
        <f t="shared" si="72"/>
        <v>2.8112449799196767E-3</v>
      </c>
      <c r="Y103" s="121">
        <f t="shared" si="73"/>
        <v>0</v>
      </c>
      <c r="Z103" s="121">
        <f t="shared" si="74"/>
        <v>2.2311212814645305E-3</v>
      </c>
    </row>
    <row r="104" spans="3:26" x14ac:dyDescent="0.25">
      <c r="C104" s="66" t="s">
        <v>145</v>
      </c>
      <c r="E104" s="121">
        <f t="shared" si="53"/>
        <v>5.8495821727019559E-3</v>
      </c>
      <c r="F104" s="121">
        <f t="shared" si="54"/>
        <v>6.4245810055865958E-3</v>
      </c>
      <c r="G104" s="121">
        <f t="shared" si="55"/>
        <v>1.9163763066202058E-3</v>
      </c>
      <c r="H104" s="121">
        <f t="shared" si="56"/>
        <v>7.0680628272251434E-3</v>
      </c>
      <c r="I104" s="121">
        <f t="shared" si="57"/>
        <v>1.4605543710021323E-2</v>
      </c>
      <c r="J104" s="121">
        <f t="shared" si="58"/>
        <v>0</v>
      </c>
      <c r="K104" s="121">
        <f t="shared" si="59"/>
        <v>1.5909090909090942E-2</v>
      </c>
      <c r="L104" s="121">
        <f t="shared" si="60"/>
        <v>1.9924098671726745E-3</v>
      </c>
      <c r="M104" s="121">
        <f t="shared" si="61"/>
        <v>1.1593487913172178E-2</v>
      </c>
      <c r="N104" s="121">
        <f t="shared" si="62"/>
        <v>1.1867939015026873E-2</v>
      </c>
      <c r="O104" s="121">
        <f t="shared" si="63"/>
        <v>6.3380281690140925E-3</v>
      </c>
      <c r="P104" s="121">
        <f t="shared" si="64"/>
        <v>8.3732057416267807E-3</v>
      </c>
      <c r="Q104" s="121">
        <f t="shared" si="65"/>
        <v>4.9382716049382706E-3</v>
      </c>
      <c r="R104" s="121">
        <f t="shared" si="66"/>
        <v>9.4587145849410192E-3</v>
      </c>
      <c r="S104" s="121">
        <f t="shared" si="67"/>
        <v>9.9778270509977719E-3</v>
      </c>
      <c r="T104" s="121">
        <f t="shared" si="68"/>
        <v>1.8701298701298701E-2</v>
      </c>
      <c r="U104" s="121">
        <f t="shared" si="69"/>
        <v>2.3401162790697691E-2</v>
      </c>
      <c r="V104" s="121">
        <f t="shared" si="70"/>
        <v>2.1965317919075164E-3</v>
      </c>
      <c r="W104" s="121">
        <f t="shared" si="71"/>
        <v>3.9576622181316141E-3</v>
      </c>
      <c r="X104" s="121">
        <f t="shared" si="72"/>
        <v>3.6144578313252978E-3</v>
      </c>
      <c r="Y104" s="121">
        <f t="shared" si="73"/>
        <v>0</v>
      </c>
      <c r="Z104" s="121">
        <f t="shared" si="74"/>
        <v>4.805491990846681E-3</v>
      </c>
    </row>
    <row r="105" spans="3:26" ht="15.75" thickBot="1" x14ac:dyDescent="0.3">
      <c r="C105" s="70" t="s">
        <v>153</v>
      </c>
      <c r="E105" s="121">
        <f t="shared" si="53"/>
        <v>3.064066852367691E-3</v>
      </c>
      <c r="F105" s="121">
        <f t="shared" si="54"/>
        <v>3.7243947858473015E-3</v>
      </c>
      <c r="G105" s="121">
        <f t="shared" si="55"/>
        <v>6.2717770034843101E-3</v>
      </c>
      <c r="H105" s="121">
        <f t="shared" si="56"/>
        <v>3.1413612565445084E-3</v>
      </c>
      <c r="I105" s="121">
        <f t="shared" si="57"/>
        <v>7.7706704572376214E-3</v>
      </c>
      <c r="J105" s="121">
        <f t="shared" si="58"/>
        <v>0</v>
      </c>
      <c r="K105" s="121">
        <f t="shared" si="59"/>
        <v>5.0000000000000096E-3</v>
      </c>
      <c r="L105" s="121">
        <f t="shared" si="60"/>
        <v>1.328273244781783E-3</v>
      </c>
      <c r="M105" s="121">
        <f t="shared" si="61"/>
        <v>5.2787370498273319E-3</v>
      </c>
      <c r="N105" s="121">
        <f t="shared" si="62"/>
        <v>7.1514752659866182E-3</v>
      </c>
      <c r="O105" s="121">
        <f t="shared" si="63"/>
        <v>1.7605633802816926E-3</v>
      </c>
      <c r="P105" s="121">
        <f t="shared" si="64"/>
        <v>3.110047846889947E-3</v>
      </c>
      <c r="Q105" s="121">
        <f t="shared" si="65"/>
        <v>1.8518518518518515E-3</v>
      </c>
      <c r="R105" s="121">
        <f t="shared" si="66"/>
        <v>4.2332708631903863E-3</v>
      </c>
      <c r="S105" s="121">
        <f t="shared" si="67"/>
        <v>3.7694013303769362E-3</v>
      </c>
      <c r="T105" s="121">
        <f t="shared" si="68"/>
        <v>1.1298701298701299E-2</v>
      </c>
      <c r="U105" s="121">
        <f t="shared" si="69"/>
        <v>9.3023255813953556E-3</v>
      </c>
      <c r="V105" s="121">
        <f t="shared" si="70"/>
        <v>1.3872832369942211E-3</v>
      </c>
      <c r="W105" s="121">
        <f t="shared" si="71"/>
        <v>1.4265991716520935E-3</v>
      </c>
      <c r="X105" s="121">
        <f t="shared" si="72"/>
        <v>2.8112449799196767E-3</v>
      </c>
      <c r="Y105" s="121">
        <f t="shared" si="73"/>
        <v>0</v>
      </c>
      <c r="Z105" s="121">
        <f t="shared" si="74"/>
        <v>1.6018306636155603E-3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V46"/>
  <sheetViews>
    <sheetView workbookViewId="0">
      <selection activeCell="E35" sqref="E35"/>
    </sheetView>
  </sheetViews>
  <sheetFormatPr baseColWidth="10" defaultRowHeight="15" x14ac:dyDescent="0.25"/>
  <cols>
    <col min="3" max="3" width="16.85546875" bestFit="1" customWidth="1"/>
  </cols>
  <sheetData>
    <row r="2" spans="3:22" ht="15.75" thickBot="1" x14ac:dyDescent="0.3"/>
    <row r="3" spans="3:22" ht="15.75" thickBot="1" x14ac:dyDescent="0.3">
      <c r="C3" s="129" t="s">
        <v>239</v>
      </c>
      <c r="D3" s="130"/>
      <c r="E3" s="130"/>
      <c r="F3" s="130"/>
      <c r="G3" s="131"/>
    </row>
    <row r="4" spans="3:22" ht="15.75" thickBot="1" x14ac:dyDescent="0.3">
      <c r="C4" s="78" t="s">
        <v>33</v>
      </c>
      <c r="D4" s="78" t="s">
        <v>124</v>
      </c>
      <c r="E4" s="78" t="s">
        <v>240</v>
      </c>
      <c r="F4" s="76"/>
      <c r="G4" s="76"/>
    </row>
    <row r="5" spans="3:22" ht="15.75" thickBot="1" x14ac:dyDescent="0.3">
      <c r="C5" s="87" t="s">
        <v>126</v>
      </c>
      <c r="D5" s="93"/>
      <c r="E5" s="93"/>
      <c r="F5" s="76"/>
      <c r="G5" s="76"/>
    </row>
    <row r="6" spans="3:22" x14ac:dyDescent="0.25">
      <c r="C6" s="79" t="s">
        <v>128</v>
      </c>
      <c r="D6" s="66" t="s">
        <v>132</v>
      </c>
      <c r="E6" s="66">
        <f>'Nutrient Requirements'!D5</f>
        <v>12996</v>
      </c>
    </row>
    <row r="7" spans="3:22" ht="15.75" thickBot="1" x14ac:dyDescent="0.3">
      <c r="C7" s="66" t="s">
        <v>129</v>
      </c>
      <c r="D7" s="66" t="s">
        <v>131</v>
      </c>
      <c r="E7" s="66">
        <f>'Nutrient Requirements'!D6*'WHO Intake'!C8</f>
        <v>65.600000000000009</v>
      </c>
    </row>
    <row r="8" spans="3:22" ht="15.75" thickBot="1" x14ac:dyDescent="0.3">
      <c r="C8" s="66" t="s">
        <v>237</v>
      </c>
      <c r="D8" s="66" t="s">
        <v>131</v>
      </c>
      <c r="E8" s="66">
        <f>'WHO Intake'!C8*'Nutrient Requirements'!D7</f>
        <v>106.60000000000001</v>
      </c>
      <c r="J8" s="132" t="s">
        <v>244</v>
      </c>
      <c r="K8" s="133"/>
      <c r="L8" s="133"/>
      <c r="M8" s="133"/>
      <c r="N8" s="133"/>
      <c r="O8" s="133"/>
      <c r="P8" s="133"/>
      <c r="Q8" s="133"/>
      <c r="R8" s="134"/>
      <c r="S8" s="94"/>
      <c r="T8" s="94"/>
      <c r="U8" s="94"/>
      <c r="V8" s="94"/>
    </row>
    <row r="9" spans="3:22" ht="15.75" thickBot="1" x14ac:dyDescent="0.3">
      <c r="C9" s="70" t="s">
        <v>238</v>
      </c>
      <c r="D9" s="66" t="s">
        <v>131</v>
      </c>
      <c r="E9" s="66">
        <f>'WHO Intake'!C8*'Nutrient Requirements'!D8</f>
        <v>393.59999999999997</v>
      </c>
      <c r="J9" s="135" t="s">
        <v>245</v>
      </c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7"/>
    </row>
    <row r="10" spans="3:22" ht="15.75" thickBot="1" x14ac:dyDescent="0.3">
      <c r="C10" s="91" t="s">
        <v>133</v>
      </c>
      <c r="D10" s="92"/>
      <c r="E10" s="92"/>
    </row>
    <row r="11" spans="3:22" x14ac:dyDescent="0.25">
      <c r="C11" s="66" t="s">
        <v>134</v>
      </c>
      <c r="D11" s="80" t="s">
        <v>197</v>
      </c>
      <c r="E11" s="66">
        <f>'Nutrient Requirements'!D12*1000</f>
        <v>800</v>
      </c>
    </row>
    <row r="12" spans="3:22" x14ac:dyDescent="0.25">
      <c r="C12" s="66" t="s">
        <v>107</v>
      </c>
      <c r="D12" s="80" t="s">
        <v>197</v>
      </c>
      <c r="E12" s="81">
        <f>'Nutrient Requirements'!D11</f>
        <v>18</v>
      </c>
    </row>
    <row r="13" spans="3:22" x14ac:dyDescent="0.25">
      <c r="C13" s="66" t="s">
        <v>135</v>
      </c>
      <c r="D13" s="80" t="s">
        <v>197</v>
      </c>
      <c r="E13" s="66">
        <f>'Nutrient Requirements'!D13*1000</f>
        <v>350</v>
      </c>
    </row>
    <row r="14" spans="3:22" x14ac:dyDescent="0.25">
      <c r="C14" s="66" t="s">
        <v>136</v>
      </c>
      <c r="D14" s="80" t="s">
        <v>197</v>
      </c>
      <c r="E14" s="66">
        <f>'Nutrient Requirements'!D9*1000</f>
        <v>800</v>
      </c>
    </row>
    <row r="15" spans="3:22" x14ac:dyDescent="0.25">
      <c r="C15" s="66" t="s">
        <v>137</v>
      </c>
      <c r="D15" s="80" t="s">
        <v>197</v>
      </c>
      <c r="E15" s="66">
        <f>'Nutrient Requirements'!D14*1000</f>
        <v>2700</v>
      </c>
    </row>
    <row r="16" spans="3:22" x14ac:dyDescent="0.25">
      <c r="C16" s="66" t="s">
        <v>138</v>
      </c>
      <c r="D16" s="80" t="s">
        <v>197</v>
      </c>
      <c r="E16" s="66">
        <f>'Nutrient Requirements'!D10*1000</f>
        <v>3500</v>
      </c>
    </row>
    <row r="17" spans="3:5" x14ac:dyDescent="0.25">
      <c r="C17" s="66" t="s">
        <v>110</v>
      </c>
      <c r="D17" s="80" t="s">
        <v>197</v>
      </c>
      <c r="E17" s="82" t="str">
        <f>'Nutrient Requirements'!E33</f>
        <v>15</v>
      </c>
    </row>
    <row r="18" spans="3:5" x14ac:dyDescent="0.25">
      <c r="C18" s="66" t="s">
        <v>108</v>
      </c>
      <c r="D18" s="80" t="s">
        <v>197</v>
      </c>
      <c r="E18" s="66">
        <f>'Nutrient Requirements'!F34</f>
        <v>5</v>
      </c>
    </row>
    <row r="19" spans="3:5" x14ac:dyDescent="0.25">
      <c r="C19" s="66" t="s">
        <v>109</v>
      </c>
      <c r="D19" s="80" t="s">
        <v>197</v>
      </c>
      <c r="E19" s="66">
        <f>'Nutrient Requirements'!F35</f>
        <v>5</v>
      </c>
    </row>
    <row r="20" spans="3:5" x14ac:dyDescent="0.25">
      <c r="C20" s="66" t="s">
        <v>139</v>
      </c>
      <c r="D20" s="80" t="s">
        <v>198</v>
      </c>
      <c r="E20" s="66">
        <f>'WHO Intake'!D30</f>
        <v>34</v>
      </c>
    </row>
    <row r="21" spans="3:5" ht="15.75" thickBot="1" x14ac:dyDescent="0.3">
      <c r="C21" s="66" t="s">
        <v>117</v>
      </c>
      <c r="D21" s="80" t="s">
        <v>198</v>
      </c>
      <c r="E21" s="66">
        <f>'Nutrient Requirements'!F40*1000</f>
        <v>1000</v>
      </c>
    </row>
    <row r="22" spans="3:5" ht="15.75" thickBot="1" x14ac:dyDescent="0.3">
      <c r="C22" s="89" t="s">
        <v>140</v>
      </c>
      <c r="D22" s="90"/>
      <c r="E22" s="90"/>
    </row>
    <row r="23" spans="3:5" x14ac:dyDescent="0.25">
      <c r="C23" s="77" t="s">
        <v>141</v>
      </c>
      <c r="D23" s="66" t="s">
        <v>197</v>
      </c>
      <c r="E23" s="82" t="str">
        <f>'Nutrient Requirements'!E56</f>
        <v>75</v>
      </c>
    </row>
    <row r="24" spans="3:5" x14ac:dyDescent="0.25">
      <c r="C24" s="66" t="s">
        <v>142</v>
      </c>
      <c r="D24" s="66" t="s">
        <v>197</v>
      </c>
      <c r="E24" s="66">
        <f>'WHO Intake'!D37</f>
        <v>1.2</v>
      </c>
    </row>
    <row r="25" spans="3:5" x14ac:dyDescent="0.25">
      <c r="C25" s="66" t="s">
        <v>179</v>
      </c>
      <c r="D25" s="66" t="s">
        <v>197</v>
      </c>
      <c r="E25" s="66">
        <f>'WHO Intake'!D38</f>
        <v>1.3</v>
      </c>
    </row>
    <row r="26" spans="3:5" x14ac:dyDescent="0.25">
      <c r="C26" s="66" t="s">
        <v>76</v>
      </c>
      <c r="D26" s="66" t="s">
        <v>197</v>
      </c>
      <c r="E26" s="66">
        <f>'Nutrient Requirements'!F52</f>
        <v>20</v>
      </c>
    </row>
    <row r="27" spans="3:5" x14ac:dyDescent="0.25">
      <c r="C27" s="66" t="s">
        <v>199</v>
      </c>
      <c r="D27" s="66" t="s">
        <v>197</v>
      </c>
      <c r="E27" s="82" t="str">
        <f>'Nutrient Requirements'!E54</f>
        <v>8</v>
      </c>
    </row>
    <row r="28" spans="3:5" x14ac:dyDescent="0.25">
      <c r="C28" s="66" t="s">
        <v>200</v>
      </c>
      <c r="D28" s="66" t="s">
        <v>197</v>
      </c>
      <c r="E28" s="66">
        <f>'Nutrient Requirements'!F50</f>
        <v>2</v>
      </c>
    </row>
    <row r="29" spans="3:5" x14ac:dyDescent="0.25">
      <c r="C29" s="77" t="s">
        <v>186</v>
      </c>
      <c r="D29" s="77" t="s">
        <v>198</v>
      </c>
      <c r="E29" s="82">
        <f>'Nutrient Requirements'!E53*1000</f>
        <v>400</v>
      </c>
    </row>
    <row r="30" spans="3:5" x14ac:dyDescent="0.25">
      <c r="C30" s="66" t="s">
        <v>185</v>
      </c>
      <c r="D30" s="77" t="s">
        <v>198</v>
      </c>
      <c r="E30" s="82" t="str">
        <f>'Nutrient Requirements'!E51</f>
        <v>0,005</v>
      </c>
    </row>
    <row r="31" spans="3:5" x14ac:dyDescent="0.25">
      <c r="C31" s="77" t="s">
        <v>187</v>
      </c>
      <c r="D31" s="66" t="s">
        <v>198</v>
      </c>
      <c r="E31" s="66">
        <f>'Nutrient Requirements'!F44*1000</f>
        <v>1200</v>
      </c>
    </row>
    <row r="32" spans="3:5" x14ac:dyDescent="0.25">
      <c r="C32" s="77" t="s">
        <v>188</v>
      </c>
      <c r="D32" s="66" t="s">
        <v>197</v>
      </c>
      <c r="E32" s="66">
        <f>'Nutrient Requirements'!F46</f>
        <v>15</v>
      </c>
    </row>
    <row r="33" spans="3:12" ht="15.75" thickBot="1" x14ac:dyDescent="0.3">
      <c r="C33" s="77" t="s">
        <v>189</v>
      </c>
      <c r="D33" s="77" t="s">
        <v>198</v>
      </c>
      <c r="E33" s="66">
        <f>'Nutrient Requirements'!F47*1000</f>
        <v>150</v>
      </c>
    </row>
    <row r="34" spans="3:12" ht="15.75" thickBot="1" x14ac:dyDescent="0.3">
      <c r="C34" s="85" t="s">
        <v>207</v>
      </c>
      <c r="D34" s="86"/>
      <c r="E34" s="85" t="s">
        <v>241</v>
      </c>
    </row>
    <row r="35" spans="3:12" x14ac:dyDescent="0.25">
      <c r="C35" s="66" t="s">
        <v>42</v>
      </c>
      <c r="D35" s="66" t="s">
        <v>197</v>
      </c>
      <c r="E35" s="66">
        <f>'WHO Intake'!C8*'WHO Intake'!C24</f>
        <v>328</v>
      </c>
      <c r="L35" s="27">
        <v>250</v>
      </c>
    </row>
    <row r="36" spans="3:12" x14ac:dyDescent="0.25">
      <c r="C36" s="66" t="s">
        <v>146</v>
      </c>
      <c r="D36" s="66" t="s">
        <v>197</v>
      </c>
      <c r="E36" s="66">
        <f>'WHO Intake'!C8*'WHO Intake'!C23</f>
        <v>1230</v>
      </c>
      <c r="L36" s="27">
        <v>500</v>
      </c>
    </row>
    <row r="37" spans="3:12" x14ac:dyDescent="0.25">
      <c r="C37" s="66" t="s">
        <v>149</v>
      </c>
      <c r="D37" s="66" t="s">
        <v>197</v>
      </c>
      <c r="E37" s="66">
        <f>'WHO Intake'!C8*'WHO Intake'!C16</f>
        <v>1640</v>
      </c>
      <c r="L37" s="27">
        <v>1100</v>
      </c>
    </row>
    <row r="38" spans="3:12" x14ac:dyDescent="0.25">
      <c r="C38" s="66" t="s">
        <v>150</v>
      </c>
      <c r="D38" s="66" t="s">
        <v>197</v>
      </c>
      <c r="E38" s="66">
        <f>'WHO Intake'!C8*'WHO Intake'!C17</f>
        <v>3198</v>
      </c>
      <c r="L38" s="27">
        <v>800</v>
      </c>
    </row>
    <row r="39" spans="3:12" ht="15.75" thickBot="1" x14ac:dyDescent="0.3">
      <c r="C39" s="66" t="s">
        <v>144</v>
      </c>
      <c r="D39" s="66" t="s">
        <v>197</v>
      </c>
      <c r="E39" s="66">
        <f>'WHO Intake'!C8*'WHO Intake'!C18</f>
        <v>2460</v>
      </c>
      <c r="L39" s="28">
        <v>800</v>
      </c>
    </row>
    <row r="40" spans="3:12" x14ac:dyDescent="0.25">
      <c r="C40" s="66" t="s">
        <v>168</v>
      </c>
      <c r="D40" s="66" t="s">
        <v>197</v>
      </c>
      <c r="E40" s="66">
        <f>'WHO Intake'!C8*'WHO Intake'!C19</f>
        <v>820</v>
      </c>
      <c r="L40" s="27">
        <v>1100</v>
      </c>
    </row>
    <row r="41" spans="3:12" x14ac:dyDescent="0.25">
      <c r="C41" s="66" t="s">
        <v>169</v>
      </c>
      <c r="D41" s="66" t="s">
        <v>197</v>
      </c>
      <c r="E41" s="66">
        <f>'WHO Intake'!C8*'WHO Intake'!C20</f>
        <v>328</v>
      </c>
    </row>
    <row r="42" spans="3:12" x14ac:dyDescent="0.25">
      <c r="C42" s="66" t="s">
        <v>208</v>
      </c>
      <c r="D42" s="66" t="s">
        <v>197</v>
      </c>
      <c r="E42" s="88">
        <f>'WHO Intake'!C8*'WHO Intake'!C22</f>
        <v>2050</v>
      </c>
      <c r="L42" s="27">
        <v>1100</v>
      </c>
    </row>
    <row r="43" spans="3:12" x14ac:dyDescent="0.25">
      <c r="C43" s="66" t="s">
        <v>209</v>
      </c>
      <c r="D43" s="66" t="s">
        <v>197</v>
      </c>
      <c r="E43" s="83" t="s">
        <v>221</v>
      </c>
    </row>
    <row r="44" spans="3:12" ht="15.75" thickBot="1" x14ac:dyDescent="0.3">
      <c r="C44" s="66" t="s">
        <v>145</v>
      </c>
      <c r="D44" s="66" t="s">
        <v>197</v>
      </c>
      <c r="E44" s="66">
        <f>'WHO Intake'!C8*'WHO Intake'!C25</f>
        <v>2132</v>
      </c>
      <c r="L44" s="27">
        <v>800</v>
      </c>
    </row>
    <row r="45" spans="3:12" ht="15.75" thickBot="1" x14ac:dyDescent="0.3">
      <c r="C45" s="70" t="s">
        <v>153</v>
      </c>
      <c r="D45" s="70" t="s">
        <v>197</v>
      </c>
      <c r="E45" s="70">
        <f>'WHO Intake'!C8*'WHO Intake'!C15</f>
        <v>820</v>
      </c>
      <c r="H45" s="129" t="s">
        <v>243</v>
      </c>
      <c r="I45" s="130"/>
      <c r="J45" s="130"/>
      <c r="K45" s="131"/>
      <c r="L45" s="26">
        <v>700</v>
      </c>
    </row>
    <row r="46" spans="3:12" x14ac:dyDescent="0.25">
      <c r="L46" t="s">
        <v>242</v>
      </c>
    </row>
  </sheetData>
  <mergeCells count="4">
    <mergeCell ref="C3:G3"/>
    <mergeCell ref="H45:K45"/>
    <mergeCell ref="J8:R8"/>
    <mergeCell ref="J9:V9"/>
  </mergeCells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workbookViewId="0">
      <selection activeCell="F44" sqref="F44"/>
    </sheetView>
  </sheetViews>
  <sheetFormatPr baseColWidth="10" defaultRowHeight="15" x14ac:dyDescent="0.25"/>
  <cols>
    <col min="2" max="2" width="18.28515625" bestFit="1" customWidth="1"/>
    <col min="3" max="3" width="36.140625" customWidth="1"/>
    <col min="8" max="8" width="42" bestFit="1" customWidth="1"/>
    <col min="9" max="9" width="14.42578125" bestFit="1" customWidth="1"/>
  </cols>
  <sheetData>
    <row r="2" spans="2:3" x14ac:dyDescent="0.25">
      <c r="B2" s="138" t="s">
        <v>269</v>
      </c>
      <c r="C2" s="138"/>
    </row>
    <row r="5" spans="2:3" ht="15.75" thickBot="1" x14ac:dyDescent="0.3">
      <c r="B5" s="138" t="s">
        <v>270</v>
      </c>
      <c r="C5" s="138"/>
    </row>
    <row r="6" spans="2:3" ht="15.75" thickBot="1" x14ac:dyDescent="0.3">
      <c r="B6" s="43" t="s">
        <v>33</v>
      </c>
      <c r="C6" s="106" t="s">
        <v>271</v>
      </c>
    </row>
    <row r="7" spans="2:3" x14ac:dyDescent="0.25">
      <c r="B7" s="140" t="s">
        <v>129</v>
      </c>
      <c r="C7" s="113" t="s">
        <v>279</v>
      </c>
    </row>
    <row r="8" spans="2:3" x14ac:dyDescent="0.25">
      <c r="B8" s="141"/>
      <c r="C8" s="110" t="s">
        <v>280</v>
      </c>
    </row>
    <row r="9" spans="2:3" ht="33" customHeight="1" x14ac:dyDescent="0.25">
      <c r="B9" s="141"/>
      <c r="C9" s="111" t="s">
        <v>281</v>
      </c>
    </row>
    <row r="10" spans="2:3" x14ac:dyDescent="0.25">
      <c r="B10" s="27" t="s">
        <v>238</v>
      </c>
      <c r="C10" s="110" t="s">
        <v>282</v>
      </c>
    </row>
    <row r="11" spans="2:3" x14ac:dyDescent="0.25">
      <c r="B11" s="27" t="s">
        <v>272</v>
      </c>
      <c r="C11" s="110" t="s">
        <v>283</v>
      </c>
    </row>
    <row r="12" spans="2:3" x14ac:dyDescent="0.25">
      <c r="B12" s="27" t="s">
        <v>274</v>
      </c>
      <c r="C12" s="110" t="s">
        <v>284</v>
      </c>
    </row>
    <row r="13" spans="2:3" x14ac:dyDescent="0.25">
      <c r="B13" s="27" t="s">
        <v>273</v>
      </c>
      <c r="C13" s="110" t="s">
        <v>285</v>
      </c>
    </row>
    <row r="14" spans="2:3" x14ac:dyDescent="0.25">
      <c r="B14" s="27" t="s">
        <v>275</v>
      </c>
      <c r="C14" s="110" t="s">
        <v>286</v>
      </c>
    </row>
    <row r="15" spans="2:3" x14ac:dyDescent="0.25">
      <c r="B15" s="27" t="s">
        <v>276</v>
      </c>
      <c r="C15" s="110" t="s">
        <v>287</v>
      </c>
    </row>
    <row r="16" spans="2:3" x14ac:dyDescent="0.25">
      <c r="B16" s="27" t="s">
        <v>277</v>
      </c>
      <c r="C16" s="110" t="s">
        <v>289</v>
      </c>
    </row>
    <row r="17" spans="2:3" ht="15.75" thickBot="1" x14ac:dyDescent="0.3">
      <c r="B17" s="28" t="s">
        <v>278</v>
      </c>
      <c r="C17" s="112" t="s">
        <v>288</v>
      </c>
    </row>
    <row r="19" spans="2:3" ht="15.75" thickBot="1" x14ac:dyDescent="0.3">
      <c r="B19" s="138" t="s">
        <v>290</v>
      </c>
      <c r="C19" s="138"/>
    </row>
    <row r="20" spans="2:3" x14ac:dyDescent="0.25">
      <c r="B20" s="115" t="s">
        <v>291</v>
      </c>
      <c r="C20" s="114" t="s">
        <v>271</v>
      </c>
    </row>
    <row r="21" spans="2:3" x14ac:dyDescent="0.25">
      <c r="B21" s="27" t="s">
        <v>187</v>
      </c>
      <c r="C21" s="110" t="s">
        <v>294</v>
      </c>
    </row>
    <row r="22" spans="2:3" x14ac:dyDescent="0.25">
      <c r="B22" s="27" t="s">
        <v>292</v>
      </c>
      <c r="C22" s="110" t="s">
        <v>293</v>
      </c>
    </row>
    <row r="23" spans="2:3" x14ac:dyDescent="0.25">
      <c r="B23" s="139" t="s">
        <v>189</v>
      </c>
      <c r="C23" s="110" t="s">
        <v>295</v>
      </c>
    </row>
    <row r="24" spans="2:3" x14ac:dyDescent="0.25">
      <c r="B24" s="139"/>
      <c r="C24" s="110" t="s">
        <v>296</v>
      </c>
    </row>
    <row r="25" spans="2:3" x14ac:dyDescent="0.25">
      <c r="B25" s="27" t="s">
        <v>188</v>
      </c>
      <c r="C25" s="110" t="s">
        <v>297</v>
      </c>
    </row>
    <row r="26" spans="2:3" x14ac:dyDescent="0.25">
      <c r="B26" s="27" t="s">
        <v>141</v>
      </c>
      <c r="C26" s="110" t="s">
        <v>298</v>
      </c>
    </row>
    <row r="27" spans="2:3" x14ac:dyDescent="0.25">
      <c r="B27" s="27" t="s">
        <v>185</v>
      </c>
      <c r="C27" s="110" t="s">
        <v>299</v>
      </c>
    </row>
    <row r="28" spans="2:3" x14ac:dyDescent="0.25">
      <c r="B28" s="27" t="s">
        <v>200</v>
      </c>
      <c r="C28" s="110" t="s">
        <v>300</v>
      </c>
    </row>
    <row r="29" spans="2:3" x14ac:dyDescent="0.25">
      <c r="B29" s="139" t="s">
        <v>142</v>
      </c>
      <c r="C29" s="110" t="s">
        <v>301</v>
      </c>
    </row>
    <row r="30" spans="2:3" x14ac:dyDescent="0.25">
      <c r="B30" s="139"/>
      <c r="C30" s="110" t="s">
        <v>302</v>
      </c>
    </row>
    <row r="31" spans="2:3" x14ac:dyDescent="0.25">
      <c r="B31" s="27" t="s">
        <v>179</v>
      </c>
      <c r="C31" s="110" t="s">
        <v>303</v>
      </c>
    </row>
    <row r="32" spans="2:3" x14ac:dyDescent="0.25">
      <c r="B32" s="27" t="s">
        <v>186</v>
      </c>
      <c r="C32" s="110" t="s">
        <v>304</v>
      </c>
    </row>
    <row r="33" spans="2:9" x14ac:dyDescent="0.25">
      <c r="B33" s="27" t="s">
        <v>76</v>
      </c>
      <c r="C33" s="110" t="s">
        <v>305</v>
      </c>
    </row>
    <row r="34" spans="2:9" x14ac:dyDescent="0.25">
      <c r="B34" s="27" t="s">
        <v>184</v>
      </c>
      <c r="C34" s="110" t="s">
        <v>306</v>
      </c>
    </row>
    <row r="35" spans="2:9" x14ac:dyDescent="0.25">
      <c r="B35" s="27" t="s">
        <v>199</v>
      </c>
      <c r="C35" s="110" t="s">
        <v>307</v>
      </c>
      <c r="H35" s="122" t="s">
        <v>332</v>
      </c>
    </row>
    <row r="36" spans="2:9" x14ac:dyDescent="0.25">
      <c r="B36" s="27" t="s">
        <v>134</v>
      </c>
      <c r="C36" s="110" t="s">
        <v>308</v>
      </c>
      <c r="H36" t="s">
        <v>333</v>
      </c>
    </row>
    <row r="37" spans="2:9" x14ac:dyDescent="0.25">
      <c r="B37" s="139" t="s">
        <v>136</v>
      </c>
      <c r="C37" s="110" t="s">
        <v>309</v>
      </c>
      <c r="H37" t="s">
        <v>334</v>
      </c>
    </row>
    <row r="38" spans="2:9" x14ac:dyDescent="0.25">
      <c r="B38" s="139"/>
      <c r="C38" s="110" t="s">
        <v>310</v>
      </c>
      <c r="H38" t="s">
        <v>335</v>
      </c>
      <c r="I38" t="s">
        <v>336</v>
      </c>
    </row>
    <row r="39" spans="2:9" x14ac:dyDescent="0.25">
      <c r="B39" s="139" t="s">
        <v>135</v>
      </c>
      <c r="C39" s="110" t="s">
        <v>311</v>
      </c>
    </row>
    <row r="40" spans="2:9" x14ac:dyDescent="0.25">
      <c r="B40" s="139"/>
      <c r="C40" s="110" t="s">
        <v>312</v>
      </c>
    </row>
    <row r="41" spans="2:9" x14ac:dyDescent="0.25">
      <c r="B41" s="139"/>
      <c r="C41" s="110" t="s">
        <v>313</v>
      </c>
    </row>
    <row r="42" spans="2:9" x14ac:dyDescent="0.25">
      <c r="B42" s="27" t="s">
        <v>138</v>
      </c>
      <c r="C42" s="110" t="s">
        <v>314</v>
      </c>
    </row>
    <row r="43" spans="2:9" x14ac:dyDescent="0.25">
      <c r="B43" s="27" t="s">
        <v>137</v>
      </c>
      <c r="C43" s="110" t="s">
        <v>315</v>
      </c>
    </row>
    <row r="44" spans="2:9" x14ac:dyDescent="0.25">
      <c r="B44" s="27" t="s">
        <v>107</v>
      </c>
      <c r="C44" s="110" t="s">
        <v>316</v>
      </c>
    </row>
    <row r="45" spans="2:9" x14ac:dyDescent="0.25">
      <c r="B45" s="27" t="s">
        <v>108</v>
      </c>
      <c r="C45" s="110" t="s">
        <v>317</v>
      </c>
    </row>
    <row r="46" spans="2:9" x14ac:dyDescent="0.25">
      <c r="B46" s="139" t="s">
        <v>109</v>
      </c>
      <c r="C46" s="110" t="s">
        <v>318</v>
      </c>
    </row>
    <row r="47" spans="2:9" x14ac:dyDescent="0.25">
      <c r="B47" s="139"/>
      <c r="C47" s="110" t="s">
        <v>319</v>
      </c>
    </row>
    <row r="48" spans="2:9" x14ac:dyDescent="0.25">
      <c r="B48" s="139" t="s">
        <v>117</v>
      </c>
      <c r="C48" s="110" t="s">
        <v>320</v>
      </c>
    </row>
    <row r="49" spans="2:3" x14ac:dyDescent="0.25">
      <c r="B49" s="139"/>
      <c r="C49" s="110" t="s">
        <v>321</v>
      </c>
    </row>
    <row r="50" spans="2:3" x14ac:dyDescent="0.25">
      <c r="B50" s="27" t="s">
        <v>110</v>
      </c>
      <c r="C50" s="110" t="s">
        <v>322</v>
      </c>
    </row>
    <row r="51" spans="2:3" x14ac:dyDescent="0.25">
      <c r="B51" s="27" t="s">
        <v>139</v>
      </c>
      <c r="C51" s="110" t="s">
        <v>323</v>
      </c>
    </row>
    <row r="52" spans="2:3" x14ac:dyDescent="0.25">
      <c r="B52" s="27" t="s">
        <v>120</v>
      </c>
      <c r="C52" s="110" t="s">
        <v>324</v>
      </c>
    </row>
    <row r="53" spans="2:3" ht="15.75" thickBot="1" x14ac:dyDescent="0.3">
      <c r="B53" s="28" t="s">
        <v>119</v>
      </c>
      <c r="C53" s="112" t="s">
        <v>325</v>
      </c>
    </row>
  </sheetData>
  <mergeCells count="10">
    <mergeCell ref="B37:B38"/>
    <mergeCell ref="B39:B41"/>
    <mergeCell ref="B46:B47"/>
    <mergeCell ref="B48:B49"/>
    <mergeCell ref="B7:B9"/>
    <mergeCell ref="B5:C5"/>
    <mergeCell ref="B2:C2"/>
    <mergeCell ref="B19:C19"/>
    <mergeCell ref="B23:B24"/>
    <mergeCell ref="B29:B3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BVAD Values</vt:lpstr>
      <vt:lpstr>Nutrient Requirements</vt:lpstr>
      <vt:lpstr>WHO Intake</vt:lpstr>
      <vt:lpstr>USDA Nutrients of Plants</vt:lpstr>
      <vt:lpstr>Chosen Total Requirements</vt:lpstr>
      <vt:lpstr>NASA STD 3001</vt:lpstr>
    </vt:vector>
  </TitlesOfParts>
  <Company>Leibniz-Rechenzentrum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Hochfellner, Clemens</dc:creator>
  <cp:lastModifiedBy>Hochfellner, Clemens</cp:lastModifiedBy>
  <dcterms:created xsi:type="dcterms:W3CDTF">2015-08-04T10:01:25Z</dcterms:created>
  <dcterms:modified xsi:type="dcterms:W3CDTF">2015-10-30T08:03:00Z</dcterms:modified>
</cp:coreProperties>
</file>