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E:\interview\SSKL PROJECT DCF\"/>
    </mc:Choice>
  </mc:AlternateContent>
  <xr:revisionPtr revIDLastSave="0" documentId="13_ncr:1_{BDB8D6FC-1A6A-4D1D-AA5B-F907F54E6886}" xr6:coauthVersionLast="47" xr6:coauthVersionMax="47" xr10:uidLastSave="{00000000-0000-0000-0000-000000000000}"/>
  <bookViews>
    <workbookView xWindow="-108" yWindow="-108" windowWidth="23256" windowHeight="12456" xr2:uid="{00000000-000D-0000-FFFF-FFFF00000000}"/>
  </bookViews>
  <sheets>
    <sheet name="SSKL DCF Model by Gautam Chauha" sheetId="15" r:id="rId1"/>
    <sheet name="Free Cash Flow" sheetId="2" r:id="rId2"/>
    <sheet name="Fixed Assets" sheetId="3" r:id="rId3"/>
    <sheet name="Net Working Capital" sheetId="4" r:id="rId4"/>
    <sheet name="DCF" sheetId="5" r:id="rId5"/>
    <sheet name="WACC" sheetId="6" r:id="rId6"/>
    <sheet name="Data Source --&gt;" sheetId="7" r:id="rId7"/>
    <sheet name="Income Statement R" sheetId="12" r:id="rId8"/>
    <sheet name="Balance Sheet R" sheetId="13" r:id="rId9"/>
  </sheets>
  <definedNames>
    <definedName name="ExternalData_1" localSheetId="8" hidden="1">'Balance Sheet R'!$A$1:$C$47</definedName>
    <definedName name="ExternalData_1" localSheetId="7" hidden="1">'Income Statement R'!$A$1:$C$29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4" roundtripDataSignature="AMtx7mgO+XDV4Zo2EE1nvNhM8Bphb5J3BQ=="/>
    </ext>
  </extLst>
</workbook>
</file>

<file path=xl/calcChain.xml><?xml version="1.0" encoding="utf-8"?>
<calcChain xmlns="http://schemas.openxmlformats.org/spreadsheetml/2006/main">
  <c r="F14" i="5" l="1"/>
  <c r="F13" i="5" s="1"/>
  <c r="F16" i="5"/>
  <c r="F17" i="5" s="1"/>
  <c r="G12" i="5"/>
  <c r="H12" i="5"/>
  <c r="J12" i="5"/>
  <c r="K12" i="5" s="1"/>
  <c r="C17" i="5"/>
  <c r="C16" i="5"/>
  <c r="C13" i="6"/>
  <c r="C16" i="6" s="1"/>
  <c r="C18" i="6" s="1"/>
  <c r="C12" i="5" s="1"/>
  <c r="C15" i="6"/>
  <c r="C9" i="6"/>
  <c r="C8" i="6"/>
  <c r="C6" i="6"/>
  <c r="C4" i="6"/>
  <c r="E4" i="5"/>
  <c r="D4" i="5"/>
  <c r="E13" i="2" l="1"/>
  <c r="C21" i="2"/>
  <c r="C6" i="2"/>
  <c r="D7" i="2"/>
  <c r="D9" i="2" s="1"/>
  <c r="C7" i="2"/>
  <c r="C9" i="2" s="1"/>
  <c r="D19" i="2"/>
  <c r="D18" i="2" s="1"/>
  <c r="D20" i="2"/>
  <c r="C20" i="2"/>
  <c r="C19" i="2"/>
  <c r="C18" i="2" l="1"/>
  <c r="C17" i="2" s="1"/>
  <c r="D15" i="4"/>
  <c r="E15" i="4"/>
  <c r="C15" i="4"/>
  <c r="E14" i="4"/>
  <c r="E13" i="4"/>
  <c r="E12" i="4"/>
  <c r="E11" i="4"/>
  <c r="E10" i="4"/>
  <c r="C12" i="4"/>
  <c r="C13" i="4"/>
  <c r="C14" i="4"/>
  <c r="D14" i="4"/>
  <c r="D13" i="4"/>
  <c r="D12" i="4"/>
  <c r="D11" i="4"/>
  <c r="D10" i="4"/>
  <c r="C11" i="4"/>
  <c r="C10" i="4"/>
  <c r="C8" i="4"/>
  <c r="D8" i="4"/>
  <c r="E8" i="4"/>
  <c r="D7" i="4"/>
  <c r="E7" i="4"/>
  <c r="C7" i="4"/>
  <c r="K16" i="13"/>
  <c r="J16" i="13"/>
  <c r="L16" i="13"/>
  <c r="E6" i="4"/>
  <c r="D6" i="4"/>
  <c r="C6" i="4"/>
  <c r="E5" i="4"/>
  <c r="D5" i="4"/>
  <c r="C5" i="4"/>
  <c r="J13" i="13"/>
  <c r="L13" i="13"/>
  <c r="K13" i="13"/>
  <c r="K10" i="13"/>
  <c r="L10" i="13"/>
  <c r="J10" i="13"/>
  <c r="D13" i="2"/>
  <c r="C13" i="2"/>
  <c r="G10" i="12"/>
  <c r="H10" i="12"/>
  <c r="G7" i="12"/>
  <c r="L7" i="13"/>
  <c r="C7" i="3" s="1"/>
  <c r="K7" i="13"/>
  <c r="D4" i="3" s="1"/>
  <c r="D17" i="2" l="1"/>
  <c r="C4" i="3"/>
  <c r="C6" i="3" s="1"/>
  <c r="C16" i="2" s="1"/>
  <c r="J7" i="13" l="1"/>
  <c r="D7" i="3" s="1"/>
  <c r="E4" i="3" s="1"/>
  <c r="E6" i="3" s="1"/>
  <c r="E16" i="2" s="1"/>
  <c r="D11" i="2"/>
  <c r="C11" i="2"/>
  <c r="C15" i="2" s="1"/>
  <c r="F24" i="2"/>
  <c r="G24" i="2"/>
  <c r="H24" i="2"/>
  <c r="D5" i="2"/>
  <c r="H7" i="12"/>
  <c r="C5" i="2" s="1"/>
  <c r="D20" i="4" s="1"/>
  <c r="C4" i="2"/>
  <c r="D4" i="2"/>
  <c r="D24" i="2"/>
  <c r="C24" i="2"/>
  <c r="B24" i="2"/>
  <c r="E19" i="4" l="1"/>
  <c r="D28" i="2"/>
  <c r="D19" i="4"/>
  <c r="C28" i="2"/>
  <c r="D6" i="2"/>
  <c r="E20" i="4"/>
  <c r="D23" i="4"/>
  <c r="D24" i="4"/>
  <c r="D25" i="2"/>
  <c r="C27" i="2"/>
  <c r="D15" i="2"/>
  <c r="D5" i="3" s="1"/>
  <c r="C11" i="3" s="1"/>
  <c r="D11" i="3" s="1"/>
  <c r="E11" i="3" s="1"/>
  <c r="F11" i="3" s="1"/>
  <c r="D10" i="2"/>
  <c r="D27" i="2"/>
  <c r="C10" i="2"/>
  <c r="E24" i="4" l="1"/>
  <c r="E23" i="4"/>
  <c r="D29" i="4"/>
  <c r="D22" i="4"/>
  <c r="D26" i="4"/>
  <c r="D30" i="4"/>
  <c r="D28" i="4"/>
  <c r="D27" i="4"/>
  <c r="E26" i="4"/>
  <c r="E27" i="4"/>
  <c r="E30" i="4"/>
  <c r="E29" i="4"/>
  <c r="E22" i="4"/>
  <c r="E28" i="4"/>
  <c r="E28" i="2"/>
  <c r="G11" i="3"/>
  <c r="E27" i="2"/>
  <c r="F27" i="2" s="1"/>
  <c r="G27" i="2" s="1"/>
  <c r="D12" i="2"/>
  <c r="D6" i="3"/>
  <c r="E5" i="3"/>
  <c r="C12" i="2"/>
  <c r="F30" i="4" l="1"/>
  <c r="F22" i="4"/>
  <c r="G22" i="4" s="1"/>
  <c r="F27" i="4"/>
  <c r="F29" i="4"/>
  <c r="G27" i="4"/>
  <c r="F24" i="4"/>
  <c r="G30" i="4"/>
  <c r="F28" i="4"/>
  <c r="G28" i="4" s="1"/>
  <c r="F26" i="4"/>
  <c r="G26" i="4" s="1"/>
  <c r="F23" i="4"/>
  <c r="G23" i="4" s="1"/>
  <c r="F28" i="2"/>
  <c r="G28" i="2" s="1"/>
  <c r="C14" i="2"/>
  <c r="C12" i="3"/>
  <c r="D16" i="2"/>
  <c r="E7" i="3"/>
  <c r="F4" i="3" s="1"/>
  <c r="E11" i="2"/>
  <c r="E15" i="2"/>
  <c r="H11" i="3"/>
  <c r="D14" i="2"/>
  <c r="H27" i="2"/>
  <c r="D21" i="2" l="1"/>
  <c r="H30" i="4"/>
  <c r="G24" i="4"/>
  <c r="H23" i="4"/>
  <c r="H26" i="4"/>
  <c r="I26" i="4" s="1"/>
  <c r="H28" i="4"/>
  <c r="H27" i="4"/>
  <c r="H22" i="4"/>
  <c r="G29" i="4"/>
  <c r="H29" i="4" s="1"/>
  <c r="I11" i="3"/>
  <c r="F5" i="3"/>
  <c r="F6" i="3"/>
  <c r="F16" i="2" s="1"/>
  <c r="H28" i="2"/>
  <c r="E4" i="2"/>
  <c r="F7" i="3" l="1"/>
  <c r="G4" i="3" s="1"/>
  <c r="I28" i="4"/>
  <c r="I29" i="4"/>
  <c r="F19" i="4"/>
  <c r="E7" i="2"/>
  <c r="E9" i="2" s="1"/>
  <c r="H24" i="4"/>
  <c r="I24" i="4" s="1"/>
  <c r="I22" i="4"/>
  <c r="I30" i="4"/>
  <c r="I23" i="4"/>
  <c r="I27" i="4"/>
  <c r="G6" i="3"/>
  <c r="G16" i="2" s="1"/>
  <c r="G5" i="3"/>
  <c r="F15" i="2"/>
  <c r="F11" i="2"/>
  <c r="F4" i="2"/>
  <c r="E5" i="2"/>
  <c r="F20" i="4" s="1"/>
  <c r="E6" i="2" l="1"/>
  <c r="F10" i="4"/>
  <c r="F6" i="4"/>
  <c r="F7" i="2"/>
  <c r="F9" i="2" s="1"/>
  <c r="G19" i="4"/>
  <c r="F7" i="4"/>
  <c r="F14" i="4"/>
  <c r="F11" i="4"/>
  <c r="F5" i="4"/>
  <c r="F13" i="4"/>
  <c r="F12" i="4"/>
  <c r="E10" i="2"/>
  <c r="E12" i="2" s="1"/>
  <c r="E14" i="2" s="1"/>
  <c r="G15" i="2"/>
  <c r="G11" i="2"/>
  <c r="G7" i="3"/>
  <c r="H4" i="3" s="1"/>
  <c r="G4" i="2"/>
  <c r="F5" i="2"/>
  <c r="G20" i="4" s="1"/>
  <c r="G10" i="4" l="1"/>
  <c r="G6" i="4"/>
  <c r="G7" i="2"/>
  <c r="G9" i="2" s="1"/>
  <c r="H19" i="4"/>
  <c r="F8" i="4"/>
  <c r="E19" i="2" s="1"/>
  <c r="G7" i="4"/>
  <c r="G12" i="4"/>
  <c r="G11" i="4"/>
  <c r="G5" i="4"/>
  <c r="G14" i="4"/>
  <c r="G13" i="4"/>
  <c r="F15" i="4"/>
  <c r="E20" i="2" s="1"/>
  <c r="H6" i="3"/>
  <c r="H16" i="2" s="1"/>
  <c r="H5" i="3"/>
  <c r="F6" i="2"/>
  <c r="F10" i="2" s="1"/>
  <c r="F12" i="2" s="1"/>
  <c r="H4" i="2"/>
  <c r="G5" i="2"/>
  <c r="H20" i="4" s="1"/>
  <c r="E18" i="2" l="1"/>
  <c r="E17" i="2" s="1"/>
  <c r="E21" i="2" s="1"/>
  <c r="F4" i="5" s="1"/>
  <c r="F7" i="5" s="1"/>
  <c r="G8" i="4"/>
  <c r="F19" i="2" s="1"/>
  <c r="H6" i="4"/>
  <c r="H10" i="4"/>
  <c r="H7" i="4"/>
  <c r="H11" i="4"/>
  <c r="H13" i="4"/>
  <c r="H12" i="4"/>
  <c r="H14" i="4"/>
  <c r="H5" i="4"/>
  <c r="H7" i="2"/>
  <c r="H9" i="2" s="1"/>
  <c r="I19" i="4"/>
  <c r="G15" i="4"/>
  <c r="F20" i="2" s="1"/>
  <c r="H15" i="2"/>
  <c r="H11" i="2"/>
  <c r="H7" i="3"/>
  <c r="I4" i="3" s="1"/>
  <c r="F13" i="2"/>
  <c r="F14" i="2" s="1"/>
  <c r="G6" i="2"/>
  <c r="G10" i="2" s="1"/>
  <c r="G12" i="2" s="1"/>
  <c r="G13" i="2" s="1"/>
  <c r="G14" i="2" s="1"/>
  <c r="H5" i="2"/>
  <c r="I20" i="4" s="1"/>
  <c r="H15" i="4" l="1"/>
  <c r="G20" i="2" s="1"/>
  <c r="I7" i="4"/>
  <c r="I11" i="4"/>
  <c r="I13" i="4"/>
  <c r="I14" i="4"/>
  <c r="I5" i="4"/>
  <c r="I12" i="4"/>
  <c r="H8" i="4"/>
  <c r="G19" i="2" s="1"/>
  <c r="G18" i="2" s="1"/>
  <c r="F18" i="2"/>
  <c r="F17" i="2" s="1"/>
  <c r="F21" i="2" s="1"/>
  <c r="G4" i="5" s="1"/>
  <c r="G7" i="5" s="1"/>
  <c r="I10" i="4"/>
  <c r="I15" i="4" s="1"/>
  <c r="H20" i="2" s="1"/>
  <c r="I6" i="4"/>
  <c r="I6" i="3"/>
  <c r="I5" i="3"/>
  <c r="H6" i="2"/>
  <c r="H10" i="2" s="1"/>
  <c r="H12" i="2" s="1"/>
  <c r="G17" i="2" l="1"/>
  <c r="G21" i="2" s="1"/>
  <c r="H4" i="5" s="1"/>
  <c r="H7" i="5" s="1"/>
  <c r="I8" i="4"/>
  <c r="H19" i="2" s="1"/>
  <c r="H18" i="2" s="1"/>
  <c r="H17" i="2" s="1"/>
  <c r="H13" i="2"/>
  <c r="H14" i="2" s="1"/>
  <c r="H21" i="2" s="1"/>
  <c r="I4" i="5" s="1"/>
  <c r="I7" i="3"/>
  <c r="I7" i="5" l="1"/>
  <c r="C13" i="5" l="1"/>
  <c r="C14" i="5" s="1"/>
  <c r="C10" i="5"/>
  <c r="C15" i="5" l="1"/>
  <c r="C19" i="5" s="1"/>
  <c r="C21" i="5" s="1"/>
  <c r="F12"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1" authorId="0" shapeId="0" xr:uid="{00000000-0006-0000-0400-000002000000}">
      <text>
        <r>
          <rPr>
            <sz val="11"/>
            <color theme="1"/>
            <rFont val="Calibri"/>
            <family val="2"/>
            <scheme val="minor"/>
          </rPr>
          <t xml:space="preserve">======
Gautam  
Industry Growth Rate in India(Google)
</t>
        </r>
      </text>
    </comment>
    <comment ref="C20" authorId="0" shapeId="0" xr:uid="{00000000-0006-0000-0400-000001000000}">
      <text>
        <r>
          <rPr>
            <sz val="11"/>
            <color theme="1"/>
            <rFont val="Calibri"/>
            <family val="2"/>
            <scheme val="minor"/>
          </rPr>
          <t>======
Gautam 
Source: Money Control</t>
        </r>
      </text>
    </comment>
  </commentList>
  <extLst>
    <ext xmlns:r="http://schemas.openxmlformats.org/officeDocument/2006/relationships" uri="GoogleSheetsCustomDataVersion1">
      <go:sheetsCustomData xmlns:go="http://customooxmlschemas.google.com/" r:id="rId1" roundtripDataSignature="AMtx7mgLLZJ0isP2on7YGGbghdkv2AKwlA=="/>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153E8F2-CCF8-466C-A001-D7D3B4AEBEB3}" keepAlive="1" name="Query - Table245 (Page 87)" description="Connection to the 'Table245 (Page 87)' query in the workbook." type="5" refreshedVersion="8" background="1" saveData="1">
    <dbPr connection="Provider=Microsoft.Mashup.OleDb.1;Data Source=$Workbook$;Location=&quot;Table245 (Page 87)&quot;;Extended Properties=&quot;&quot;" command="SELECT * FROM [Table245 (Page 87)]"/>
  </connection>
  <connection id="2" xr16:uid="{C7B997CD-EB54-4F5B-88BD-3EA2FC66A7D7}" keepAlive="1" name="Query - Table447 (Page 130)" description="Connection to the 'Table447 (Page 130)' query in the workbook." type="5" refreshedVersion="8" background="1" saveData="1">
    <dbPr connection="Provider=Microsoft.Mashup.OleDb.1;Data Source=$Workbook$;Location=&quot;Table447 (Page 130)&quot;;Extended Properties=&quot;&quot;" command="SELECT * FROM [Table447 (Page 130)]"/>
  </connection>
  <connection id="3" xr16:uid="{340920E5-8187-434B-B0B5-88DE16965306}" keepAlive="1" name="Query - Table447 (Page 130) (2)" description="Connection to the 'Table447 (Page 130) (2)' query in the workbook." type="5" refreshedVersion="0" background="1">
    <dbPr connection="Provider=Microsoft.Mashup.OleDb.1;Data Source=$Workbook$;Location=&quot;Table447 (Page 130) (2)&quot;;Extended Properties=&quot;&quot;" command="SELECT * FROM [Table447 (Page 130) (2)]"/>
  </connection>
  <connection id="4" xr16:uid="{BBFD2C28-6139-4083-A138-A16244DA1B7E}" keepAlive="1" name="Query - Table450 (Page 131)" description="Connection to the 'Table450 (Page 131)' query in the workbook." type="5" refreshedVersion="0" background="1">
    <dbPr connection="Provider=Microsoft.Mashup.OleDb.1;Data Source=$Workbook$;Location=&quot;Table450 (Page 131)&quot;;Extended Properties=&quot;&quot;" command="SELECT * FROM [Table450 (Page 131)]"/>
  </connection>
  <connection id="5" xr16:uid="{F6D589E4-9D13-4682-B4B7-B38A3BA43706}" keepAlive="1" name="Query - Table450 (Page 131) (2)" description="Connection to the 'Table450 (Page 131) (2)' query in the workbook." type="5" refreshedVersion="8" background="1" saveData="1">
    <dbPr connection="Provider=Microsoft.Mashup.OleDb.1;Data Source=$Workbook$;Location=&quot;Table450 (Page 131) (2)&quot;;Extended Properties=&quot;&quot;" command="SELECT * FROM [Table450 (Page 131) (2)]"/>
  </connection>
</connections>
</file>

<file path=xl/sharedStrings.xml><?xml version="1.0" encoding="utf-8"?>
<sst xmlns="http://schemas.openxmlformats.org/spreadsheetml/2006/main" count="268" uniqueCount="224">
  <si>
    <t>Unlevered Free Cash Flow (mm)</t>
  </si>
  <si>
    <t>Fiscal Year</t>
  </si>
  <si>
    <t>Revenue</t>
  </si>
  <si>
    <t>COGS</t>
  </si>
  <si>
    <t>Gross Profit</t>
  </si>
  <si>
    <t>Operating Expenses</t>
  </si>
  <si>
    <t>Selling, General, Administrative</t>
  </si>
  <si>
    <t>Total Operating Expenses</t>
  </si>
  <si>
    <t>EBITDA</t>
  </si>
  <si>
    <t>Depreciation &amp; Amortization</t>
  </si>
  <si>
    <t>Operating Profit (EBIT)</t>
  </si>
  <si>
    <t>Operating Taxes</t>
  </si>
  <si>
    <t>NOPAT (Net Operating Profit After Taxes)</t>
  </si>
  <si>
    <t>(+) Depreciation &amp; Amortization</t>
  </si>
  <si>
    <t>(-) Capital Expenditures</t>
  </si>
  <si>
    <t>(-) Change in NWC</t>
  </si>
  <si>
    <t>NWC</t>
  </si>
  <si>
    <t>Current Assets</t>
  </si>
  <si>
    <t>Current Liabilitites</t>
  </si>
  <si>
    <t>Unlevered Free Cash Flow</t>
  </si>
  <si>
    <t>Assumptions</t>
  </si>
  <si>
    <t>Revenue Growth</t>
  </si>
  <si>
    <t>COGS % of Revenue</t>
  </si>
  <si>
    <t>SG&amp;A % of Revenue</t>
  </si>
  <si>
    <t>Tax % of EBIT</t>
  </si>
  <si>
    <t>Fixed Assets Schedule</t>
  </si>
  <si>
    <t>Beginning PP&amp;E</t>
  </si>
  <si>
    <t>D&amp;A</t>
  </si>
  <si>
    <t>CapEx</t>
  </si>
  <si>
    <t>Ending PP&amp;E</t>
  </si>
  <si>
    <t>D&amp;A as a % of Beginning PP&amp;E</t>
  </si>
  <si>
    <t>CapEx as a % of Beginning PP&amp;E</t>
  </si>
  <si>
    <t>Net Working Capital</t>
  </si>
  <si>
    <t>Accounts Receivables</t>
  </si>
  <si>
    <t>Merchandise Inventory</t>
  </si>
  <si>
    <t>Other Current Assets</t>
  </si>
  <si>
    <t>Accounts Payable</t>
  </si>
  <si>
    <t>Accrued Salaries and Benefits</t>
  </si>
  <si>
    <t>Accrued Member Rewards</t>
  </si>
  <si>
    <t>Deferred Membership Fees</t>
  </si>
  <si>
    <t>Other Current Liabilities</t>
  </si>
  <si>
    <t>Current Liabilities</t>
  </si>
  <si>
    <t>Days Sales Outstanding (DSO)</t>
  </si>
  <si>
    <t>Days Inventory Outstanding (DIO)</t>
  </si>
  <si>
    <t>Days Payable Outstanding (DPO)</t>
  </si>
  <si>
    <t>Other Current Assets as a % of Revenue</t>
  </si>
  <si>
    <t>Accrued Salaries as a % of Revenue</t>
  </si>
  <si>
    <t>Accrued Member Rewards as a % of Revenue</t>
  </si>
  <si>
    <t>Deferred Membership Fees as a % of Revenue</t>
  </si>
  <si>
    <t>Other Current Liabilities as a % of Revenue</t>
  </si>
  <si>
    <t>Projection Year</t>
  </si>
  <si>
    <t>Present Value of Free Cash Flow</t>
  </si>
  <si>
    <t>Implied Share Price Calculation</t>
  </si>
  <si>
    <t>Sensitivity Table</t>
  </si>
  <si>
    <t>Sum of PV of FCF</t>
  </si>
  <si>
    <t>Growth Rate</t>
  </si>
  <si>
    <t>WACC</t>
  </si>
  <si>
    <t>Terminal Value</t>
  </si>
  <si>
    <t>PV of Terminal Value</t>
  </si>
  <si>
    <t>Enterprise Value</t>
  </si>
  <si>
    <t>(+) Cash</t>
  </si>
  <si>
    <t>(-) Debt</t>
  </si>
  <si>
    <t>(-) Minority Interest</t>
  </si>
  <si>
    <t>Equity Value</t>
  </si>
  <si>
    <t>Implied Share Price</t>
  </si>
  <si>
    <t>Weighted Average Cost of Capital (WACC)</t>
  </si>
  <si>
    <t>Equity (mm)</t>
  </si>
  <si>
    <t>Debt (mm)</t>
  </si>
  <si>
    <t>Cost of Debt</t>
  </si>
  <si>
    <t>Tax Rate</t>
  </si>
  <si>
    <t>D/(D+E)</t>
  </si>
  <si>
    <t>After Tax Cost of Debt</t>
  </si>
  <si>
    <t>Risk Free Rate (10-Yr Treasury Yield)</t>
  </si>
  <si>
    <t>Expected Market Return</t>
  </si>
  <si>
    <t>Market Risk Premium</t>
  </si>
  <si>
    <t>Levered Beta</t>
  </si>
  <si>
    <t>E/(D+E)</t>
  </si>
  <si>
    <t>Cost of Equity</t>
  </si>
  <si>
    <t>Cash and cash equivalents</t>
  </si>
  <si>
    <t>Other current assets</t>
  </si>
  <si>
    <t>Other current liabilities</t>
  </si>
  <si>
    <t>Revenue from operations</t>
  </si>
  <si>
    <t>Other income</t>
  </si>
  <si>
    <t>23.48</t>
  </si>
  <si>
    <t>Total Income (I+II)</t>
  </si>
  <si>
    <t>EXPENSES</t>
  </si>
  <si>
    <t>Purchases of stock-in-trade</t>
  </si>
  <si>
    <t>Changes in inventories</t>
  </si>
  <si>
    <t>Employee benefit expense</t>
  </si>
  <si>
    <t>164.63</t>
  </si>
  <si>
    <t>140.84</t>
  </si>
  <si>
    <t>Finance costs</t>
  </si>
  <si>
    <t>52.87</t>
  </si>
  <si>
    <t>45.41</t>
  </si>
  <si>
    <t>Depreciation and amortization expense</t>
  </si>
  <si>
    <t>Other expenses</t>
  </si>
  <si>
    <t>Total expenses (IV)</t>
  </si>
  <si>
    <t>1,225.35</t>
  </si>
  <si>
    <t>Profit before exceptional items and tax (III-IV)</t>
  </si>
  <si>
    <t>134.68</t>
  </si>
  <si>
    <t>Exceptional Items</t>
  </si>
  <si>
    <t>-</t>
  </si>
  <si>
    <t>Profit before tax (V-VI)</t>
  </si>
  <si>
    <t>VIII Tax expense:</t>
  </si>
  <si>
    <t>Current Tax</t>
  </si>
  <si>
    <t>Deferred Tax</t>
  </si>
  <si>
    <t>(1.29)</t>
  </si>
  <si>
    <t>(0.98)</t>
  </si>
  <si>
    <t>Short/ (Excess) provision of earlier years</t>
  </si>
  <si>
    <t>(1.19)</t>
  </si>
  <si>
    <t>0.14</t>
  </si>
  <si>
    <t>Profit for the year (VII-VIII)</t>
  </si>
  <si>
    <t>100.87</t>
  </si>
  <si>
    <t>97.59</t>
  </si>
  <si>
    <t>Other Comprehensive Income</t>
  </si>
  <si>
    <t>Items that will not be reclassified to profit or loss</t>
  </si>
  <si>
    <t>a)</t>
  </si>
  <si>
    <t>0.11</t>
  </si>
  <si>
    <t>(1.23)</t>
  </si>
  <si>
    <t>b)</t>
  </si>
  <si>
    <t>(0.03)</t>
  </si>
  <si>
    <t>0.31</t>
  </si>
  <si>
    <t>Other comprehensive income for the year, net of tax</t>
  </si>
  <si>
    <t>0.08</t>
  </si>
  <si>
    <t>(0.92)</t>
  </si>
  <si>
    <t>Total comprehensive income for the year (IX+X)</t>
  </si>
  <si>
    <t>100.95</t>
  </si>
  <si>
    <t>96.67</t>
  </si>
  <si>
    <t>Earnings per equity share</t>
  </si>
  <si>
    <t>Basic earnings per share of H 2/- each</t>
  </si>
  <si>
    <t>7.51</t>
  </si>
  <si>
    <t>8.11</t>
  </si>
  <si>
    <t>Diluted earnings per share of H 2/- each</t>
  </si>
  <si>
    <t>year ended Mar 31 2024</t>
  </si>
  <si>
    <t>year ended Mar 31 2023</t>
  </si>
  <si>
    <t>Particulars</t>
  </si>
  <si>
    <t>2025E</t>
  </si>
  <si>
    <t>Year</t>
  </si>
  <si>
    <t>Property, Plant and Equipment</t>
  </si>
  <si>
    <t>Capital work-in-progress</t>
  </si>
  <si>
    <t>2.27</t>
  </si>
  <si>
    <t>Other Intangible assets</t>
  </si>
  <si>
    <t>Right-of-use assets</t>
  </si>
  <si>
    <t>188.69</t>
  </si>
  <si>
    <t>Financial assets</t>
  </si>
  <si>
    <t>Other financial assets</t>
  </si>
  <si>
    <t>Other non-current assets</t>
  </si>
  <si>
    <t>466.56</t>
  </si>
  <si>
    <t>Current assets</t>
  </si>
  <si>
    <t>Inventories</t>
  </si>
  <si>
    <t>Trade receivables</t>
  </si>
  <si>
    <t>Bank balances other than (ii) above</t>
  </si>
  <si>
    <t>357.37</t>
  </si>
  <si>
    <t>Loans</t>
  </si>
  <si>
    <t>3.95</t>
  </si>
  <si>
    <t>1,175.08</t>
  </si>
  <si>
    <t>Total Assets</t>
  </si>
  <si>
    <t>1,641.64</t>
  </si>
  <si>
    <t>EQUITY AND LIABILITIES</t>
  </si>
  <si>
    <t>Equity share capital</t>
  </si>
  <si>
    <t>Other equity</t>
  </si>
  <si>
    <t>1,062.94</t>
  </si>
  <si>
    <t>Liabilities</t>
  </si>
  <si>
    <t>Non-current liabilities</t>
  </si>
  <si>
    <t>Financial liabilities</t>
  </si>
  <si>
    <t>22.62</t>
  </si>
  <si>
    <t>192.29</t>
  </si>
  <si>
    <t>2.59</t>
  </si>
  <si>
    <t>Provisions</t>
  </si>
  <si>
    <t>5.93</t>
  </si>
  <si>
    <t>Deferred tax liabilities (Net)</t>
  </si>
  <si>
    <t>10.22</t>
  </si>
  <si>
    <t>233.65</t>
  </si>
  <si>
    <t>Current liabilities</t>
  </si>
  <si>
    <t>Current tax liabilities (Net)</t>
  </si>
  <si>
    <t>Total equity and liabilities</t>
  </si>
  <si>
    <t>2024</t>
  </si>
  <si>
    <t>2023</t>
  </si>
  <si>
    <t>2023A</t>
  </si>
  <si>
    <t>1,631.71</t>
  </si>
  <si>
    <t>76.10</t>
  </si>
  <si>
    <t>784.05</t>
  </si>
  <si>
    <t>238.02</t>
  </si>
  <si>
    <t>87.45</t>
  </si>
  <si>
    <t>2,817.33</t>
  </si>
  <si>
    <t>4,764.32</t>
  </si>
  <si>
    <t>18.92</t>
  </si>
  <si>
    <t>86.24</t>
  </si>
  <si>
    <t>383.99</t>
  </si>
  <si>
    <t>162.02</t>
  </si>
  <si>
    <t>3.26</t>
  </si>
  <si>
    <t>188.79</t>
  </si>
  <si>
    <t>5,607.54</t>
  </si>
  <si>
    <t>8,424.87</t>
  </si>
  <si>
    <t>240.65</t>
  </si>
  <si>
    <t>2,765.96</t>
  </si>
  <si>
    <t>3,006.61</t>
  </si>
  <si>
    <t>486.60</t>
  </si>
  <si>
    <t>690.48</t>
  </si>
  <si>
    <t>11.15</t>
  </si>
  <si>
    <t>25.22</t>
  </si>
  <si>
    <t>127.71</t>
  </si>
  <si>
    <t>1,341.16</t>
  </si>
  <si>
    <t>2,118.29</t>
  </si>
  <si>
    <t>175.91</t>
  </si>
  <si>
    <t>1,291.18</t>
  </si>
  <si>
    <t>253.07</t>
  </si>
  <si>
    <t>24.26</t>
  </si>
  <si>
    <t>2.49</t>
  </si>
  <si>
    <t>211.90</t>
  </si>
  <si>
    <t>4,077.10</t>
  </si>
  <si>
    <t>2022</t>
  </si>
  <si>
    <t>OperatingTax</t>
  </si>
  <si>
    <t>Borrowings</t>
  </si>
  <si>
    <t>Lease liabilities</t>
  </si>
  <si>
    <t>Other financial liabilities</t>
  </si>
  <si>
    <t>Trade payables</t>
  </si>
  <si>
    <t>Diluted Shares Outstanding (crores)</t>
  </si>
  <si>
    <r>
      <t xml:space="preserve">Date: </t>
    </r>
    <r>
      <rPr>
        <i/>
        <sz val="11"/>
        <color theme="1"/>
        <rFont val="Calibri"/>
        <family val="2"/>
        <scheme val="minor"/>
      </rPr>
      <t>23-07-2025</t>
    </r>
  </si>
  <si>
    <r>
      <t xml:space="preserve">This file is a </t>
    </r>
    <r>
      <rPr>
        <b/>
        <sz val="16"/>
        <color theme="1"/>
        <rFont val="Calibri"/>
        <family val="2"/>
        <scheme val="minor"/>
      </rPr>
      <t>sample Discounted Cash Flow (DCF) analysis</t>
    </r>
    <r>
      <rPr>
        <sz val="16"/>
        <color theme="1"/>
        <rFont val="Calibri"/>
        <family val="2"/>
        <scheme val="minor"/>
      </rPr>
      <t xml:space="preserve"> I have created to demonstrate valuation methodology using publicly available data for SSKL. I hope you find it informative, structured, and easy to follow. Your feedback is appreciated!</t>
    </r>
  </si>
  <si>
    <t xml:space="preserve">📝 Important Disclaimer:
This DCF model is for educational and illustrative purposes only. It is based on publicly available information and certain assumptions that may not reflect the actual financials or strategic plans of the company.
The model does not constitute investment advice or a recommendation to buy/sell securities. All views and calculations are personal interpretations and should not be relied upon for real-world decision-making without further due diligence.
Neither the author nor any affiliated party assumes liability for errors, omissions, or decisions made based on this sample.
</t>
  </si>
  <si>
    <t>Company: SAI SILKS (KALAMANDIR) LIMITED - SSKL (India)</t>
  </si>
  <si>
    <r>
      <t xml:space="preserve">Prepared by: </t>
    </r>
    <r>
      <rPr>
        <sz val="16"/>
        <color theme="1"/>
        <rFont val="Calibri"/>
        <family val="2"/>
        <scheme val="minor"/>
      </rPr>
      <t>Gautam Chauhan</t>
    </r>
  </si>
  <si>
    <t>Linked in: https://www.linkedin.com/in/gautam-chauhan-930331224/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</si>
</sst>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A"/>
    <numFmt numFmtId="165" formatCode="yyyy\E"/>
    <numFmt numFmtId="166" formatCode="#,##0_);\(#,##0\);\-\-_)"/>
    <numFmt numFmtId="167" formatCode="0.0%"/>
    <numFmt numFmtId="168" formatCode="0.0"/>
  </numFmts>
  <fonts count="21"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0"/>
      <name val="Calibri"/>
      <family val="2"/>
    </font>
    <font>
      <sz val="11"/>
      <color theme="1"/>
      <name val="Calibri"/>
      <family val="2"/>
      <scheme val="minor"/>
    </font>
    <font>
      <sz val="11"/>
      <name val="Calibri"/>
      <family val="2"/>
    </font>
    <font>
      <sz val="11"/>
      <color rgb="FF0000FF"/>
      <name val="Calibri"/>
      <family val="2"/>
    </font>
    <font>
      <sz val="8"/>
      <name val="Calibri"/>
      <family val="2"/>
      <scheme val="minor"/>
    </font>
    <font>
      <u/>
      <sz val="11"/>
      <color theme="1"/>
      <name val="Calibri"/>
      <family val="2"/>
    </font>
    <font>
      <u/>
      <sz val="11"/>
      <color theme="1"/>
      <name val="Calibri"/>
      <family val="2"/>
      <scheme val="minor"/>
    </font>
    <font>
      <b/>
      <u/>
      <sz val="11"/>
      <color theme="1"/>
      <name val="Calibri"/>
      <family val="2"/>
    </font>
    <font>
      <b/>
      <u/>
      <sz val="11"/>
      <color theme="1"/>
      <name val="Calibri"/>
      <family val="2"/>
      <scheme val="minor"/>
    </font>
    <font>
      <i/>
      <sz val="11"/>
      <color theme="1"/>
      <name val="Calibri"/>
      <family val="2"/>
      <scheme val="minor"/>
    </font>
    <font>
      <sz val="16"/>
      <color theme="1"/>
      <name val="Calibri"/>
      <family val="2"/>
      <scheme val="minor"/>
    </font>
    <font>
      <b/>
      <sz val="16"/>
      <color theme="1"/>
      <name val="Calibri"/>
      <family val="2"/>
      <scheme val="minor"/>
    </font>
    <font>
      <b/>
      <sz val="24"/>
      <color theme="1"/>
      <name val="Aldhabi"/>
      <charset val="178"/>
    </font>
  </fonts>
  <fills count="11">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rgb="FFFFFF99"/>
        <bgColor rgb="FFFFFF99"/>
      </patternFill>
    </fill>
    <fill>
      <patternFill patternType="solid">
        <fgColor rgb="FFE7E6E6"/>
        <bgColor rgb="FFE7E6E6"/>
      </patternFill>
    </fill>
    <fill>
      <patternFill patternType="solid">
        <fgColor rgb="FF002060"/>
        <bgColor rgb="FF2A3E68"/>
      </patternFill>
    </fill>
    <fill>
      <patternFill patternType="solid">
        <fgColor rgb="FF002060"/>
        <bgColor indexed="64"/>
      </patternFill>
    </fill>
    <fill>
      <patternFill patternType="solid">
        <fgColor theme="6" tint="0.79998168889431442"/>
        <bgColor theme="6" tint="0.79998168889431442"/>
      </patternFill>
    </fill>
    <fill>
      <patternFill patternType="solid">
        <fgColor theme="4" tint="0.39997558519241921"/>
        <bgColor rgb="FFD9E2F3"/>
      </patternFill>
    </fill>
    <fill>
      <patternFill patternType="solid">
        <fgColor theme="2" tint="-0.249977111117893"/>
        <bgColor indexed="64"/>
      </patternFill>
    </fill>
  </fills>
  <borders count="14">
    <border>
      <left/>
      <right/>
      <top/>
      <bottom/>
      <diagonal/>
    </border>
    <border>
      <left/>
      <right/>
      <top/>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s>
  <cellStyleXfs count="1">
    <xf numFmtId="0" fontId="0" fillId="0" borderId="0"/>
  </cellStyleXfs>
  <cellXfs count="91">
    <xf numFmtId="0" fontId="0" fillId="0" borderId="0" xfId="0"/>
    <xf numFmtId="0" fontId="6" fillId="0" borderId="0" xfId="0" applyFont="1"/>
    <xf numFmtId="0" fontId="8" fillId="3" borderId="1" xfId="0" applyFont="1" applyFill="1" applyBorder="1"/>
    <xf numFmtId="0" fontId="6" fillId="2" borderId="2" xfId="0" applyFont="1" applyFill="1" applyBorder="1"/>
    <xf numFmtId="164" fontId="6" fillId="2" borderId="2" xfId="0" applyNumberFormat="1" applyFont="1" applyFill="1" applyBorder="1"/>
    <xf numFmtId="165" fontId="6" fillId="2" borderId="2" xfId="0" applyNumberFormat="1" applyFont="1" applyFill="1" applyBorder="1"/>
    <xf numFmtId="0" fontId="9" fillId="0" borderId="0" xfId="0" applyFont="1"/>
    <xf numFmtId="0" fontId="6" fillId="0" borderId="3" xfId="0" applyFont="1" applyBorder="1"/>
    <xf numFmtId="0" fontId="7" fillId="0" borderId="0" xfId="0" applyFont="1"/>
    <xf numFmtId="0" fontId="6" fillId="0" borderId="0" xfId="0" applyFont="1" applyAlignment="1">
      <alignment horizontal="left"/>
    </xf>
    <xf numFmtId="0" fontId="7" fillId="4" borderId="4" xfId="0" applyFont="1" applyFill="1" applyBorder="1"/>
    <xf numFmtId="0" fontId="6" fillId="5" borderId="1" xfId="0" applyFont="1" applyFill="1" applyBorder="1"/>
    <xf numFmtId="3" fontId="6" fillId="0" borderId="0" xfId="0" applyNumberFormat="1" applyFont="1"/>
    <xf numFmtId="0" fontId="7" fillId="0" borderId="5" xfId="0" applyFont="1" applyBorder="1"/>
    <xf numFmtId="3" fontId="7" fillId="0" borderId="5" xfId="0" applyNumberFormat="1" applyFont="1" applyBorder="1"/>
    <xf numFmtId="167" fontId="6" fillId="0" borderId="0" xfId="0" applyNumberFormat="1" applyFont="1"/>
    <xf numFmtId="168" fontId="6" fillId="5" borderId="1" xfId="0" applyNumberFormat="1" applyFont="1" applyFill="1" applyBorder="1"/>
    <xf numFmtId="9" fontId="11" fillId="0" borderId="0" xfId="0" applyNumberFormat="1" applyFont="1"/>
    <xf numFmtId="4" fontId="6" fillId="0" borderId="0" xfId="0" applyNumberFormat="1" applyFont="1"/>
    <xf numFmtId="4" fontId="6" fillId="2" borderId="1" xfId="0" applyNumberFormat="1" applyFont="1" applyFill="1" applyBorder="1"/>
    <xf numFmtId="4" fontId="8" fillId="3" borderId="1" xfId="0" applyNumberFormat="1" applyFont="1" applyFill="1" applyBorder="1"/>
    <xf numFmtId="0" fontId="6" fillId="0" borderId="5" xfId="0" applyFont="1" applyBorder="1"/>
    <xf numFmtId="3" fontId="6" fillId="0" borderId="5" xfId="0" applyNumberFormat="1" applyFont="1" applyBorder="1"/>
    <xf numFmtId="2" fontId="11" fillId="0" borderId="0" xfId="0" applyNumberFormat="1" applyFont="1"/>
    <xf numFmtId="4" fontId="7" fillId="4" borderId="4" xfId="0" applyNumberFormat="1" applyFont="1" applyFill="1" applyBorder="1"/>
    <xf numFmtId="167" fontId="11" fillId="0" borderId="0" xfId="0" applyNumberFormat="1" applyFont="1"/>
    <xf numFmtId="167" fontId="7" fillId="0" borderId="5" xfId="0" applyNumberFormat="1" applyFont="1" applyBorder="1"/>
    <xf numFmtId="167" fontId="7" fillId="0" borderId="0" xfId="0" applyNumberFormat="1" applyFont="1"/>
    <xf numFmtId="0" fontId="11" fillId="0" borderId="0" xfId="0" applyFont="1"/>
    <xf numFmtId="167" fontId="7" fillId="4" borderId="4" xfId="0" applyNumberFormat="1" applyFont="1" applyFill="1" applyBorder="1"/>
    <xf numFmtId="0" fontId="5" fillId="0" borderId="0" xfId="0" applyFont="1"/>
    <xf numFmtId="4" fontId="0" fillId="0" borderId="0" xfId="0" applyNumberFormat="1"/>
    <xf numFmtId="0" fontId="5" fillId="0" borderId="12" xfId="0" applyFont="1" applyBorder="1"/>
    <xf numFmtId="0" fontId="0" fillId="0" borderId="12" xfId="0" applyBorder="1"/>
    <xf numFmtId="0" fontId="4" fillId="0" borderId="0" xfId="0" applyFont="1"/>
    <xf numFmtId="0" fontId="8" fillId="3" borderId="11" xfId="0" applyFont="1" applyFill="1" applyBorder="1"/>
    <xf numFmtId="0" fontId="6" fillId="2" borderId="3" xfId="0" applyFont="1" applyFill="1" applyBorder="1"/>
    <xf numFmtId="164" fontId="6" fillId="2" borderId="3" xfId="0" applyNumberFormat="1" applyFont="1" applyFill="1" applyBorder="1"/>
    <xf numFmtId="165" fontId="6" fillId="2" borderId="3" xfId="0" applyNumberFormat="1" applyFont="1" applyFill="1" applyBorder="1"/>
    <xf numFmtId="0" fontId="6" fillId="5" borderId="11" xfId="0" applyFont="1" applyFill="1" applyBorder="1"/>
    <xf numFmtId="167" fontId="6" fillId="5" borderId="11" xfId="0" applyNumberFormat="1" applyFont="1" applyFill="1" applyBorder="1"/>
    <xf numFmtId="0" fontId="3" fillId="0" borderId="0" xfId="0" applyFont="1"/>
    <xf numFmtId="0" fontId="8" fillId="6" borderId="11" xfId="0" applyFont="1" applyFill="1" applyBorder="1"/>
    <xf numFmtId="0" fontId="0" fillId="7" borderId="0" xfId="0" applyFill="1"/>
    <xf numFmtId="0" fontId="13" fillId="2" borderId="3" xfId="0" applyFont="1" applyFill="1" applyBorder="1"/>
    <xf numFmtId="0" fontId="14" fillId="0" borderId="0" xfId="0" applyFont="1"/>
    <xf numFmtId="3" fontId="13" fillId="0" borderId="0" xfId="0" applyNumberFormat="1" applyFont="1" applyAlignment="1">
      <alignment horizontal="center" vertical="center"/>
    </xf>
    <xf numFmtId="0" fontId="15" fillId="0" borderId="5" xfId="0" applyFont="1" applyBorder="1"/>
    <xf numFmtId="3" fontId="15" fillId="0" borderId="5" xfId="0" applyNumberFormat="1" applyFont="1" applyBorder="1" applyAlignment="1">
      <alignment horizontal="center" vertical="center"/>
    </xf>
    <xf numFmtId="0" fontId="3" fillId="0" borderId="12" xfId="0" applyFont="1" applyBorder="1"/>
    <xf numFmtId="0" fontId="9" fillId="0" borderId="12" xfId="0" applyFont="1" applyBorder="1"/>
    <xf numFmtId="3" fontId="6" fillId="5" borderId="11" xfId="0" applyNumberFormat="1" applyFont="1" applyFill="1" applyBorder="1"/>
    <xf numFmtId="168" fontId="6" fillId="5" borderId="11" xfId="0" applyNumberFormat="1" applyFont="1" applyFill="1" applyBorder="1"/>
    <xf numFmtId="164" fontId="6" fillId="2" borderId="2" xfId="0" applyNumberFormat="1" applyFont="1" applyFill="1" applyBorder="1" applyAlignment="1">
      <alignment horizontal="center" vertical="center"/>
    </xf>
    <xf numFmtId="0" fontId="2" fillId="0" borderId="0" xfId="0" applyFont="1"/>
    <xf numFmtId="14" fontId="6" fillId="2" borderId="2" xfId="0" applyNumberFormat="1" applyFont="1" applyFill="1" applyBorder="1" applyAlignment="1">
      <alignment horizontal="center" vertical="center"/>
    </xf>
    <xf numFmtId="0" fontId="6" fillId="5" borderId="1" xfId="0" applyFont="1" applyFill="1" applyBorder="1" applyAlignment="1">
      <alignment horizontal="center" vertical="center"/>
    </xf>
    <xf numFmtId="167" fontId="6" fillId="5" borderId="1" xfId="0" applyNumberFormat="1" applyFont="1" applyFill="1" applyBorder="1" applyAlignment="1">
      <alignment horizontal="center" vertical="center"/>
    </xf>
    <xf numFmtId="166" fontId="6" fillId="0" borderId="3" xfId="0" applyNumberFormat="1" applyFont="1" applyBorder="1" applyAlignment="1">
      <alignment horizontal="center" vertical="center"/>
    </xf>
    <xf numFmtId="165" fontId="6" fillId="2" borderId="2" xfId="0" applyNumberFormat="1" applyFont="1" applyFill="1" applyBorder="1" applyAlignment="1">
      <alignment horizontal="center" vertical="center"/>
    </xf>
    <xf numFmtId="166" fontId="6" fillId="0" borderId="0" xfId="0" applyNumberFormat="1" applyFont="1" applyAlignment="1">
      <alignment horizontal="center" vertical="center"/>
    </xf>
    <xf numFmtId="166" fontId="7" fillId="0" borderId="0" xfId="0" applyNumberFormat="1" applyFont="1" applyAlignment="1">
      <alignment horizontal="center" vertical="center"/>
    </xf>
    <xf numFmtId="166" fontId="7" fillId="4" borderId="4" xfId="0" applyNumberFormat="1" applyFont="1" applyFill="1" applyBorder="1" applyAlignment="1">
      <alignment horizontal="center" vertical="center"/>
    </xf>
    <xf numFmtId="0" fontId="2" fillId="8" borderId="13" xfId="0" applyFont="1" applyFill="1" applyBorder="1"/>
    <xf numFmtId="10" fontId="0" fillId="0" borderId="0" xfId="0" applyNumberFormat="1"/>
    <xf numFmtId="10" fontId="6" fillId="9" borderId="1" xfId="0" applyNumberFormat="1" applyFont="1" applyFill="1" applyBorder="1"/>
    <xf numFmtId="0" fontId="0" fillId="0" borderId="0" xfId="0" applyAlignment="1">
      <alignment horizontal="center" vertical="center"/>
    </xf>
    <xf numFmtId="0" fontId="14" fillId="0" borderId="0" xfId="0" applyFont="1" applyAlignment="1">
      <alignment horizontal="center" vertical="center"/>
    </xf>
    <xf numFmtId="0" fontId="16" fillId="0" borderId="0" xfId="0" applyFont="1" applyAlignment="1">
      <alignment horizontal="center" vertical="center"/>
    </xf>
    <xf numFmtId="0" fontId="8" fillId="6" borderId="11" xfId="0" applyFont="1" applyFill="1" applyBorder="1" applyAlignment="1">
      <alignment horizontal="center" vertical="center"/>
    </xf>
    <xf numFmtId="164" fontId="6" fillId="2" borderId="3" xfId="0" applyNumberFormat="1" applyFont="1" applyFill="1" applyBorder="1" applyAlignment="1">
      <alignment horizontal="center" vertical="center"/>
    </xf>
    <xf numFmtId="167" fontId="6" fillId="5" borderId="11" xfId="0" applyNumberFormat="1" applyFont="1" applyFill="1" applyBorder="1" applyAlignment="1">
      <alignment horizontal="center" vertical="center"/>
    </xf>
    <xf numFmtId="164" fontId="13" fillId="2" borderId="3" xfId="0" applyNumberFormat="1" applyFont="1" applyFill="1" applyBorder="1" applyAlignment="1">
      <alignment horizontal="center" vertical="center"/>
    </xf>
    <xf numFmtId="165" fontId="13" fillId="2" borderId="3" xfId="0" applyNumberFormat="1" applyFont="1" applyFill="1" applyBorder="1" applyAlignment="1">
      <alignment horizontal="center" vertical="center"/>
    </xf>
    <xf numFmtId="0" fontId="0" fillId="7" borderId="0" xfId="0" applyFill="1" applyAlignment="1">
      <alignment horizontal="center" vertical="center"/>
    </xf>
    <xf numFmtId="165" fontId="6" fillId="2" borderId="3" xfId="0" applyNumberFormat="1" applyFont="1" applyFill="1" applyBorder="1" applyAlignment="1">
      <alignment horizontal="center" vertical="center"/>
    </xf>
    <xf numFmtId="0" fontId="0" fillId="10" borderId="0" xfId="0" applyFill="1"/>
    <xf numFmtId="0" fontId="0" fillId="10" borderId="0" xfId="0" applyFill="1" applyAlignment="1">
      <alignment horizontal="left" vertical="top"/>
    </xf>
    <xf numFmtId="0" fontId="2" fillId="10" borderId="0" xfId="0" applyFont="1" applyFill="1" applyAlignment="1">
      <alignment horizontal="left" vertical="top"/>
    </xf>
    <xf numFmtId="0" fontId="18" fillId="10" borderId="0" xfId="0" applyFont="1" applyFill="1" applyAlignment="1">
      <alignment horizontal="left" vertical="top"/>
    </xf>
    <xf numFmtId="0" fontId="2" fillId="10" borderId="0" xfId="0" applyFont="1" applyFill="1"/>
    <xf numFmtId="0" fontId="18" fillId="10" borderId="0" xfId="0" applyFont="1" applyFill="1" applyAlignment="1">
      <alignment horizontal="center" vertical="center" wrapText="1"/>
    </xf>
    <xf numFmtId="0" fontId="20" fillId="10" borderId="0" xfId="0" applyFont="1" applyFill="1" applyAlignment="1">
      <alignment horizontal="center" vertical="top" wrapText="1"/>
    </xf>
    <xf numFmtId="0" fontId="8" fillId="3" borderId="6" xfId="0" applyFont="1" applyFill="1" applyBorder="1" applyAlignment="1">
      <alignment horizontal="center"/>
    </xf>
    <xf numFmtId="0" fontId="10" fillId="0" borderId="7" xfId="0" applyFont="1" applyBorder="1"/>
    <xf numFmtId="0" fontId="10" fillId="0" borderId="8" xfId="0" applyFont="1" applyBorder="1"/>
    <xf numFmtId="0" fontId="8" fillId="3" borderId="9" xfId="0" applyFont="1" applyFill="1" applyBorder="1" applyAlignment="1">
      <alignment horizontal="center" vertical="center" textRotation="90"/>
    </xf>
    <xf numFmtId="0" fontId="10" fillId="0" borderId="10" xfId="0" applyFont="1" applyBorder="1"/>
    <xf numFmtId="0" fontId="10" fillId="0" borderId="11" xfId="0" applyFont="1" applyBorder="1"/>
    <xf numFmtId="0" fontId="1" fillId="10" borderId="0" xfId="0" applyFont="1" applyFill="1" applyAlignment="1">
      <alignment horizontal="left" vertical="top"/>
    </xf>
    <xf numFmtId="0" fontId="1" fillId="10" borderId="0" xfId="0" applyFont="1" applyFill="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922020</xdr:colOff>
      <xdr:row>2</xdr:row>
      <xdr:rowOff>99060</xdr:rowOff>
    </xdr:from>
    <xdr:to>
      <xdr:col>15</xdr:col>
      <xdr:colOff>0</xdr:colOff>
      <xdr:row>14</xdr:row>
      <xdr:rowOff>71650</xdr:rowOff>
    </xdr:to>
    <xdr:pic>
      <xdr:nvPicPr>
        <xdr:cNvPr id="3" name="Picture 2">
          <a:extLst>
            <a:ext uri="{FF2B5EF4-FFF2-40B4-BE49-F238E27FC236}">
              <a16:creationId xmlns:a16="http://schemas.microsoft.com/office/drawing/2014/main" id="{35BE5157-051F-648E-55A6-5D23B966C37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30240" y="464820"/>
          <a:ext cx="6210300" cy="334825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3D3DECAD-121E-4F36-BB64-916794C76C0D}" autoFormatId="16" applyNumberFormats="0" applyBorderFormats="0" applyFontFormats="0" applyPatternFormats="0" applyAlignmentFormats="0" applyWidthHeightFormats="0">
  <queryTableRefresh nextId="8">
    <queryTableFields count="3">
      <queryTableField id="3" name="Column3" tableColumnId="3"/>
      <queryTableField id="6" name="Column6" tableColumnId="6"/>
      <queryTableField id="7" name="Column7" tableColumnId="7"/>
    </queryTableFields>
    <queryTableDeletedFields count="4">
      <deletedField name="Column2"/>
      <deletedField name="Column1"/>
      <deletedField name="Column4"/>
      <deletedField name="Column5"/>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EB21919A-1C1D-481E-A2E4-9D6D4F70DC3E}" autoFormatId="16" applyNumberFormats="0" applyBorderFormats="0" applyFontFormats="0" applyPatternFormats="0" applyAlignmentFormats="0" applyWidthHeightFormats="0">
  <queryTableRefresh nextId="12" unboundColumnsRight="1">
    <queryTableFields count="4">
      <queryTableField id="2" name="Column2" tableColumnId="2"/>
      <queryTableField id="6" name="Column6" tableColumnId="6"/>
      <queryTableField id="7" name="Column7" tableColumnId="7"/>
      <queryTableField id="11" dataBound="0" tableColumnId="1"/>
    </queryTableFields>
    <queryTableDeletedFields count="4">
      <deletedField name="Column5"/>
      <deletedField name="Column4"/>
      <deletedField name="Column3"/>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670835-A0AF-4F42-A4DC-E6D7DCE25C71}" name="Table450__Page_131___2" displayName="Table450__Page_131___2" ref="A1:C29" tableType="queryTable" totalsRowShown="0">
  <autoFilter ref="A1:C29" xr:uid="{30670835-A0AF-4F42-A4DC-E6D7DCE25C71}"/>
  <tableColumns count="3">
    <tableColumn id="3" xr3:uid="{2B8ACC8C-80CC-4169-825E-B7B4299B6F94}" uniqueName="3" name="Particulars" queryTableFieldId="3" dataDxfId="5"/>
    <tableColumn id="6" xr3:uid="{9930380D-8A40-4F45-AF25-94CADD8D5E28}" uniqueName="6" name="year ended Mar 31 2024" queryTableFieldId="6" dataDxfId="4"/>
    <tableColumn id="7" xr3:uid="{7C123BDC-91BE-4158-82E4-C67BEFED9646}" uniqueName="7" name="year ended Mar 31 2023" queryTableFieldId="7"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A556CE-D222-4D0E-AF29-8C9CBC0F896D}" name="Table447__Page_130" displayName="Table447__Page_130" ref="A1:D47" tableType="queryTable" totalsRowShown="0">
  <autoFilter ref="A1:D47" xr:uid="{E9A556CE-D222-4D0E-AF29-8C9CBC0F896D}"/>
  <tableColumns count="4">
    <tableColumn id="2" xr3:uid="{B59C21E3-A7BA-4477-9BA3-2FC5AA0D79F0}" uniqueName="2" name="Particulars" queryTableFieldId="2" dataDxfId="2"/>
    <tableColumn id="6" xr3:uid="{A866CE2E-878F-4924-B4F7-30EFED3E6C85}" uniqueName="6" name="2024" queryTableFieldId="6" dataDxfId="1"/>
    <tableColumn id="7" xr3:uid="{B4D7349C-100B-477C-AF0B-A1C4B76932B0}" uniqueName="7" name="2023" queryTableFieldId="7"/>
    <tableColumn id="1" xr3:uid="{F21A606A-8524-4FAD-9B7C-CA127A1C9AD4}" uniqueName="1" name="2022" queryTableFieldId="11" dataDxfId="0"/>
  </tableColumns>
  <tableStyleInfo name="TableStyleMedium2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E0C64-E2B0-4820-AF31-44747028CDAF}">
  <dimension ref="B2:R17"/>
  <sheetViews>
    <sheetView tabSelected="1" workbookViewId="0">
      <selection activeCell="C7" sqref="C7"/>
    </sheetView>
  </sheetViews>
  <sheetFormatPr defaultRowHeight="14.4" x14ac:dyDescent="0.3"/>
  <cols>
    <col min="1" max="5" width="8.88671875" style="76"/>
    <col min="6" max="6" width="25.6640625" style="76" customWidth="1"/>
    <col min="7" max="7" width="32.88671875" style="76" bestFit="1" customWidth="1"/>
    <col min="8" max="16384" width="8.88671875" style="76"/>
  </cols>
  <sheetData>
    <row r="2" spans="2:14" x14ac:dyDescent="0.3">
      <c r="G2" s="77"/>
      <c r="H2" s="77"/>
      <c r="I2" s="77"/>
      <c r="J2" s="77"/>
      <c r="K2" s="77"/>
      <c r="L2" s="77"/>
      <c r="M2" s="77"/>
      <c r="N2" s="77"/>
    </row>
    <row r="3" spans="2:14" ht="21" x14ac:dyDescent="0.3">
      <c r="C3" s="89" t="s">
        <v>222</v>
      </c>
      <c r="D3" s="79"/>
      <c r="E3" s="79"/>
      <c r="F3" s="80"/>
      <c r="G3" s="77"/>
      <c r="H3" s="77"/>
      <c r="I3" s="77"/>
      <c r="J3" s="77"/>
      <c r="K3" s="77"/>
      <c r="L3" s="77"/>
      <c r="M3" s="77"/>
      <c r="N3" s="77"/>
    </row>
    <row r="4" spans="2:14" x14ac:dyDescent="0.3">
      <c r="C4" s="78" t="s">
        <v>221</v>
      </c>
      <c r="D4" s="78"/>
      <c r="E4" s="78"/>
      <c r="F4" s="80"/>
      <c r="G4" s="77"/>
      <c r="H4" s="77"/>
      <c r="I4" s="77"/>
      <c r="J4" s="77"/>
      <c r="K4" s="77"/>
      <c r="L4" s="77"/>
      <c r="M4" s="77"/>
      <c r="N4" s="77"/>
    </row>
    <row r="5" spans="2:14" x14ac:dyDescent="0.3">
      <c r="C5" s="78" t="s">
        <v>218</v>
      </c>
      <c r="D5" s="78"/>
      <c r="E5" s="78"/>
      <c r="F5" s="80"/>
      <c r="J5" s="77"/>
      <c r="K5" s="77"/>
      <c r="L5" s="77"/>
      <c r="M5" s="77"/>
      <c r="N5" s="77"/>
    </row>
    <row r="6" spans="2:14" x14ac:dyDescent="0.3">
      <c r="C6" s="90" t="s">
        <v>223</v>
      </c>
      <c r="D6" s="80"/>
      <c r="E6" s="80"/>
      <c r="F6" s="80"/>
      <c r="J6" s="77"/>
      <c r="K6" s="77"/>
      <c r="L6" s="77"/>
      <c r="M6" s="77"/>
      <c r="N6" s="77"/>
    </row>
    <row r="7" spans="2:14" x14ac:dyDescent="0.3">
      <c r="J7" s="77"/>
      <c r="K7" s="77"/>
      <c r="L7" s="77"/>
      <c r="M7" s="77"/>
      <c r="N7" s="77"/>
    </row>
    <row r="11" spans="2:14" ht="100.8" customHeight="1" x14ac:dyDescent="0.3">
      <c r="B11" s="81" t="s">
        <v>219</v>
      </c>
      <c r="C11" s="81"/>
      <c r="D11" s="81"/>
      <c r="E11" s="81"/>
      <c r="F11" s="81"/>
    </row>
    <row r="17" spans="7:18" ht="316.8" customHeight="1" x14ac:dyDescent="0.3">
      <c r="G17" s="82" t="s">
        <v>220</v>
      </c>
      <c r="H17" s="82"/>
      <c r="I17" s="82"/>
      <c r="J17" s="82"/>
      <c r="K17" s="82"/>
      <c r="L17" s="82"/>
      <c r="M17" s="82"/>
      <c r="N17" s="82"/>
      <c r="O17" s="82"/>
      <c r="P17" s="82"/>
      <c r="Q17" s="82"/>
      <c r="R17" s="82"/>
    </row>
  </sheetData>
  <mergeCells count="2">
    <mergeCell ref="B11:F11"/>
    <mergeCell ref="G17:R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1000"/>
  <sheetViews>
    <sheetView showGridLines="0" workbookViewId="0">
      <selection activeCell="B1" sqref="B1"/>
    </sheetView>
  </sheetViews>
  <sheetFormatPr defaultColWidth="14.44140625" defaultRowHeight="15" customHeight="1" x14ac:dyDescent="0.3"/>
  <cols>
    <col min="1" max="1" width="8.88671875" customWidth="1"/>
    <col min="2" max="2" width="45.44140625" customWidth="1"/>
    <col min="3" max="3" width="11.44140625" customWidth="1"/>
    <col min="4" max="4" width="13.44140625" customWidth="1"/>
    <col min="5" max="5" width="13.5546875" customWidth="1"/>
    <col min="6" max="6" width="11.33203125" customWidth="1"/>
    <col min="7" max="7" width="13.44140625" customWidth="1"/>
    <col min="8" max="8" width="12.6640625" customWidth="1"/>
    <col min="9" max="24" width="8.88671875" customWidth="1"/>
  </cols>
  <sheetData>
    <row r="1" spans="2:8" ht="14.25" customHeight="1" x14ac:dyDescent="0.3"/>
    <row r="2" spans="2:8" ht="14.25" customHeight="1" x14ac:dyDescent="0.3">
      <c r="B2" s="2" t="s">
        <v>0</v>
      </c>
      <c r="C2" s="2"/>
      <c r="D2" s="2"/>
      <c r="E2" s="2"/>
      <c r="F2" s="2"/>
      <c r="G2" s="2"/>
      <c r="H2" s="2"/>
    </row>
    <row r="3" spans="2:8" ht="14.25" customHeight="1" x14ac:dyDescent="0.3">
      <c r="B3" s="3" t="s">
        <v>1</v>
      </c>
      <c r="C3" s="53">
        <v>45291</v>
      </c>
      <c r="D3" s="53">
        <v>45657</v>
      </c>
      <c r="E3" s="55" t="s">
        <v>136</v>
      </c>
      <c r="F3" s="59">
        <v>46387</v>
      </c>
      <c r="G3" s="59">
        <v>46752</v>
      </c>
      <c r="H3" s="59">
        <v>47118</v>
      </c>
    </row>
    <row r="4" spans="2:8" ht="14.25" customHeight="1" x14ac:dyDescent="0.3">
      <c r="B4" s="6" t="s">
        <v>2</v>
      </c>
      <c r="C4" s="60">
        <f>+'Income Statement R'!C2</f>
        <v>13514.7</v>
      </c>
      <c r="D4" s="60">
        <f>+'Income Statement R'!B2</f>
        <v>13735.5</v>
      </c>
      <c r="E4" s="60">
        <f>D4*(1+E25)</f>
        <v>14422.275000000001</v>
      </c>
      <c r="F4" s="60">
        <f t="shared" ref="F4:H4" si="0">E4*(1+F25)</f>
        <v>15143.388750000002</v>
      </c>
      <c r="G4" s="60">
        <f t="shared" si="0"/>
        <v>15900.558187500003</v>
      </c>
      <c r="H4" s="60">
        <f t="shared" si="0"/>
        <v>16695.586096875002</v>
      </c>
    </row>
    <row r="5" spans="2:8" ht="14.25" customHeight="1" x14ac:dyDescent="0.3">
      <c r="B5" s="7" t="s">
        <v>3</v>
      </c>
      <c r="C5" s="58">
        <f>+'Income Statement R'!H7</f>
        <v>12486</v>
      </c>
      <c r="D5" s="58">
        <f>+'Income Statement R'!G7</f>
        <v>8824.5</v>
      </c>
      <c r="E5" s="58">
        <f>E4*E27</f>
        <v>11295.109003806967</v>
      </c>
      <c r="F5" s="58">
        <f t="shared" ref="F5:H5" si="1">F4*F27</f>
        <v>11859.864453997316</v>
      </c>
      <c r="G5" s="58">
        <f t="shared" si="1"/>
        <v>12452.857676697182</v>
      </c>
      <c r="H5" s="58">
        <f t="shared" si="1"/>
        <v>13075.50056053204</v>
      </c>
    </row>
    <row r="6" spans="2:8" ht="14.25" customHeight="1" x14ac:dyDescent="0.3">
      <c r="B6" s="8" t="s">
        <v>4</v>
      </c>
      <c r="C6" s="61">
        <f>C4-C5</f>
        <v>1028.7000000000007</v>
      </c>
      <c r="D6" s="61">
        <f t="shared" ref="D6:H6" si="2">D4-D5</f>
        <v>4911</v>
      </c>
      <c r="E6" s="61">
        <f t="shared" si="2"/>
        <v>3127.1659961930345</v>
      </c>
      <c r="F6" s="61">
        <f t="shared" si="2"/>
        <v>3283.5242960026862</v>
      </c>
      <c r="G6" s="61">
        <f t="shared" si="2"/>
        <v>3447.7005108028206</v>
      </c>
      <c r="H6" s="61">
        <f t="shared" si="2"/>
        <v>3620.0855363429619</v>
      </c>
    </row>
    <row r="7" spans="2:8" ht="14.25" customHeight="1" x14ac:dyDescent="0.3">
      <c r="B7" s="6" t="s">
        <v>5</v>
      </c>
      <c r="C7" s="60">
        <f>SUM('Income Statement R'!C6,Table450__Page_131___2[[#This Row],[year ended Mar 31 2023]],'Income Statement R'!C8,'Income Statement R'!C11)</f>
        <v>9980.9000000000015</v>
      </c>
      <c r="D7" s="60">
        <f>SUM('Income Statement R'!B6,Table450__Page_131___2[[#This Row],[year ended Mar 31 2024]],'Income Statement R'!B11)</f>
        <v>9969.4000000000015</v>
      </c>
      <c r="E7" s="60">
        <f>E4*E28</f>
        <v>10559.516942162982</v>
      </c>
      <c r="F7" s="60">
        <f t="shared" ref="F7:H7" si="3">F4*F28</f>
        <v>11087.492789271129</v>
      </c>
      <c r="G7" s="60">
        <f t="shared" si="3"/>
        <v>11641.867428734688</v>
      </c>
      <c r="H7" s="60">
        <f t="shared" si="3"/>
        <v>12223.96080017142</v>
      </c>
    </row>
    <row r="8" spans="2:8" ht="14.25" customHeight="1" x14ac:dyDescent="0.3">
      <c r="B8" s="6" t="s">
        <v>6</v>
      </c>
      <c r="C8" s="60"/>
      <c r="D8" s="60"/>
      <c r="E8" s="60"/>
      <c r="F8" s="60"/>
      <c r="G8" s="60"/>
      <c r="H8" s="60"/>
    </row>
    <row r="9" spans="2:8" ht="14.25" customHeight="1" x14ac:dyDescent="0.3">
      <c r="B9" s="7" t="s">
        <v>7</v>
      </c>
      <c r="C9" s="58">
        <f>SUM(C7)</f>
        <v>9980.9000000000015</v>
      </c>
      <c r="D9" s="58">
        <f>SUM(D7)</f>
        <v>9969.4000000000015</v>
      </c>
      <c r="E9" s="58">
        <f>SUM(E7)</f>
        <v>10559.516942162982</v>
      </c>
      <c r="F9" s="58">
        <f t="shared" ref="F9:H9" si="4">SUM(F7)</f>
        <v>11087.492789271129</v>
      </c>
      <c r="G9" s="58">
        <f t="shared" si="4"/>
        <v>11641.867428734688</v>
      </c>
      <c r="H9" s="58">
        <f t="shared" si="4"/>
        <v>12223.96080017142</v>
      </c>
    </row>
    <row r="10" spans="2:8" ht="14.25" customHeight="1" x14ac:dyDescent="0.3">
      <c r="B10" s="8" t="s">
        <v>8</v>
      </c>
      <c r="C10" s="61">
        <f t="shared" ref="C10:H10" si="5">C6-C9</f>
        <v>-8952.2000000000007</v>
      </c>
      <c r="D10" s="61">
        <f t="shared" si="5"/>
        <v>-5058.4000000000015</v>
      </c>
      <c r="E10" s="61">
        <f>E6-E9</f>
        <v>-7432.3509459699471</v>
      </c>
      <c r="F10" s="61">
        <f t="shared" si="5"/>
        <v>-7803.9684932684431</v>
      </c>
      <c r="G10" s="61">
        <f t="shared" si="5"/>
        <v>-8194.1669179318669</v>
      </c>
      <c r="H10" s="61">
        <f t="shared" si="5"/>
        <v>-8603.8752638284586</v>
      </c>
    </row>
    <row r="11" spans="2:8" ht="14.25" customHeight="1" x14ac:dyDescent="0.3">
      <c r="B11" s="7" t="s">
        <v>9</v>
      </c>
      <c r="C11" s="58">
        <f>+'Income Statement R'!C10</f>
        <v>410.1</v>
      </c>
      <c r="D11" s="58">
        <f>'Income Statement R'!B10</f>
        <v>479.1</v>
      </c>
      <c r="E11" s="58">
        <f>'Fixed Assets'!E5</f>
        <v>521.15870221396062</v>
      </c>
      <c r="F11" s="58">
        <f>'Fixed Assets'!F5</f>
        <v>528.37033060485362</v>
      </c>
      <c r="G11" s="58">
        <f>'Fixed Assets'!G5</f>
        <v>535.68175121609602</v>
      </c>
      <c r="H11" s="58">
        <f>'Fixed Assets'!H5</f>
        <v>543.09434494069876</v>
      </c>
    </row>
    <row r="12" spans="2:8" ht="14.25" customHeight="1" x14ac:dyDescent="0.3">
      <c r="B12" s="8" t="s">
        <v>10</v>
      </c>
      <c r="C12" s="61">
        <f>C10-C11</f>
        <v>-9362.3000000000011</v>
      </c>
      <c r="D12" s="61">
        <f>D10-D11</f>
        <v>-5537.5000000000018</v>
      </c>
      <c r="E12" s="61">
        <f t="shared" ref="E12:H12" si="6">E10-E11</f>
        <v>-7953.5096481839082</v>
      </c>
      <c r="F12" s="61">
        <f t="shared" si="6"/>
        <v>-8332.3388238732969</v>
      </c>
      <c r="G12" s="61">
        <f t="shared" si="6"/>
        <v>-8729.8486691479629</v>
      </c>
      <c r="H12" s="61">
        <f t="shared" si="6"/>
        <v>-9146.9696087691573</v>
      </c>
    </row>
    <row r="13" spans="2:8" ht="14.25" customHeight="1" x14ac:dyDescent="0.3">
      <c r="B13" s="7" t="s">
        <v>11</v>
      </c>
      <c r="C13" s="58">
        <f>'Income Statement R'!H10</f>
        <v>728</v>
      </c>
      <c r="D13" s="58">
        <f>'Income Statement R'!G10</f>
        <v>701</v>
      </c>
      <c r="E13" s="58">
        <f>E12*E29</f>
        <v>-1988.3774120459771</v>
      </c>
      <c r="F13" s="58">
        <f t="shared" ref="F13:H13" si="7">F12*F29</f>
        <v>-2083.0847059683242</v>
      </c>
      <c r="G13" s="58">
        <f t="shared" si="7"/>
        <v>-2182.4621672869907</v>
      </c>
      <c r="H13" s="58">
        <f t="shared" si="7"/>
        <v>-2286.7424021922893</v>
      </c>
    </row>
    <row r="14" spans="2:8" ht="14.25" customHeight="1" x14ac:dyDescent="0.3">
      <c r="B14" s="8" t="s">
        <v>12</v>
      </c>
      <c r="C14" s="61">
        <f t="shared" ref="C14:G14" si="8">C12-C13</f>
        <v>-10090.300000000001</v>
      </c>
      <c r="D14" s="61">
        <f t="shared" si="8"/>
        <v>-6238.5000000000018</v>
      </c>
      <c r="E14" s="61">
        <f>E12-E13</f>
        <v>-5965.1322361379316</v>
      </c>
      <c r="F14" s="61">
        <f t="shared" si="8"/>
        <v>-6249.2541179049731</v>
      </c>
      <c r="G14" s="61">
        <f t="shared" si="8"/>
        <v>-6547.3865018609722</v>
      </c>
      <c r="H14" s="61">
        <f>H12-H13</f>
        <v>-6860.2272065768684</v>
      </c>
    </row>
    <row r="15" spans="2:8" ht="14.25" customHeight="1" x14ac:dyDescent="0.3">
      <c r="B15" s="6" t="s">
        <v>13</v>
      </c>
      <c r="C15" s="60">
        <f t="shared" ref="C15:D15" si="9">C11</f>
        <v>410.1</v>
      </c>
      <c r="D15" s="60">
        <f t="shared" si="9"/>
        <v>479.1</v>
      </c>
      <c r="E15" s="60">
        <f>'Fixed Assets'!E5</f>
        <v>521.15870221396062</v>
      </c>
      <c r="F15" s="60">
        <f>'Fixed Assets'!F5</f>
        <v>528.37033060485362</v>
      </c>
      <c r="G15" s="60">
        <f>'Fixed Assets'!G5</f>
        <v>535.68175121609602</v>
      </c>
      <c r="H15" s="60">
        <f>'Fixed Assets'!H5</f>
        <v>543.09434494069876</v>
      </c>
    </row>
    <row r="16" spans="2:8" ht="14.25" customHeight="1" x14ac:dyDescent="0.3">
      <c r="B16" s="6" t="s">
        <v>14</v>
      </c>
      <c r="C16" s="60">
        <f>'Fixed Assets'!C6</f>
        <v>308.16000000000003</v>
      </c>
      <c r="D16" s="60">
        <f>'Fixed Assets'!D6</f>
        <v>673.67000000000019</v>
      </c>
      <c r="E16" s="60">
        <f>'Fixed Assets'!E6</f>
        <v>554.52080000000001</v>
      </c>
      <c r="F16" s="60">
        <f>'Fixed Assets'!F6</f>
        <v>562.19408249078901</v>
      </c>
      <c r="G16" s="60">
        <f>'Fixed Assets'!G6</f>
        <v>569.97354542455412</v>
      </c>
      <c r="H16" s="60">
        <f>'Fixed Assets'!H6</f>
        <v>577.86065809249953</v>
      </c>
    </row>
    <row r="17" spans="2:8" ht="14.25" customHeight="1" x14ac:dyDescent="0.3">
      <c r="B17" s="6" t="s">
        <v>15</v>
      </c>
      <c r="C17" s="60">
        <f>C18-('Net Working Capital'!C8-'Net Working Capital'!C15)</f>
        <v>2533.02</v>
      </c>
      <c r="D17" s="60">
        <f>D18-C18</f>
        <v>1811.5100000000002</v>
      </c>
      <c r="E17" s="60">
        <f t="shared" ref="E17:H17" si="10">E18-D18</f>
        <v>-210.91082644482321</v>
      </c>
      <c r="F17" s="60">
        <f t="shared" si="10"/>
        <v>1419.4515148921409</v>
      </c>
      <c r="G17" s="60">
        <f t="shared" si="10"/>
        <v>-148.32955759018478</v>
      </c>
      <c r="H17" s="60">
        <f t="shared" si="10"/>
        <v>704.59962984944286</v>
      </c>
    </row>
    <row r="18" spans="2:8" ht="14.25" customHeight="1" x14ac:dyDescent="0.3">
      <c r="B18" s="9" t="s">
        <v>16</v>
      </c>
      <c r="C18" s="60">
        <f>C19-C20</f>
        <v>5296.58</v>
      </c>
      <c r="D18" s="60">
        <f t="shared" ref="D18:H18" si="11">D19-D20</f>
        <v>7108.09</v>
      </c>
      <c r="E18" s="60">
        <f t="shared" si="11"/>
        <v>6897.1791735551769</v>
      </c>
      <c r="F18" s="60">
        <f t="shared" si="11"/>
        <v>8316.6306884473179</v>
      </c>
      <c r="G18" s="60">
        <f t="shared" si="11"/>
        <v>8168.3011308571331</v>
      </c>
      <c r="H18" s="60">
        <f t="shared" si="11"/>
        <v>8872.900760706576</v>
      </c>
    </row>
    <row r="19" spans="2:8" ht="14.25" customHeight="1" x14ac:dyDescent="0.3">
      <c r="B19" s="9" t="s">
        <v>17</v>
      </c>
      <c r="C19" s="60">
        <f>'Net Working Capital'!D8</f>
        <v>8046.3</v>
      </c>
      <c r="D19" s="60">
        <f>'Net Working Capital'!E8</f>
        <v>8099.59</v>
      </c>
      <c r="E19" s="60">
        <f>'Net Working Capital'!F8</f>
        <v>8768.8336319561586</v>
      </c>
      <c r="F19" s="60">
        <f>'Net Working Capital'!G8</f>
        <v>9917.3129610038159</v>
      </c>
      <c r="G19" s="60">
        <f>'Net Working Capital'!H8</f>
        <v>10040.408844142836</v>
      </c>
      <c r="H19" s="60">
        <f>'Net Working Capital'!I8</f>
        <v>10738.13341292834</v>
      </c>
    </row>
    <row r="20" spans="2:8" ht="14.25" customHeight="1" x14ac:dyDescent="0.3">
      <c r="B20" s="9" t="s">
        <v>18</v>
      </c>
      <c r="C20" s="60">
        <f>'Net Working Capital'!D15</f>
        <v>2749.72</v>
      </c>
      <c r="D20" s="60">
        <f>'Net Working Capital'!E15</f>
        <v>991.5</v>
      </c>
      <c r="E20" s="60">
        <f>'Net Working Capital'!F15</f>
        <v>1871.6544584009816</v>
      </c>
      <c r="F20" s="60">
        <f>'Net Working Capital'!G15</f>
        <v>1600.6822725564984</v>
      </c>
      <c r="G20" s="60">
        <f>'Net Working Capital'!H15</f>
        <v>1872.1077132857031</v>
      </c>
      <c r="H20" s="60">
        <f>'Net Working Capital'!I15</f>
        <v>1865.2326522217638</v>
      </c>
    </row>
    <row r="21" spans="2:8" ht="14.25" customHeight="1" x14ac:dyDescent="0.3">
      <c r="B21" s="10" t="s">
        <v>19</v>
      </c>
      <c r="C21" s="62">
        <f>C14+C15-C16-C17</f>
        <v>-12521.380000000001</v>
      </c>
      <c r="D21" s="62">
        <f t="shared" ref="D21:H21" si="12">D14+D15-D16-D17</f>
        <v>-8244.5800000000017</v>
      </c>
      <c r="E21" s="62">
        <f t="shared" si="12"/>
        <v>-5787.5835074791476</v>
      </c>
      <c r="F21" s="62">
        <f t="shared" si="12"/>
        <v>-7702.5293846830491</v>
      </c>
      <c r="G21" s="62">
        <f t="shared" si="12"/>
        <v>-6433.3487384792452</v>
      </c>
      <c r="H21" s="62">
        <f t="shared" si="12"/>
        <v>-7599.5931495781124</v>
      </c>
    </row>
    <row r="22" spans="2:8" ht="14.25" customHeight="1" x14ac:dyDescent="0.3"/>
    <row r="23" spans="2:8" ht="14.25" customHeight="1" x14ac:dyDescent="0.3">
      <c r="B23" s="2" t="s">
        <v>20</v>
      </c>
      <c r="C23" s="2"/>
      <c r="D23" s="2"/>
      <c r="E23" s="2"/>
      <c r="F23" s="2"/>
      <c r="G23" s="2"/>
      <c r="H23" s="2"/>
    </row>
    <row r="24" spans="2:8" ht="14.25" customHeight="1" x14ac:dyDescent="0.3">
      <c r="B24" s="3" t="str">
        <f t="shared" ref="B24:H24" si="13">B3</f>
        <v>Fiscal Year</v>
      </c>
      <c r="C24" s="53">
        <f t="shared" si="13"/>
        <v>45291</v>
      </c>
      <c r="D24" s="53">
        <f t="shared" si="13"/>
        <v>45657</v>
      </c>
      <c r="E24" s="53" t="s">
        <v>136</v>
      </c>
      <c r="F24" s="59">
        <f>F3</f>
        <v>46387</v>
      </c>
      <c r="G24" s="59">
        <f t="shared" si="13"/>
        <v>46752</v>
      </c>
      <c r="H24" s="59">
        <f t="shared" si="13"/>
        <v>47118</v>
      </c>
    </row>
    <row r="25" spans="2:8" ht="14.25" customHeight="1" x14ac:dyDescent="0.3">
      <c r="B25" s="11" t="s">
        <v>21</v>
      </c>
      <c r="C25" s="56"/>
      <c r="D25" s="57">
        <f>D4/C4-1</f>
        <v>1.6337765544185201E-2</v>
      </c>
      <c r="E25" s="57">
        <v>0.05</v>
      </c>
      <c r="F25" s="57">
        <v>0.05</v>
      </c>
      <c r="G25" s="57">
        <v>0.05</v>
      </c>
      <c r="H25" s="57">
        <v>0.05</v>
      </c>
    </row>
    <row r="26" spans="2:8" ht="14.25" customHeight="1" x14ac:dyDescent="0.3">
      <c r="B26" s="11"/>
      <c r="C26" s="56"/>
      <c r="D26" s="56"/>
      <c r="E26" s="56"/>
      <c r="F26" s="56"/>
      <c r="G26" s="56"/>
      <c r="H26" s="56"/>
    </row>
    <row r="27" spans="2:8" ht="14.25" customHeight="1" x14ac:dyDescent="0.3">
      <c r="B27" s="11" t="s">
        <v>22</v>
      </c>
      <c r="C27" s="57">
        <f>C5/C4</f>
        <v>0.92388288308286526</v>
      </c>
      <c r="D27" s="57">
        <f t="shared" ref="D27" si="14">D5/D4</f>
        <v>0.64245932073823309</v>
      </c>
      <c r="E27" s="57">
        <f>AVERAGE(C27:D27)</f>
        <v>0.78317110191054917</v>
      </c>
      <c r="F27" s="57">
        <f>E27</f>
        <v>0.78317110191054917</v>
      </c>
      <c r="G27" s="57">
        <f t="shared" ref="G27:H27" si="15">F27</f>
        <v>0.78317110191054917</v>
      </c>
      <c r="H27" s="57">
        <f t="shared" si="15"/>
        <v>0.78317110191054917</v>
      </c>
    </row>
    <row r="28" spans="2:8" ht="14.25" customHeight="1" x14ac:dyDescent="0.3">
      <c r="B28" s="11" t="s">
        <v>23</v>
      </c>
      <c r="C28" s="57">
        <f>C7/C4</f>
        <v>0.73852175778966611</v>
      </c>
      <c r="D28" s="57">
        <f>D7/D4</f>
        <v>0.72581267518474035</v>
      </c>
      <c r="E28" s="57">
        <f>AVERAGE(C28:D28)</f>
        <v>0.73216721648720329</v>
      </c>
      <c r="F28" s="57">
        <f t="shared" ref="F28:H28" si="16">E28</f>
        <v>0.73216721648720329</v>
      </c>
      <c r="G28" s="57">
        <f t="shared" si="16"/>
        <v>0.73216721648720329</v>
      </c>
      <c r="H28" s="57">
        <f t="shared" si="16"/>
        <v>0.73216721648720329</v>
      </c>
    </row>
    <row r="29" spans="2:8" ht="14.25" customHeight="1" x14ac:dyDescent="0.3">
      <c r="B29" s="11" t="s">
        <v>24</v>
      </c>
      <c r="C29" s="57">
        <v>0.25</v>
      </c>
      <c r="D29" s="57">
        <v>0.25</v>
      </c>
      <c r="E29" s="57">
        <v>0.25</v>
      </c>
      <c r="F29" s="57">
        <v>0.25</v>
      </c>
      <c r="G29" s="57">
        <v>0.25</v>
      </c>
      <c r="H29" s="57">
        <v>0.25</v>
      </c>
    </row>
    <row r="30" spans="2:8" ht="14.25" customHeight="1" x14ac:dyDescent="0.3">
      <c r="C30" s="54"/>
    </row>
    <row r="31" spans="2:8" ht="14.25" customHeight="1" x14ac:dyDescent="0.3"/>
    <row r="32" spans="2:8"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000"/>
  <sheetViews>
    <sheetView showGridLines="0" workbookViewId="0">
      <selection activeCell="K19" sqref="K19"/>
    </sheetView>
  </sheetViews>
  <sheetFormatPr defaultColWidth="14.44140625" defaultRowHeight="15" customHeight="1" x14ac:dyDescent="0.3"/>
  <cols>
    <col min="1" max="1" width="8.88671875" customWidth="1"/>
    <col min="2" max="2" width="27.88671875" customWidth="1"/>
    <col min="3" max="10" width="8.44140625" customWidth="1"/>
    <col min="11" max="26" width="8.88671875" customWidth="1"/>
  </cols>
  <sheetData>
    <row r="1" spans="2:10" ht="14.25" customHeight="1" x14ac:dyDescent="0.3"/>
    <row r="2" spans="2:10" ht="14.25" customHeight="1" x14ac:dyDescent="0.3">
      <c r="B2" s="42" t="s">
        <v>25</v>
      </c>
      <c r="C2" s="42"/>
      <c r="D2" s="42"/>
      <c r="E2" s="42"/>
      <c r="F2" s="42"/>
      <c r="G2" s="42"/>
      <c r="H2" s="42"/>
      <c r="I2" s="43"/>
    </row>
    <row r="3" spans="2:10" ht="14.25" customHeight="1" x14ac:dyDescent="0.3">
      <c r="B3" s="44" t="s">
        <v>1</v>
      </c>
      <c r="C3" s="67" t="s">
        <v>178</v>
      </c>
      <c r="D3" s="72">
        <v>45657</v>
      </c>
      <c r="E3" s="73">
        <v>46022</v>
      </c>
      <c r="F3" s="73">
        <v>46387</v>
      </c>
      <c r="G3" s="73">
        <v>46752</v>
      </c>
      <c r="H3" s="73">
        <v>47118</v>
      </c>
      <c r="I3" s="73">
        <v>47483</v>
      </c>
    </row>
    <row r="4" spans="2:10" ht="14.25" customHeight="1" x14ac:dyDescent="0.3">
      <c r="B4" s="45" t="s">
        <v>26</v>
      </c>
      <c r="C4" s="67">
        <f>'Balance Sheet R'!L7</f>
        <v>1707.81</v>
      </c>
      <c r="D4" s="46">
        <f>'Balance Sheet R'!K7</f>
        <v>2216.39</v>
      </c>
      <c r="E4" s="46">
        <f>D7</f>
        <v>2410.96</v>
      </c>
      <c r="F4" s="46">
        <f t="shared" ref="F4:I4" si="0">E7</f>
        <v>2444.3220977860392</v>
      </c>
      <c r="G4" s="46">
        <f t="shared" si="0"/>
        <v>2478.1458496719742</v>
      </c>
      <c r="H4" s="46">
        <f t="shared" si="0"/>
        <v>2512.4376438804325</v>
      </c>
      <c r="I4" s="46">
        <f t="shared" si="0"/>
        <v>2547.2039570322331</v>
      </c>
    </row>
    <row r="5" spans="2:10" ht="14.25" customHeight="1" x14ac:dyDescent="0.3">
      <c r="B5" s="45" t="s">
        <v>27</v>
      </c>
      <c r="C5" s="67">
        <v>308.16000000000003</v>
      </c>
      <c r="D5" s="46">
        <f>'Free Cash Flow'!D15</f>
        <v>479.1</v>
      </c>
      <c r="E5" s="46">
        <f>D11*E4</f>
        <v>521.15870221396062</v>
      </c>
      <c r="F5" s="46">
        <f t="shared" ref="F5:I5" si="1">E11*F4</f>
        <v>528.37033060485362</v>
      </c>
      <c r="G5" s="46">
        <f t="shared" si="1"/>
        <v>535.68175121609602</v>
      </c>
      <c r="H5" s="46">
        <f t="shared" si="1"/>
        <v>543.09434494069876</v>
      </c>
      <c r="I5" s="46">
        <f t="shared" si="1"/>
        <v>550.60951178003108</v>
      </c>
    </row>
    <row r="6" spans="2:10" ht="14.25" customHeight="1" x14ac:dyDescent="0.3">
      <c r="B6" s="45" t="s">
        <v>28</v>
      </c>
      <c r="C6" s="46">
        <f>C7-C4+C5</f>
        <v>308.16000000000003</v>
      </c>
      <c r="D6" s="46">
        <f>D7-D4+D5</f>
        <v>673.67000000000019</v>
      </c>
      <c r="E6" s="46">
        <f>E12*E4</f>
        <v>554.52080000000001</v>
      </c>
      <c r="F6" s="46">
        <f>F12*F4</f>
        <v>562.19408249078901</v>
      </c>
      <c r="G6" s="46">
        <f t="shared" ref="G6:I6" si="2">G12*G4</f>
        <v>569.97354542455412</v>
      </c>
      <c r="H6" s="46">
        <f t="shared" si="2"/>
        <v>577.86065809249953</v>
      </c>
      <c r="I6" s="46">
        <f t="shared" si="2"/>
        <v>585.85691011741369</v>
      </c>
    </row>
    <row r="7" spans="2:10" ht="14.25" customHeight="1" x14ac:dyDescent="0.3">
      <c r="B7" s="47" t="s">
        <v>29</v>
      </c>
      <c r="C7" s="68">
        <f>'Balance Sheet R'!L7</f>
        <v>1707.81</v>
      </c>
      <c r="D7" s="48">
        <f>'Balance Sheet R'!J7</f>
        <v>2410.96</v>
      </c>
      <c r="E7" s="48">
        <f>E4-E5+E6</f>
        <v>2444.3220977860392</v>
      </c>
      <c r="F7" s="48">
        <f t="shared" ref="F7:I7" si="3">F4-F5+F6</f>
        <v>2478.1458496719742</v>
      </c>
      <c r="G7" s="48">
        <f t="shared" si="3"/>
        <v>2512.4376438804325</v>
      </c>
      <c r="H7" s="48">
        <f t="shared" si="3"/>
        <v>2547.2039570322331</v>
      </c>
      <c r="I7" s="48">
        <f t="shared" si="3"/>
        <v>2582.4513553696161</v>
      </c>
    </row>
    <row r="8" spans="2:10" ht="14.25" customHeight="1" x14ac:dyDescent="0.3">
      <c r="C8" s="66"/>
      <c r="D8" s="66"/>
      <c r="E8" s="66"/>
      <c r="F8" s="66"/>
      <c r="G8" s="66"/>
      <c r="H8" s="66"/>
      <c r="I8" s="66"/>
    </row>
    <row r="9" spans="2:10" ht="14.25" customHeight="1" x14ac:dyDescent="0.3">
      <c r="B9" s="42" t="s">
        <v>20</v>
      </c>
      <c r="C9" s="69"/>
      <c r="D9" s="69"/>
      <c r="E9" s="69"/>
      <c r="F9" s="69"/>
      <c r="G9" s="69"/>
      <c r="H9" s="69"/>
      <c r="I9" s="74"/>
    </row>
    <row r="10" spans="2:10" ht="14.25" customHeight="1" x14ac:dyDescent="0.3">
      <c r="B10" s="36" t="s">
        <v>1</v>
      </c>
      <c r="C10" s="70">
        <v>45291</v>
      </c>
      <c r="D10" s="75">
        <v>45657</v>
      </c>
      <c r="E10" s="75">
        <v>46022</v>
      </c>
      <c r="F10" s="75">
        <v>46387</v>
      </c>
      <c r="G10" s="75">
        <v>46752</v>
      </c>
      <c r="H10" s="75">
        <v>47118</v>
      </c>
      <c r="I10" s="75">
        <v>47119</v>
      </c>
    </row>
    <row r="11" spans="2:10" ht="14.25" customHeight="1" x14ac:dyDescent="0.3">
      <c r="B11" s="39" t="s">
        <v>30</v>
      </c>
      <c r="C11" s="71">
        <f>D5/D4</f>
        <v>0.21616231800360047</v>
      </c>
      <c r="D11" s="71">
        <f>AVERAGE(C11:C11)</f>
        <v>0.21616231800360047</v>
      </c>
      <c r="E11" s="71">
        <f t="shared" ref="E11:I11" si="4">D11</f>
        <v>0.21616231800360047</v>
      </c>
      <c r="F11" s="71">
        <f t="shared" si="4"/>
        <v>0.21616231800360047</v>
      </c>
      <c r="G11" s="71">
        <f t="shared" si="4"/>
        <v>0.21616231800360047</v>
      </c>
      <c r="H11" s="71">
        <f t="shared" si="4"/>
        <v>0.21616231800360047</v>
      </c>
      <c r="I11" s="71">
        <f t="shared" si="4"/>
        <v>0.21616231800360047</v>
      </c>
    </row>
    <row r="12" spans="2:10" ht="14.25" customHeight="1" x14ac:dyDescent="0.3">
      <c r="B12" s="39" t="s">
        <v>31</v>
      </c>
      <c r="C12" s="71">
        <f>D6/D4</f>
        <v>0.30394921471401704</v>
      </c>
      <c r="D12" s="71">
        <v>0.23</v>
      </c>
      <c r="E12" s="71">
        <v>0.23</v>
      </c>
      <c r="F12" s="71">
        <v>0.23</v>
      </c>
      <c r="G12" s="71">
        <v>0.23</v>
      </c>
      <c r="H12" s="71">
        <v>0.23</v>
      </c>
      <c r="I12" s="71">
        <v>0.23</v>
      </c>
      <c r="J12" s="40"/>
    </row>
    <row r="13" spans="2:10" ht="14.25" customHeight="1" x14ac:dyDescent="0.3"/>
    <row r="14" spans="2:10" ht="14.25" customHeight="1" x14ac:dyDescent="0.3">
      <c r="C14" s="15"/>
      <c r="D14" s="15"/>
      <c r="E14" s="15"/>
      <c r="F14" s="15"/>
      <c r="G14" s="15"/>
      <c r="H14" s="15"/>
      <c r="I14" s="15"/>
      <c r="J14" s="15"/>
    </row>
    <row r="15" spans="2:10" ht="14.25" customHeight="1" x14ac:dyDescent="0.3">
      <c r="C15" s="15"/>
      <c r="D15" s="15"/>
      <c r="E15" s="15"/>
      <c r="F15" s="15"/>
      <c r="G15" s="15"/>
      <c r="H15" s="15"/>
      <c r="I15" s="15"/>
      <c r="J15" s="15"/>
    </row>
    <row r="16" spans="2: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1000"/>
  <sheetViews>
    <sheetView showGridLines="0" workbookViewId="0">
      <selection activeCell="J18" sqref="J18"/>
    </sheetView>
  </sheetViews>
  <sheetFormatPr defaultColWidth="14.44140625" defaultRowHeight="15" customHeight="1" x14ac:dyDescent="0.3"/>
  <cols>
    <col min="1" max="1" width="8.88671875" customWidth="1"/>
    <col min="2" max="2" width="38.33203125" customWidth="1"/>
    <col min="3" max="23" width="8.88671875" customWidth="1"/>
  </cols>
  <sheetData>
    <row r="1" spans="2:9" ht="14.25" customHeight="1" x14ac:dyDescent="0.3"/>
    <row r="2" spans="2:9" ht="14.25" customHeight="1" x14ac:dyDescent="0.3">
      <c r="B2" s="11"/>
      <c r="C2" s="16"/>
      <c r="D2" s="16"/>
      <c r="E2" s="16"/>
      <c r="F2" s="16"/>
      <c r="G2" s="16"/>
      <c r="H2" s="16"/>
    </row>
    <row r="3" spans="2:9" ht="14.25" customHeight="1" x14ac:dyDescent="0.3">
      <c r="B3" s="35" t="s">
        <v>32</v>
      </c>
      <c r="C3" s="35"/>
      <c r="D3" s="35"/>
      <c r="E3" s="35"/>
      <c r="F3" s="35"/>
      <c r="G3" s="35"/>
      <c r="H3" s="35"/>
      <c r="I3" s="35"/>
    </row>
    <row r="4" spans="2:9" ht="14.25" customHeight="1" x14ac:dyDescent="0.3">
      <c r="B4" s="36" t="s">
        <v>1</v>
      </c>
      <c r="C4" s="37">
        <v>44926</v>
      </c>
      <c r="D4" s="37">
        <v>45291</v>
      </c>
      <c r="E4" s="38">
        <v>45657</v>
      </c>
      <c r="F4" s="38">
        <v>46022</v>
      </c>
      <c r="G4" s="38">
        <v>46387</v>
      </c>
      <c r="H4" s="38">
        <v>46752</v>
      </c>
      <c r="I4" s="38">
        <v>47118</v>
      </c>
    </row>
    <row r="5" spans="2:9" ht="14.25" customHeight="1" x14ac:dyDescent="0.3">
      <c r="B5" s="41" t="s">
        <v>33</v>
      </c>
      <c r="C5" s="12" t="str">
        <f>'Balance Sheet R'!D13</f>
        <v>18.92</v>
      </c>
      <c r="D5" s="12">
        <f>'Balance Sheet R'!C13</f>
        <v>28.8</v>
      </c>
      <c r="E5" s="12">
        <f>'Balance Sheet R'!B13</f>
        <v>33.1</v>
      </c>
      <c r="F5" s="12">
        <f>F22*F19/360</f>
        <v>32.744527015028083</v>
      </c>
      <c r="G5" s="12">
        <f t="shared" ref="G5:I5" si="0">G22*G19/360</f>
        <v>35.437251682889745</v>
      </c>
      <c r="H5" s="12">
        <f t="shared" si="0"/>
        <v>36.654977650551352</v>
      </c>
      <c r="I5" s="12">
        <f t="shared" si="0"/>
        <v>38.778648256732431</v>
      </c>
    </row>
    <row r="6" spans="2:9" ht="14.25" customHeight="1" x14ac:dyDescent="0.3">
      <c r="B6" s="41" t="s">
        <v>34</v>
      </c>
      <c r="C6" s="12" t="str">
        <f>'Balance Sheet R'!D11</f>
        <v>4,764.32</v>
      </c>
      <c r="D6" s="12">
        <f>'Balance Sheet R'!C11</f>
        <v>6897.5</v>
      </c>
      <c r="E6" s="12">
        <f>'Balance Sheet R'!B11</f>
        <v>7232.2</v>
      </c>
      <c r="F6" s="12">
        <f>F23*F20/360</f>
        <v>7748.3199135717332</v>
      </c>
      <c r="G6" s="12">
        <f t="shared" ref="G6:I6" si="1">G23*G20/360</f>
        <v>8927.7983588519928</v>
      </c>
      <c r="H6" s="12">
        <f t="shared" si="1"/>
        <v>8958.3554907537145</v>
      </c>
      <c r="I6" s="12">
        <f t="shared" si="1"/>
        <v>9624.5854779628589</v>
      </c>
    </row>
    <row r="7" spans="2:9" ht="14.25" customHeight="1" x14ac:dyDescent="0.3">
      <c r="B7" s="41" t="s">
        <v>35</v>
      </c>
      <c r="C7" s="12">
        <f>'Balance Sheet R'!J16</f>
        <v>738.06</v>
      </c>
      <c r="D7" s="12">
        <f>'Balance Sheet R'!K16</f>
        <v>1073.9000000000001</v>
      </c>
      <c r="E7" s="12">
        <f>'Balance Sheet R'!L16</f>
        <v>790.02</v>
      </c>
      <c r="F7" s="12">
        <f>F19*F26</f>
        <v>987.76919136939773</v>
      </c>
      <c r="G7" s="12">
        <f t="shared" ref="G7:I7" si="2">G19*G26</f>
        <v>954.0773504689339</v>
      </c>
      <c r="H7" s="12">
        <f t="shared" si="2"/>
        <v>1045.3983757385708</v>
      </c>
      <c r="I7" s="12">
        <f t="shared" si="2"/>
        <v>1074.7692867087496</v>
      </c>
    </row>
    <row r="8" spans="2:9" ht="14.25" customHeight="1" x14ac:dyDescent="0.3">
      <c r="B8" s="13" t="s">
        <v>17</v>
      </c>
      <c r="C8" s="14">
        <f>'Balance Sheet R'!L10</f>
        <v>5607.54</v>
      </c>
      <c r="D8" s="14">
        <f>'Balance Sheet R'!K10</f>
        <v>8046.3</v>
      </c>
      <c r="E8" s="14">
        <f>'Balance Sheet R'!J10</f>
        <v>8099.59</v>
      </c>
      <c r="F8" s="14">
        <f>SUM(F5:F7)</f>
        <v>8768.8336319561586</v>
      </c>
      <c r="G8" s="14">
        <f t="shared" ref="G8:I8" si="3">SUM(G5:G7)</f>
        <v>9917.3129610038159</v>
      </c>
      <c r="H8" s="14">
        <f t="shared" si="3"/>
        <v>10040.408844142836</v>
      </c>
      <c r="I8" s="14">
        <f t="shared" si="3"/>
        <v>10738.13341292834</v>
      </c>
    </row>
    <row r="9" spans="2:9" ht="14.25" customHeight="1" x14ac:dyDescent="0.3"/>
    <row r="10" spans="2:9" ht="14.25" customHeight="1" x14ac:dyDescent="0.3">
      <c r="B10" s="41" t="s">
        <v>36</v>
      </c>
      <c r="C10" s="12">
        <f>'Balance Sheet R'!B37</f>
        <v>2351.3000000000002</v>
      </c>
      <c r="D10" s="12">
        <f>'Balance Sheet R'!C41</f>
        <v>2266.1999999999998</v>
      </c>
      <c r="E10">
        <f>'Balance Sheet R'!B41</f>
        <v>592.20000000000005</v>
      </c>
      <c r="F10">
        <f>F20*F24/360</f>
        <v>1404.0266492931212</v>
      </c>
      <c r="G10">
        <f t="shared" ref="G10:I10" si="4">G20*G24/360</f>
        <v>1135.0635477748719</v>
      </c>
      <c r="H10">
        <f t="shared" si="4"/>
        <v>1369.8780530046411</v>
      </c>
      <c r="I10">
        <f t="shared" si="4"/>
        <v>1344.8897585383347</v>
      </c>
    </row>
    <row r="11" spans="2:9" ht="14.25" customHeight="1" x14ac:dyDescent="0.3">
      <c r="B11" s="41" t="s">
        <v>37</v>
      </c>
      <c r="C11" s="12" t="str">
        <f>'Balance Sheet R'!D32</f>
        <v>25.22</v>
      </c>
      <c r="D11" s="12">
        <f>'Balance Sheet R'!C43</f>
        <v>38.08</v>
      </c>
      <c r="E11">
        <f>'Balance Sheet R'!B43</f>
        <v>62.8</v>
      </c>
      <c r="F11" s="12">
        <f>F27*F$19</f>
        <v>53.288624608759349</v>
      </c>
      <c r="G11" s="12">
        <f t="shared" ref="G11:I11" si="5">G27*G$19</f>
        <v>62.595027919598657</v>
      </c>
      <c r="H11" s="12">
        <f t="shared" si="5"/>
        <v>62.237743973367891</v>
      </c>
      <c r="I11" s="12">
        <f t="shared" si="5"/>
        <v>67.180324726696909</v>
      </c>
    </row>
    <row r="12" spans="2:9" ht="14.25" customHeight="1" x14ac:dyDescent="0.3">
      <c r="B12" s="41" t="s">
        <v>38</v>
      </c>
      <c r="C12" s="12" t="str">
        <f>'Balance Sheet R'!D44</f>
        <v>2.49</v>
      </c>
      <c r="D12" s="12">
        <f>'Balance Sheet R'!C44</f>
        <v>5.4</v>
      </c>
      <c r="E12">
        <f>'Balance Sheet R'!B44</f>
        <v>7.2</v>
      </c>
      <c r="F12" s="12">
        <f t="shared" ref="F12:I12" si="6">F28*F$19</f>
        <v>6.6613175653177663</v>
      </c>
      <c r="G12" s="12">
        <f t="shared" si="6"/>
        <v>7.4661917217918283</v>
      </c>
      <c r="H12" s="12">
        <f t="shared" si="6"/>
        <v>7.5918019618221289</v>
      </c>
      <c r="I12" s="12">
        <f t="shared" si="6"/>
        <v>8.1014342165943631</v>
      </c>
    </row>
    <row r="13" spans="2:9" ht="14.25" customHeight="1" x14ac:dyDescent="0.3">
      <c r="B13" s="41" t="s">
        <v>39</v>
      </c>
      <c r="C13" s="12" t="str">
        <f>'Balance Sheet R'!D42</f>
        <v>253.07</v>
      </c>
      <c r="D13" s="12">
        <f>'Balance Sheet R'!C42</f>
        <v>318</v>
      </c>
      <c r="E13">
        <f>'Balance Sheet R'!B42</f>
        <v>291.3</v>
      </c>
      <c r="F13" s="12">
        <f t="shared" ref="F13:I13" si="7">F29*F$19</f>
        <v>322.61008995760176</v>
      </c>
      <c r="G13" s="12">
        <f t="shared" si="7"/>
        <v>329.94942222774091</v>
      </c>
      <c r="H13" s="12">
        <f t="shared" si="7"/>
        <v>351.06225875869194</v>
      </c>
      <c r="I13" s="12">
        <f t="shared" si="7"/>
        <v>366.19230485135546</v>
      </c>
    </row>
    <row r="14" spans="2:9" ht="14.25" customHeight="1" x14ac:dyDescent="0.3">
      <c r="B14" s="41" t="s">
        <v>40</v>
      </c>
      <c r="C14" s="12" t="str">
        <f>'Balance Sheet R'!D45</f>
        <v>211.90</v>
      </c>
      <c r="D14" s="12">
        <f>'Balance Sheet R'!C45</f>
        <v>122.04</v>
      </c>
      <c r="E14">
        <f>'Balance Sheet R'!B45</f>
        <v>38</v>
      </c>
      <c r="F14" s="12">
        <f t="shared" ref="F14:I14" si="8">F30*F$19</f>
        <v>85.067776976181491</v>
      </c>
      <c r="G14" s="12">
        <f t="shared" si="8"/>
        <v>65.608082912495291</v>
      </c>
      <c r="H14" s="12">
        <f t="shared" si="8"/>
        <v>81.337855587180073</v>
      </c>
      <c r="I14" s="12">
        <f t="shared" si="8"/>
        <v>78.868829888782571</v>
      </c>
    </row>
    <row r="15" spans="2:9" ht="14.25" customHeight="1" x14ac:dyDescent="0.3">
      <c r="B15" s="13" t="s">
        <v>41</v>
      </c>
      <c r="C15" s="14">
        <f>C10+C11+C12+C13+C14</f>
        <v>2843.98</v>
      </c>
      <c r="D15" s="14">
        <f t="shared" ref="D15:I15" si="9">D10+D11+D12+D13+D14</f>
        <v>2749.72</v>
      </c>
      <c r="E15" s="14">
        <f t="shared" si="9"/>
        <v>991.5</v>
      </c>
      <c r="F15" s="14">
        <f t="shared" si="9"/>
        <v>1871.6544584009816</v>
      </c>
      <c r="G15" s="14">
        <f t="shared" si="9"/>
        <v>1600.6822725564984</v>
      </c>
      <c r="H15" s="14">
        <f t="shared" si="9"/>
        <v>1872.1077132857031</v>
      </c>
      <c r="I15" s="14">
        <f t="shared" si="9"/>
        <v>1865.2326522217638</v>
      </c>
    </row>
    <row r="16" spans="2:9" ht="14.25" customHeight="1" x14ac:dyDescent="0.3"/>
    <row r="17" spans="2:9" ht="14.25" customHeight="1" x14ac:dyDescent="0.3">
      <c r="B17" s="35" t="s">
        <v>20</v>
      </c>
      <c r="C17" s="35"/>
      <c r="D17" s="35"/>
      <c r="E17" s="35"/>
      <c r="F17" s="35"/>
      <c r="G17" s="35"/>
      <c r="H17" s="35"/>
      <c r="I17" s="35"/>
    </row>
    <row r="18" spans="2:9" ht="14.25" customHeight="1" x14ac:dyDescent="0.3">
      <c r="B18" s="36" t="s">
        <v>1</v>
      </c>
      <c r="C18" s="37"/>
      <c r="D18" s="37">
        <v>45291</v>
      </c>
      <c r="E18" s="38">
        <v>45657</v>
      </c>
      <c r="F18" s="38">
        <v>46022</v>
      </c>
      <c r="G18" s="38">
        <v>46387</v>
      </c>
      <c r="H18" s="38">
        <v>46752</v>
      </c>
      <c r="I18" s="38">
        <v>47118</v>
      </c>
    </row>
    <row r="19" spans="2:9" ht="14.25" customHeight="1" x14ac:dyDescent="0.3">
      <c r="B19" s="39" t="s">
        <v>2</v>
      </c>
      <c r="C19" s="51"/>
      <c r="D19" s="51">
        <f>'Free Cash Flow'!C4</f>
        <v>13514.7</v>
      </c>
      <c r="E19" s="51">
        <f>'Free Cash Flow'!D4</f>
        <v>13735.5</v>
      </c>
      <c r="F19" s="51">
        <f>'Free Cash Flow'!E4</f>
        <v>14422.275000000001</v>
      </c>
      <c r="G19" s="51">
        <f>'Free Cash Flow'!F4</f>
        <v>15143.388750000002</v>
      </c>
      <c r="H19" s="51">
        <f>'Free Cash Flow'!G4</f>
        <v>15900.558187500003</v>
      </c>
      <c r="I19" s="51">
        <f>'Free Cash Flow'!H4</f>
        <v>16695.586096875002</v>
      </c>
    </row>
    <row r="20" spans="2:9" ht="14.25" customHeight="1" x14ac:dyDescent="0.3">
      <c r="B20" s="39" t="s">
        <v>3</v>
      </c>
      <c r="C20" s="51"/>
      <c r="D20" s="51">
        <f>'Free Cash Flow'!C5</f>
        <v>12486</v>
      </c>
      <c r="E20" s="51">
        <f>'Free Cash Flow'!D5</f>
        <v>8824.5</v>
      </c>
      <c r="F20" s="51">
        <f>'Free Cash Flow'!E5</f>
        <v>11295.109003806967</v>
      </c>
      <c r="G20" s="51">
        <f>'Free Cash Flow'!F5</f>
        <v>11859.864453997316</v>
      </c>
      <c r="H20" s="51">
        <f>'Free Cash Flow'!G5</f>
        <v>12452.857676697182</v>
      </c>
      <c r="I20" s="51">
        <f>'Free Cash Flow'!H5</f>
        <v>13075.50056053204</v>
      </c>
    </row>
    <row r="21" spans="2:9" ht="14.25" customHeight="1" x14ac:dyDescent="0.3">
      <c r="B21" s="39"/>
      <c r="C21" s="39"/>
      <c r="D21" s="39"/>
      <c r="E21" s="39"/>
      <c r="F21" s="39"/>
      <c r="G21" s="39"/>
      <c r="H21" s="39"/>
      <c r="I21" s="39"/>
    </row>
    <row r="22" spans="2:9" ht="14.25" customHeight="1" x14ac:dyDescent="0.3">
      <c r="B22" s="39" t="s">
        <v>42</v>
      </c>
      <c r="C22" s="52"/>
      <c r="D22" s="52">
        <f>D5/D19*360</f>
        <v>0.7671646429443495</v>
      </c>
      <c r="E22" s="52">
        <f t="shared" ref="E22" si="10">E5/E19*360</f>
        <v>0.86753303483673694</v>
      </c>
      <c r="F22" s="52">
        <f>AVERAGE(D22:E22)</f>
        <v>0.81734883889054322</v>
      </c>
      <c r="G22" s="52">
        <f t="shared" ref="G22:I24" si="11">AVERAGE(E22:F22)</f>
        <v>0.84244093686364008</v>
      </c>
      <c r="H22" s="52">
        <f t="shared" si="11"/>
        <v>0.82989488787709165</v>
      </c>
      <c r="I22" s="52">
        <f t="shared" si="11"/>
        <v>0.83616791237036581</v>
      </c>
    </row>
    <row r="23" spans="2:9" ht="14.25" customHeight="1" x14ac:dyDescent="0.3">
      <c r="B23" s="39" t="s">
        <v>43</v>
      </c>
      <c r="C23" s="52"/>
      <c r="D23" s="52">
        <f>D6/D20*360</f>
        <v>198.87073522345028</v>
      </c>
      <c r="E23" s="52">
        <f t="shared" ref="E23" si="12">E6/E20*360</f>
        <v>295.04130545639981</v>
      </c>
      <c r="F23" s="52">
        <f t="shared" ref="F23:F24" si="13">AVERAGE(D23:E23)</f>
        <v>246.95602033992503</v>
      </c>
      <c r="G23" s="52">
        <f t="shared" si="11"/>
        <v>270.99866289816242</v>
      </c>
      <c r="H23" s="52">
        <f t="shared" si="11"/>
        <v>258.97734161904373</v>
      </c>
      <c r="I23" s="52">
        <f t="shared" si="11"/>
        <v>264.98800225860305</v>
      </c>
    </row>
    <row r="24" spans="2:9" ht="14.25" customHeight="1" x14ac:dyDescent="0.3">
      <c r="B24" s="39" t="s">
        <v>44</v>
      </c>
      <c r="C24" s="52"/>
      <c r="D24" s="52">
        <f>D10/D20*360</f>
        <v>65.3397405093705</v>
      </c>
      <c r="E24" s="52">
        <f t="shared" ref="E24" si="14">E10/E20*360</f>
        <v>24.15910249872514</v>
      </c>
      <c r="F24" s="52">
        <f t="shared" si="13"/>
        <v>44.749421504047817</v>
      </c>
      <c r="G24" s="52">
        <f t="shared" si="11"/>
        <v>34.454262001386482</v>
      </c>
      <c r="H24" s="52">
        <f t="shared" si="11"/>
        <v>39.601841752717149</v>
      </c>
      <c r="I24" s="52">
        <f t="shared" si="11"/>
        <v>37.028051877051816</v>
      </c>
    </row>
    <row r="25" spans="2:9" ht="14.25" customHeight="1" x14ac:dyDescent="0.3">
      <c r="B25" s="39"/>
      <c r="C25" s="39"/>
      <c r="D25" s="39"/>
      <c r="E25" s="39"/>
      <c r="F25" s="39"/>
      <c r="G25" s="39"/>
      <c r="H25" s="39"/>
      <c r="I25" s="39"/>
    </row>
    <row r="26" spans="2:9" ht="14.25" customHeight="1" x14ac:dyDescent="0.3">
      <c r="B26" s="39" t="s">
        <v>45</v>
      </c>
      <c r="C26" s="40"/>
      <c r="D26" s="40">
        <f>D7/D$19</f>
        <v>7.9461623269476936E-2</v>
      </c>
      <c r="E26" s="40">
        <f>E7/E$19</f>
        <v>5.7516653925958283E-2</v>
      </c>
      <c r="F26" s="40">
        <f>AVERAGE(D26:E26)</f>
        <v>6.8489138597717603E-2</v>
      </c>
      <c r="G26" s="40">
        <f>AVERAGE(E26:F26)</f>
        <v>6.3002896261837943E-2</v>
      </c>
      <c r="H26" s="40">
        <f t="shared" ref="H26:I26" si="15">AVERAGE(F26:G26)</f>
        <v>6.5746017429777773E-2</v>
      </c>
      <c r="I26" s="40">
        <f t="shared" si="15"/>
        <v>6.4374456845807865E-2</v>
      </c>
    </row>
    <row r="27" spans="2:9" ht="14.25" customHeight="1" x14ac:dyDescent="0.3">
      <c r="B27" s="39" t="s">
        <v>46</v>
      </c>
      <c r="C27" s="40"/>
      <c r="D27" s="40">
        <f>D11/D$19</f>
        <v>2.817672608344987E-3</v>
      </c>
      <c r="E27" s="40">
        <f>E11/E$19</f>
        <v>4.5720942084379887E-3</v>
      </c>
      <c r="F27" s="40">
        <f t="shared" ref="F27:F30" si="16">AVERAGE(D27:E27)</f>
        <v>3.6948834083914877E-3</v>
      </c>
      <c r="G27" s="40">
        <f>AVERAGE(E27:F27)</f>
        <v>4.1334888084147382E-3</v>
      </c>
      <c r="H27" s="40">
        <f t="shared" ref="H27:H30" si="17">AVERAGE(F27:G27)</f>
        <v>3.9141861084031129E-3</v>
      </c>
      <c r="I27" s="40">
        <f t="shared" ref="I27:I30" si="18">AVERAGE(G27:H27)</f>
        <v>4.023837458408926E-3</v>
      </c>
    </row>
    <row r="28" spans="2:9" ht="14.25" customHeight="1" x14ac:dyDescent="0.3">
      <c r="B28" s="39" t="s">
        <v>47</v>
      </c>
      <c r="C28" s="40"/>
      <c r="D28" s="40">
        <f>D12/D$19</f>
        <v>3.9956491820018205E-4</v>
      </c>
      <c r="E28" s="40">
        <f t="shared" ref="D28:E30" si="19">E12/E$19</f>
        <v>5.2418914491645741E-4</v>
      </c>
      <c r="F28" s="40">
        <f t="shared" si="16"/>
        <v>4.6187703155831973E-4</v>
      </c>
      <c r="G28" s="40">
        <f>AVERAGE(E28:F28)</f>
        <v>4.9303308823738857E-4</v>
      </c>
      <c r="H28" s="40">
        <f t="shared" si="17"/>
        <v>4.7745505989785415E-4</v>
      </c>
      <c r="I28" s="40">
        <f t="shared" si="18"/>
        <v>4.8524407406762136E-4</v>
      </c>
    </row>
    <row r="29" spans="2:9" ht="14.25" customHeight="1" x14ac:dyDescent="0.3">
      <c r="B29" s="39" t="s">
        <v>48</v>
      </c>
      <c r="C29" s="40"/>
      <c r="D29" s="40">
        <f t="shared" si="19"/>
        <v>2.3529934071788494E-2</v>
      </c>
      <c r="E29" s="40">
        <f t="shared" si="19"/>
        <v>2.1207819154745004E-2</v>
      </c>
      <c r="F29" s="40">
        <f t="shared" si="16"/>
        <v>2.2368876613266749E-2</v>
      </c>
      <c r="G29" s="40">
        <f>AVERAGE(E29:F29)</f>
        <v>2.1788347884005875E-2</v>
      </c>
      <c r="H29" s="40">
        <f t="shared" si="17"/>
        <v>2.207861224863631E-2</v>
      </c>
      <c r="I29" s="40">
        <f t="shared" si="18"/>
        <v>2.1933480066321093E-2</v>
      </c>
    </row>
    <row r="30" spans="2:9" ht="14.25" customHeight="1" x14ac:dyDescent="0.3">
      <c r="B30" s="39" t="s">
        <v>49</v>
      </c>
      <c r="C30" s="40"/>
      <c r="D30" s="40">
        <f t="shared" si="19"/>
        <v>9.0301671513241134E-3</v>
      </c>
      <c r="E30" s="40">
        <f t="shared" si="19"/>
        <v>2.7665538203924139E-3</v>
      </c>
      <c r="F30" s="40">
        <f t="shared" si="16"/>
        <v>5.8983604858582634E-3</v>
      </c>
      <c r="G30" s="40">
        <f>AVERAGE(E30:F30)</f>
        <v>4.3324571531253384E-3</v>
      </c>
      <c r="H30" s="40">
        <f t="shared" si="17"/>
        <v>5.1154088194918009E-3</v>
      </c>
      <c r="I30" s="40">
        <f t="shared" si="18"/>
        <v>4.7239329863085697E-3</v>
      </c>
    </row>
    <row r="31" spans="2:9" ht="14.25" customHeight="1" x14ac:dyDescent="0.3"/>
    <row r="32" spans="2:9"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000"/>
  <sheetViews>
    <sheetView showGridLines="0" workbookViewId="0">
      <selection activeCell="C20" sqref="C20"/>
    </sheetView>
  </sheetViews>
  <sheetFormatPr defaultColWidth="14.44140625" defaultRowHeight="15" customHeight="1" x14ac:dyDescent="0.3"/>
  <cols>
    <col min="1" max="1" width="8.88671875" customWidth="1"/>
    <col min="2" max="2" width="30.88671875" customWidth="1"/>
    <col min="3" max="8" width="9.44140625" customWidth="1"/>
    <col min="9" max="9" width="13.33203125" customWidth="1"/>
    <col min="10" max="10" width="9.44140625" customWidth="1"/>
    <col min="11" max="11" width="8.109375" customWidth="1"/>
    <col min="12" max="26" width="8.88671875" customWidth="1"/>
  </cols>
  <sheetData>
    <row r="1" spans="2:11" ht="14.25" customHeight="1" x14ac:dyDescent="0.3"/>
    <row r="2" spans="2:11" ht="14.25" customHeight="1" x14ac:dyDescent="0.3">
      <c r="B2" s="2" t="s">
        <v>0</v>
      </c>
      <c r="C2" s="2"/>
      <c r="D2" s="2"/>
      <c r="E2" s="2"/>
      <c r="F2" s="2"/>
      <c r="G2" s="2"/>
      <c r="H2" s="2"/>
      <c r="I2" s="2"/>
    </row>
    <row r="3" spans="2:11" ht="14.25" customHeight="1" x14ac:dyDescent="0.3">
      <c r="B3" s="3" t="s">
        <v>1</v>
      </c>
      <c r="C3" s="4"/>
      <c r="D3" s="4">
        <v>45291</v>
      </c>
      <c r="E3" s="4">
        <v>45657</v>
      </c>
      <c r="F3" s="53" t="s">
        <v>136</v>
      </c>
      <c r="G3" s="5">
        <v>46387</v>
      </c>
      <c r="H3" s="5">
        <v>46752</v>
      </c>
      <c r="I3" s="5">
        <v>47118</v>
      </c>
    </row>
    <row r="4" spans="2:11" ht="14.25" customHeight="1" x14ac:dyDescent="0.3">
      <c r="B4" s="6" t="s">
        <v>19</v>
      </c>
      <c r="C4" s="12"/>
      <c r="D4" s="12">
        <f>'Free Cash Flow'!C21</f>
        <v>-12521.380000000001</v>
      </c>
      <c r="E4" s="12">
        <f>'Free Cash Flow'!D21</f>
        <v>-8244.5800000000017</v>
      </c>
      <c r="F4" s="12">
        <f>'Free Cash Flow'!E21</f>
        <v>-5787.5835074791476</v>
      </c>
      <c r="G4" s="12">
        <f>'Free Cash Flow'!F21</f>
        <v>-7702.5293846830491</v>
      </c>
      <c r="H4" s="12">
        <f>'Free Cash Flow'!G21</f>
        <v>-6433.3487384792452</v>
      </c>
      <c r="I4" s="12">
        <f>'Free Cash Flow'!H21</f>
        <v>-7599.5931495781124</v>
      </c>
    </row>
    <row r="5" spans="2:11" ht="14.25" customHeight="1" x14ac:dyDescent="0.3"/>
    <row r="6" spans="2:11" ht="14.25" customHeight="1" x14ac:dyDescent="0.3">
      <c r="B6" s="6" t="s">
        <v>50</v>
      </c>
      <c r="F6" s="6">
        <v>1</v>
      </c>
      <c r="G6" s="6">
        <v>2</v>
      </c>
      <c r="H6" s="6">
        <v>3</v>
      </c>
      <c r="I6" s="6">
        <v>4</v>
      </c>
    </row>
    <row r="7" spans="2:11" ht="14.25" customHeight="1" x14ac:dyDescent="0.3">
      <c r="B7" s="13" t="s">
        <v>51</v>
      </c>
      <c r="C7" s="13"/>
      <c r="D7" s="13"/>
      <c r="E7" s="13"/>
      <c r="F7" s="13">
        <f>F4/(1+$C$12)^F6</f>
        <v>-5483.8441361526675</v>
      </c>
      <c r="G7" s="13">
        <f t="shared" ref="G7:I7" si="0">G4/(1+$C$12)^G6</f>
        <v>-6915.2681985928612</v>
      </c>
      <c r="H7" s="13">
        <f t="shared" si="0"/>
        <v>-5472.6867570102513</v>
      </c>
      <c r="I7" s="13">
        <f t="shared" si="0"/>
        <v>-6125.5017954294108</v>
      </c>
    </row>
    <row r="8" spans="2:11" ht="14.25" customHeight="1" x14ac:dyDescent="0.3"/>
    <row r="9" spans="2:11" ht="14.25" customHeight="1" x14ac:dyDescent="0.3">
      <c r="B9" s="83" t="s">
        <v>52</v>
      </c>
      <c r="C9" s="84"/>
      <c r="E9" s="83" t="s">
        <v>53</v>
      </c>
      <c r="F9" s="85"/>
      <c r="G9" s="85"/>
      <c r="H9" s="85"/>
      <c r="I9" s="85"/>
      <c r="J9" s="85"/>
      <c r="K9" s="84"/>
    </row>
    <row r="10" spans="2:11" ht="14.25" customHeight="1" x14ac:dyDescent="0.3">
      <c r="B10" s="1" t="s">
        <v>54</v>
      </c>
      <c r="C10" s="12">
        <f>SUM(F7:I7)</f>
        <v>-23997.300887185193</v>
      </c>
    </row>
    <row r="11" spans="2:11" ht="14.25" customHeight="1" x14ac:dyDescent="0.3">
      <c r="B11" s="1" t="s">
        <v>55</v>
      </c>
      <c r="C11" s="17">
        <v>0.09</v>
      </c>
      <c r="E11" s="1"/>
      <c r="F11" s="1"/>
      <c r="G11" s="83" t="s">
        <v>55</v>
      </c>
      <c r="H11" s="85"/>
      <c r="I11" s="85"/>
      <c r="J11" s="85"/>
      <c r="K11" s="84"/>
    </row>
    <row r="12" spans="2:11" ht="15" customHeight="1" x14ac:dyDescent="0.3">
      <c r="B12" s="1" t="s">
        <v>56</v>
      </c>
      <c r="C12" s="15">
        <f>WACC!C18</f>
        <v>5.5388038716136033E-2</v>
      </c>
      <c r="E12" s="1"/>
      <c r="F12" s="18">
        <f>C21</f>
        <v>9668.8509231582811</v>
      </c>
      <c r="G12" s="65">
        <f>8.5%-0.5%</f>
        <v>0.08</v>
      </c>
      <c r="H12" s="65">
        <f>9%-0.5%</f>
        <v>8.4999999999999992E-2</v>
      </c>
      <c r="I12" s="65">
        <v>0.09</v>
      </c>
      <c r="J12" s="65">
        <f>I12+0.5%</f>
        <v>9.5000000000000001E-2</v>
      </c>
      <c r="K12" s="65">
        <f>J12+0.5%</f>
        <v>0.1</v>
      </c>
    </row>
    <row r="13" spans="2:11" ht="14.25" customHeight="1" x14ac:dyDescent="0.3">
      <c r="B13" s="1" t="s">
        <v>57</v>
      </c>
      <c r="C13" s="12">
        <f>I7*(1+C11)/(C12-C11)</f>
        <v>192904.32293794255</v>
      </c>
      <c r="E13" s="86" t="s">
        <v>56</v>
      </c>
      <c r="F13" s="65">
        <f>F14-0.5%</f>
        <v>4.5388038716136003E-2</v>
      </c>
      <c r="G13" s="18">
        <f t="dataTable" ref="G13:K17" dt2D="1" dtr="1" r1="C11" r2="C12"/>
        <v>10431.916501477574</v>
      </c>
      <c r="H13" s="18">
        <v>8909.9188406101766</v>
      </c>
      <c r="I13" s="18">
        <v>7729.0847639176563</v>
      </c>
      <c r="J13" s="18">
        <v>6786.2646754116031</v>
      </c>
      <c r="K13" s="18">
        <v>6016.0844383852354</v>
      </c>
    </row>
    <row r="14" spans="2:11" ht="14.25" customHeight="1" x14ac:dyDescent="0.3">
      <c r="B14" s="1" t="s">
        <v>58</v>
      </c>
      <c r="C14" s="12">
        <f>C13/(1+C12)^I6</f>
        <v>155486.71530765563</v>
      </c>
      <c r="D14" s="12"/>
      <c r="E14" s="87"/>
      <c r="F14" s="65">
        <f>F15-0.5%</f>
        <v>5.0388038716136001E-2</v>
      </c>
      <c r="G14" s="18">
        <v>12011.976201803322</v>
      </c>
      <c r="H14" s="19">
        <v>10042.87756656843</v>
      </c>
      <c r="I14" s="19">
        <v>8570.8759119965525</v>
      </c>
      <c r="J14" s="19">
        <v>7428.8309802877584</v>
      </c>
      <c r="K14" s="18">
        <v>6516.9815301029412</v>
      </c>
    </row>
    <row r="15" spans="2:11" ht="14.25" customHeight="1" x14ac:dyDescent="0.3">
      <c r="B15" s="1" t="s">
        <v>59</v>
      </c>
      <c r="C15" s="12">
        <f>C14+C10</f>
        <v>131489.41442047042</v>
      </c>
      <c r="E15" s="87"/>
      <c r="F15" s="65">
        <v>5.5388038716135998E-2</v>
      </c>
      <c r="G15" s="18">
        <v>14252.186068680003</v>
      </c>
      <c r="H15" s="19">
        <v>11573.568852362492</v>
      </c>
      <c r="I15" s="20">
        <v>9668.8509231582721</v>
      </c>
      <c r="J15" s="19">
        <v>8244.9771297833177</v>
      </c>
      <c r="K15" s="18">
        <v>7140.2719522678917</v>
      </c>
    </row>
    <row r="16" spans="2:11" ht="14.25" customHeight="1" x14ac:dyDescent="0.3">
      <c r="B16" s="9" t="s">
        <v>60</v>
      </c>
      <c r="C16" s="12">
        <f>'Balance Sheet R'!B14</f>
        <v>44.27</v>
      </c>
      <c r="E16" s="87"/>
      <c r="F16" s="65">
        <f>F15+0.5%</f>
        <v>6.0388038716135996E-2</v>
      </c>
      <c r="G16" s="18">
        <v>17656.180955213156</v>
      </c>
      <c r="H16" s="19">
        <v>13743.375687285368</v>
      </c>
      <c r="I16" s="19">
        <v>11151.930132893311</v>
      </c>
      <c r="J16" s="19">
        <v>9309.1984503153253</v>
      </c>
      <c r="K16" s="18">
        <v>7931.6625376142101</v>
      </c>
    </row>
    <row r="17" spans="2:11" ht="14.25" customHeight="1" x14ac:dyDescent="0.3">
      <c r="B17" s="9" t="s">
        <v>61</v>
      </c>
      <c r="C17" s="12">
        <f>WACC!C4</f>
        <v>2493.2000000000003</v>
      </c>
      <c r="E17" s="88"/>
      <c r="F17" s="65">
        <f>F16+0.5%</f>
        <v>6.5388038716135993E-2</v>
      </c>
      <c r="G17" s="18">
        <v>23417.036592107626</v>
      </c>
      <c r="H17" s="18">
        <v>17039.910997788447</v>
      </c>
      <c r="I17" s="18">
        <v>13253.853023301794</v>
      </c>
      <c r="J17" s="18">
        <v>10746.352027258077</v>
      </c>
      <c r="K17" s="18">
        <v>8963.3118543034907</v>
      </c>
    </row>
    <row r="18" spans="2:11" ht="14.25" customHeight="1" x14ac:dyDescent="0.3">
      <c r="B18" s="9" t="s">
        <v>62</v>
      </c>
      <c r="C18" s="12">
        <v>0</v>
      </c>
    </row>
    <row r="19" spans="2:11" ht="14.25" customHeight="1" x14ac:dyDescent="0.3">
      <c r="B19" s="21" t="s">
        <v>63</v>
      </c>
      <c r="C19" s="22">
        <f>C15+C16-C17-C18</f>
        <v>129040.48442047041</v>
      </c>
    </row>
    <row r="20" spans="2:11" ht="14.25" customHeight="1" x14ac:dyDescent="0.3">
      <c r="B20" s="1" t="s">
        <v>217</v>
      </c>
      <c r="C20" s="23">
        <v>13.346</v>
      </c>
    </row>
    <row r="21" spans="2:11" ht="14.25" customHeight="1" x14ac:dyDescent="0.3">
      <c r="B21" s="10" t="s">
        <v>64</v>
      </c>
      <c r="C21" s="24">
        <f>C19/C20</f>
        <v>9668.8509231582811</v>
      </c>
    </row>
    <row r="22" spans="2:11" ht="14.25" customHeight="1" x14ac:dyDescent="0.3"/>
    <row r="23" spans="2:11" ht="14.25" customHeight="1" x14ac:dyDescent="0.3"/>
    <row r="24" spans="2:11" ht="14.25" customHeight="1" x14ac:dyDescent="0.3"/>
    <row r="25" spans="2:11" ht="14.25" customHeight="1" x14ac:dyDescent="0.3"/>
    <row r="26" spans="2:11" ht="14.25" customHeight="1" x14ac:dyDescent="0.3"/>
    <row r="27" spans="2:11" ht="14.25" customHeight="1" x14ac:dyDescent="0.3"/>
    <row r="28" spans="2:11" ht="14.25" customHeight="1" x14ac:dyDescent="0.3"/>
    <row r="29" spans="2:11" ht="14.25" customHeight="1" x14ac:dyDescent="0.3"/>
    <row r="30" spans="2:11" ht="14.25" customHeight="1" x14ac:dyDescent="0.3"/>
    <row r="31" spans="2:11" ht="14.25" customHeight="1" x14ac:dyDescent="0.3"/>
    <row r="32" spans="2:11"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4">
    <mergeCell ref="B9:C9"/>
    <mergeCell ref="E9:K9"/>
    <mergeCell ref="G11:K11"/>
    <mergeCell ref="E13:E17"/>
  </mergeCells>
  <pageMargins left="0.7" right="0.7" top="0.75" bottom="0.75" header="0" footer="0"/>
  <pageSetup orientation="portrait"/>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C1000"/>
  <sheetViews>
    <sheetView showGridLines="0" workbookViewId="0">
      <selection activeCell="C3" sqref="C3"/>
    </sheetView>
  </sheetViews>
  <sheetFormatPr defaultColWidth="14.44140625" defaultRowHeight="15" customHeight="1" x14ac:dyDescent="0.3"/>
  <cols>
    <col min="1" max="1" width="8.88671875" customWidth="1"/>
    <col min="2" max="2" width="37.109375" customWidth="1"/>
    <col min="3" max="26" width="8.88671875" customWidth="1"/>
  </cols>
  <sheetData>
    <row r="1" spans="2:3" ht="14.25" customHeight="1" x14ac:dyDescent="0.3"/>
    <row r="2" spans="2:3" ht="14.25" customHeight="1" x14ac:dyDescent="0.3">
      <c r="B2" s="83" t="s">
        <v>65</v>
      </c>
      <c r="C2" s="84"/>
    </row>
    <row r="3" spans="2:3" ht="14.25" customHeight="1" x14ac:dyDescent="0.3">
      <c r="B3" s="1" t="s">
        <v>66</v>
      </c>
      <c r="C3" s="63" t="s">
        <v>161</v>
      </c>
    </row>
    <row r="4" spans="2:3" ht="14.25" customHeight="1" x14ac:dyDescent="0.3">
      <c r="B4" s="1" t="s">
        <v>67</v>
      </c>
      <c r="C4" s="12">
        <f>SUM('Balance Sheet R'!B29,'Balance Sheet R'!B30,'Balance Sheet R'!B37,'Balance Sheet R'!B38)</f>
        <v>2493.2000000000003</v>
      </c>
    </row>
    <row r="5" spans="2:3" ht="14.25" customHeight="1" x14ac:dyDescent="0.3">
      <c r="B5" s="1"/>
      <c r="C5" s="1"/>
    </row>
    <row r="6" spans="2:3" ht="14.25" customHeight="1" x14ac:dyDescent="0.3">
      <c r="B6" s="1" t="s">
        <v>68</v>
      </c>
      <c r="C6" s="15">
        <f>'Income Statement R'!B9/WACC!C4</f>
        <v>2.1205679448098827E-2</v>
      </c>
    </row>
    <row r="7" spans="2:3" ht="14.25" customHeight="1" x14ac:dyDescent="0.3">
      <c r="B7" s="1" t="s">
        <v>69</v>
      </c>
      <c r="C7" s="25">
        <v>0.25</v>
      </c>
    </row>
    <row r="8" spans="2:3" ht="14.25" customHeight="1" x14ac:dyDescent="0.3">
      <c r="B8" s="1" t="s">
        <v>70</v>
      </c>
      <c r="C8" s="64">
        <f>C4/(C4+C3)</f>
        <v>0.70109725713835791</v>
      </c>
    </row>
    <row r="9" spans="2:3" ht="14.25" customHeight="1" x14ac:dyDescent="0.3">
      <c r="B9" s="13" t="s">
        <v>71</v>
      </c>
      <c r="C9" s="26">
        <f>C6*(1-C7)</f>
        <v>1.590425958607412E-2</v>
      </c>
    </row>
    <row r="10" spans="2:3" ht="14.25" customHeight="1" x14ac:dyDescent="0.3">
      <c r="B10" s="8"/>
      <c r="C10" s="27"/>
    </row>
    <row r="11" spans="2:3" ht="14.25" customHeight="1" x14ac:dyDescent="0.3">
      <c r="B11" s="1" t="s">
        <v>72</v>
      </c>
      <c r="C11" s="25">
        <v>7.0510000000000003E-2</v>
      </c>
    </row>
    <row r="12" spans="2:3" ht="14.25" customHeight="1" x14ac:dyDescent="0.3">
      <c r="B12" s="1" t="s">
        <v>73</v>
      </c>
      <c r="C12" s="25">
        <v>0.14799999999999999</v>
      </c>
    </row>
    <row r="13" spans="2:3" ht="14.25" customHeight="1" x14ac:dyDescent="0.3">
      <c r="B13" s="1" t="s">
        <v>74</v>
      </c>
      <c r="C13" s="15">
        <f>C12-C11</f>
        <v>7.7489999999999989E-2</v>
      </c>
    </row>
    <row r="14" spans="2:3" ht="14.25" customHeight="1" x14ac:dyDescent="0.3">
      <c r="B14" s="1" t="s">
        <v>75</v>
      </c>
      <c r="C14" s="28">
        <v>1</v>
      </c>
    </row>
    <row r="15" spans="2:3" ht="14.25" customHeight="1" x14ac:dyDescent="0.3">
      <c r="B15" s="1" t="s">
        <v>76</v>
      </c>
      <c r="C15" s="15">
        <f>C3/(C4+C3)</f>
        <v>0.29890274286164209</v>
      </c>
    </row>
    <row r="16" spans="2:3" ht="14.25" customHeight="1" x14ac:dyDescent="0.3">
      <c r="B16" s="13" t="s">
        <v>77</v>
      </c>
      <c r="C16" s="26">
        <f>C11+C13*(C14)</f>
        <v>0.14799999999999999</v>
      </c>
    </row>
    <row r="17" spans="2:3" ht="14.25" customHeight="1" x14ac:dyDescent="0.3">
      <c r="B17" s="1"/>
      <c r="C17" s="1"/>
    </row>
    <row r="18" spans="2:3" ht="14.25" customHeight="1" x14ac:dyDescent="0.3">
      <c r="B18" s="10" t="s">
        <v>56</v>
      </c>
      <c r="C18" s="29">
        <f>C9*C8+C16*C15</f>
        <v>5.5388038716136033E-2</v>
      </c>
    </row>
    <row r="19" spans="2:3" ht="14.25" customHeight="1" x14ac:dyDescent="0.3"/>
    <row r="20" spans="2:3" ht="14.25" customHeight="1" x14ac:dyDescent="0.3"/>
    <row r="21" spans="2:3" ht="14.25" customHeight="1" x14ac:dyDescent="0.3"/>
    <row r="22" spans="2:3" ht="14.25" customHeight="1" x14ac:dyDescent="0.3"/>
    <row r="23" spans="2:3" ht="14.25" customHeight="1" x14ac:dyDescent="0.3"/>
    <row r="24" spans="2:3" ht="14.25" customHeight="1" x14ac:dyDescent="0.3"/>
    <row r="25" spans="2:3" ht="14.25" customHeight="1" x14ac:dyDescent="0.3"/>
    <row r="26" spans="2:3" ht="14.25" customHeight="1" x14ac:dyDescent="0.3"/>
    <row r="27" spans="2:3" ht="14.25" customHeight="1" x14ac:dyDescent="0.3"/>
    <row r="28" spans="2:3" ht="14.25" customHeight="1" x14ac:dyDescent="0.3"/>
    <row r="29" spans="2:3" ht="14.25" customHeight="1" x14ac:dyDescent="0.3"/>
    <row r="30" spans="2:3" ht="14.25" customHeight="1" x14ac:dyDescent="0.3"/>
    <row r="31" spans="2:3" ht="14.25" customHeight="1" x14ac:dyDescent="0.3"/>
    <row r="32" spans="2:3"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B2:C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sheetPr>
  <dimension ref="A1:A1000"/>
  <sheetViews>
    <sheetView topLeftCell="A9" workbookViewId="0"/>
  </sheetViews>
  <sheetFormatPr defaultColWidth="14.44140625" defaultRowHeight="15" customHeight="1" x14ac:dyDescent="0.3"/>
  <cols>
    <col min="1" max="26" width="8.88671875" customWidth="1"/>
  </cols>
  <sheetData>
    <row r="1" ht="14.25" customHeight="1" x14ac:dyDescent="0.3"/>
    <row r="2" ht="14.25" customHeight="1" x14ac:dyDescent="0.3"/>
    <row r="3" ht="14.25" customHeight="1" x14ac:dyDescent="0.3"/>
    <row r="4" ht="14.25" customHeight="1" x14ac:dyDescent="0.3"/>
    <row r="5" ht="14.25" customHeight="1" x14ac:dyDescent="0.3"/>
    <row r="6" ht="14.25" customHeight="1" x14ac:dyDescent="0.3"/>
    <row r="7" ht="14.25" customHeight="1" x14ac:dyDescent="0.3"/>
    <row r="8" ht="14.25" customHeight="1" x14ac:dyDescent="0.3"/>
    <row r="9" ht="14.25" customHeight="1" x14ac:dyDescent="0.3"/>
    <row r="10" ht="14.25" customHeight="1" x14ac:dyDescent="0.3"/>
    <row r="11" ht="14.25" customHeight="1" x14ac:dyDescent="0.3"/>
    <row r="12" ht="14.25" customHeight="1" x14ac:dyDescent="0.3"/>
    <row r="13" ht="14.25" customHeight="1" x14ac:dyDescent="0.3"/>
    <row r="14" ht="14.25" customHeight="1" x14ac:dyDescent="0.3"/>
    <row r="15" ht="14.25" customHeight="1" x14ac:dyDescent="0.3"/>
    <row r="1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9C169-28C3-4848-A192-9DD98D6B9B79}">
  <dimension ref="A1:H29"/>
  <sheetViews>
    <sheetView workbookViewId="0">
      <selection activeCell="B9" sqref="B9"/>
    </sheetView>
  </sheetViews>
  <sheetFormatPr defaultRowHeight="14.4" x14ac:dyDescent="0.3"/>
  <cols>
    <col min="1" max="1" width="44.5546875" bestFit="1" customWidth="1"/>
    <col min="2" max="3" width="23.109375" bestFit="1" customWidth="1"/>
    <col min="6" max="6" width="11.88671875" bestFit="1" customWidth="1"/>
  </cols>
  <sheetData>
    <row r="1" spans="1:8" x14ac:dyDescent="0.3">
      <c r="A1" s="30" t="s">
        <v>135</v>
      </c>
      <c r="B1" s="30" t="s">
        <v>133</v>
      </c>
      <c r="C1" s="30" t="s">
        <v>134</v>
      </c>
    </row>
    <row r="2" spans="1:8" x14ac:dyDescent="0.3">
      <c r="A2" t="s">
        <v>81</v>
      </c>
      <c r="B2" s="31">
        <v>13735.5</v>
      </c>
      <c r="C2" s="31">
        <v>13514.7</v>
      </c>
    </row>
    <row r="3" spans="1:8" x14ac:dyDescent="0.3">
      <c r="A3" t="s">
        <v>82</v>
      </c>
      <c r="B3" t="s">
        <v>83</v>
      </c>
      <c r="C3">
        <v>74.5</v>
      </c>
    </row>
    <row r="4" spans="1:8" x14ac:dyDescent="0.3">
      <c r="A4" t="s">
        <v>84</v>
      </c>
      <c r="B4" s="31">
        <v>13970.3</v>
      </c>
      <c r="C4" s="31">
        <v>13589.2</v>
      </c>
    </row>
    <row r="5" spans="1:8" x14ac:dyDescent="0.3">
      <c r="A5" t="s">
        <v>85</v>
      </c>
    </row>
    <row r="6" spans="1:8" x14ac:dyDescent="0.3">
      <c r="A6" t="s">
        <v>86</v>
      </c>
      <c r="B6">
        <v>8485.6</v>
      </c>
      <c r="C6" s="31">
        <v>10356.1</v>
      </c>
      <c r="F6" s="32" t="s">
        <v>137</v>
      </c>
      <c r="G6" s="33">
        <v>2024</v>
      </c>
      <c r="H6" s="33">
        <v>2023</v>
      </c>
    </row>
    <row r="7" spans="1:8" x14ac:dyDescent="0.3">
      <c r="A7" t="s">
        <v>87</v>
      </c>
      <c r="B7">
        <v>-338.9</v>
      </c>
      <c r="C7">
        <v>-2129.9</v>
      </c>
      <c r="F7" s="32" t="s">
        <v>3</v>
      </c>
      <c r="G7" s="33">
        <f>B6-Table450__Page_131___2[[#This Row],[year ended Mar 31 2024]]</f>
        <v>8824.5</v>
      </c>
      <c r="H7" s="33">
        <f>C6-Table450__Page_131___2[[#This Row],[year ended Mar 31 2023]]</f>
        <v>12486</v>
      </c>
    </row>
    <row r="8" spans="1:8" x14ac:dyDescent="0.3">
      <c r="A8" t="s">
        <v>88</v>
      </c>
      <c r="B8" t="s">
        <v>89</v>
      </c>
      <c r="C8" t="s">
        <v>90</v>
      </c>
      <c r="G8" s="41"/>
    </row>
    <row r="9" spans="1:8" x14ac:dyDescent="0.3">
      <c r="A9" t="s">
        <v>91</v>
      </c>
      <c r="B9" t="s">
        <v>92</v>
      </c>
      <c r="C9" t="s">
        <v>93</v>
      </c>
      <c r="F9" s="49" t="s">
        <v>137</v>
      </c>
      <c r="G9" s="33">
        <v>2024</v>
      </c>
      <c r="H9" s="33">
        <v>2023</v>
      </c>
    </row>
    <row r="10" spans="1:8" x14ac:dyDescent="0.3">
      <c r="A10" t="s">
        <v>94</v>
      </c>
      <c r="B10">
        <v>479.1</v>
      </c>
      <c r="C10">
        <v>410.1</v>
      </c>
      <c r="F10" s="49" t="s">
        <v>212</v>
      </c>
      <c r="G10" s="33">
        <f>B16+B17</f>
        <v>701</v>
      </c>
      <c r="H10" s="33">
        <f>C16+C17</f>
        <v>728</v>
      </c>
    </row>
    <row r="11" spans="1:8" x14ac:dyDescent="0.3">
      <c r="A11" t="s">
        <v>95</v>
      </c>
      <c r="B11">
        <v>1822.7</v>
      </c>
      <c r="C11">
        <v>1754.7</v>
      </c>
    </row>
    <row r="12" spans="1:8" x14ac:dyDescent="0.3">
      <c r="A12" t="s">
        <v>96</v>
      </c>
      <c r="B12" s="31">
        <v>12623.5</v>
      </c>
      <c r="C12" t="s">
        <v>97</v>
      </c>
    </row>
    <row r="13" spans="1:8" x14ac:dyDescent="0.3">
      <c r="A13" t="s">
        <v>98</v>
      </c>
      <c r="B13" t="s">
        <v>99</v>
      </c>
      <c r="C13">
        <v>1335.7</v>
      </c>
    </row>
    <row r="14" spans="1:8" x14ac:dyDescent="0.3">
      <c r="A14" t="s">
        <v>100</v>
      </c>
      <c r="B14" t="s">
        <v>101</v>
      </c>
      <c r="C14" t="s">
        <v>101</v>
      </c>
    </row>
    <row r="15" spans="1:8" x14ac:dyDescent="0.3">
      <c r="A15" t="s">
        <v>102</v>
      </c>
      <c r="B15">
        <v>1346.8</v>
      </c>
      <c r="C15">
        <v>1335.7</v>
      </c>
    </row>
    <row r="16" spans="1:8" x14ac:dyDescent="0.3">
      <c r="A16" t="s">
        <v>103</v>
      </c>
      <c r="B16">
        <v>338.1</v>
      </c>
      <c r="C16">
        <v>359.8</v>
      </c>
    </row>
    <row r="17" spans="1:3" x14ac:dyDescent="0.3">
      <c r="A17" t="s">
        <v>104</v>
      </c>
      <c r="B17">
        <v>362.9</v>
      </c>
      <c r="C17">
        <v>368.2</v>
      </c>
    </row>
    <row r="18" spans="1:3" x14ac:dyDescent="0.3">
      <c r="A18" t="s">
        <v>105</v>
      </c>
      <c r="B18" t="s">
        <v>106</v>
      </c>
      <c r="C18" t="s">
        <v>107</v>
      </c>
    </row>
    <row r="19" spans="1:3" x14ac:dyDescent="0.3">
      <c r="A19" t="s">
        <v>108</v>
      </c>
      <c r="B19" t="s">
        <v>109</v>
      </c>
      <c r="C19" t="s">
        <v>110</v>
      </c>
    </row>
    <row r="20" spans="1:3" x14ac:dyDescent="0.3">
      <c r="A20" t="s">
        <v>111</v>
      </c>
      <c r="B20" t="s">
        <v>112</v>
      </c>
      <c r="C20" t="s">
        <v>113</v>
      </c>
    </row>
    <row r="21" spans="1:3" x14ac:dyDescent="0.3">
      <c r="A21" t="s">
        <v>114</v>
      </c>
    </row>
    <row r="22" spans="1:3" x14ac:dyDescent="0.3">
      <c r="A22" t="s">
        <v>115</v>
      </c>
    </row>
    <row r="23" spans="1:3" x14ac:dyDescent="0.3">
      <c r="A23" t="s">
        <v>116</v>
      </c>
      <c r="B23" t="s">
        <v>117</v>
      </c>
      <c r="C23" t="s">
        <v>118</v>
      </c>
    </row>
    <row r="24" spans="1:3" x14ac:dyDescent="0.3">
      <c r="A24" t="s">
        <v>119</v>
      </c>
      <c r="B24" t="s">
        <v>120</v>
      </c>
      <c r="C24" t="s">
        <v>121</v>
      </c>
    </row>
    <row r="25" spans="1:3" x14ac:dyDescent="0.3">
      <c r="A25" t="s">
        <v>122</v>
      </c>
      <c r="B25" t="s">
        <v>123</v>
      </c>
      <c r="C25" t="s">
        <v>124</v>
      </c>
    </row>
    <row r="26" spans="1:3" x14ac:dyDescent="0.3">
      <c r="A26" t="s">
        <v>125</v>
      </c>
      <c r="B26" t="s">
        <v>126</v>
      </c>
      <c r="C26" t="s">
        <v>127</v>
      </c>
    </row>
    <row r="27" spans="1:3" x14ac:dyDescent="0.3">
      <c r="A27" t="s">
        <v>128</v>
      </c>
    </row>
    <row r="28" spans="1:3" x14ac:dyDescent="0.3">
      <c r="A28" t="s">
        <v>129</v>
      </c>
      <c r="B28" t="s">
        <v>130</v>
      </c>
      <c r="C28" t="s">
        <v>131</v>
      </c>
    </row>
    <row r="29" spans="1:3" x14ac:dyDescent="0.3">
      <c r="A29" t="s">
        <v>132</v>
      </c>
      <c r="B29" t="s">
        <v>130</v>
      </c>
      <c r="C29" t="s">
        <v>131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62398-9C7F-403D-BBDD-D34F8AD8B838}">
  <dimension ref="A1:L47"/>
  <sheetViews>
    <sheetView workbookViewId="0">
      <selection activeCell="F4" sqref="F4"/>
    </sheetView>
  </sheetViews>
  <sheetFormatPr defaultRowHeight="14.4" x14ac:dyDescent="0.3"/>
  <cols>
    <col min="1" max="1" width="30" bestFit="1" customWidth="1"/>
    <col min="2" max="3" width="10.77734375" bestFit="1" customWidth="1"/>
    <col min="4" max="4" width="19.5546875" customWidth="1"/>
    <col min="8" max="8" width="9.33203125" customWidth="1"/>
    <col min="9" max="9" width="19.21875" customWidth="1"/>
  </cols>
  <sheetData>
    <row r="1" spans="1:12" x14ac:dyDescent="0.3">
      <c r="A1" s="34" t="s">
        <v>135</v>
      </c>
      <c r="B1" t="s">
        <v>176</v>
      </c>
      <c r="C1" t="s">
        <v>177</v>
      </c>
      <c r="D1" t="s">
        <v>211</v>
      </c>
    </row>
    <row r="2" spans="1:12" x14ac:dyDescent="0.3">
      <c r="A2" t="s">
        <v>138</v>
      </c>
      <c r="B2">
        <v>2220</v>
      </c>
      <c r="C2">
        <v>2047.1</v>
      </c>
      <c r="D2" t="s">
        <v>179</v>
      </c>
    </row>
    <row r="3" spans="1:12" x14ac:dyDescent="0.3">
      <c r="A3" t="s">
        <v>139</v>
      </c>
      <c r="B3" t="s">
        <v>140</v>
      </c>
      <c r="C3">
        <v>0</v>
      </c>
      <c r="D3" t="s">
        <v>101</v>
      </c>
    </row>
    <row r="4" spans="1:12" x14ac:dyDescent="0.3">
      <c r="A4" t="s">
        <v>142</v>
      </c>
      <c r="B4" t="s">
        <v>143</v>
      </c>
      <c r="C4">
        <v>169.29</v>
      </c>
      <c r="D4" t="s">
        <v>180</v>
      </c>
    </row>
    <row r="5" spans="1:12" x14ac:dyDescent="0.3">
      <c r="A5" t="s">
        <v>141</v>
      </c>
      <c r="B5">
        <v>33.200000000000003</v>
      </c>
      <c r="C5">
        <v>54.7</v>
      </c>
      <c r="D5" t="s">
        <v>181</v>
      </c>
    </row>
    <row r="6" spans="1:12" x14ac:dyDescent="0.3">
      <c r="A6" t="s">
        <v>144</v>
      </c>
      <c r="I6" s="33" t="s">
        <v>137</v>
      </c>
      <c r="J6" s="33">
        <v>2024</v>
      </c>
      <c r="K6" s="33">
        <v>2023</v>
      </c>
      <c r="L6" s="33">
        <v>2022</v>
      </c>
    </row>
    <row r="7" spans="1:12" x14ac:dyDescent="0.3">
      <c r="A7" t="s">
        <v>145</v>
      </c>
      <c r="B7">
        <v>318.3</v>
      </c>
      <c r="C7">
        <v>276.5</v>
      </c>
      <c r="D7" t="s">
        <v>182</v>
      </c>
      <c r="H7" s="6"/>
      <c r="I7" s="50" t="s">
        <v>26</v>
      </c>
      <c r="J7" s="33">
        <f>B2+B3+B4</f>
        <v>2410.96</v>
      </c>
      <c r="K7" s="33">
        <f>C2+C3+C4</f>
        <v>2216.39</v>
      </c>
      <c r="L7" s="33">
        <f>D2+D4</f>
        <v>1707.81</v>
      </c>
    </row>
    <row r="8" spans="1:12" x14ac:dyDescent="0.3">
      <c r="A8" t="s">
        <v>146</v>
      </c>
      <c r="B8">
        <v>184.5</v>
      </c>
      <c r="C8">
        <v>86.1</v>
      </c>
      <c r="D8" t="s">
        <v>183</v>
      </c>
    </row>
    <row r="9" spans="1:12" x14ac:dyDescent="0.3">
      <c r="B9" t="s">
        <v>147</v>
      </c>
      <c r="C9">
        <v>415.73</v>
      </c>
      <c r="D9" t="s">
        <v>184</v>
      </c>
      <c r="I9" s="33" t="s">
        <v>137</v>
      </c>
      <c r="J9" s="33">
        <v>2024</v>
      </c>
      <c r="K9" s="33">
        <v>2023</v>
      </c>
      <c r="L9" s="33">
        <v>2022</v>
      </c>
    </row>
    <row r="10" spans="1:12" x14ac:dyDescent="0.3">
      <c r="A10" t="s">
        <v>148</v>
      </c>
      <c r="I10" s="33" t="s">
        <v>17</v>
      </c>
      <c r="J10" s="33">
        <f>B11+B13+B14+B15+B16+B17+B18</f>
        <v>8099.59</v>
      </c>
      <c r="K10" s="33">
        <f t="shared" ref="K10" si="0">C11+C13+C14+C15+C16+C17+C18</f>
        <v>8046.3</v>
      </c>
      <c r="L10" s="33">
        <f>D11+D13+D14+D15+D16+D17+D18</f>
        <v>5607.54</v>
      </c>
    </row>
    <row r="11" spans="1:12" x14ac:dyDescent="0.3">
      <c r="A11" t="s">
        <v>149</v>
      </c>
      <c r="B11">
        <v>7232.2</v>
      </c>
      <c r="C11">
        <v>6897.5</v>
      </c>
      <c r="D11" t="s">
        <v>185</v>
      </c>
    </row>
    <row r="12" spans="1:12" x14ac:dyDescent="0.3">
      <c r="A12" t="s">
        <v>144</v>
      </c>
      <c r="I12" s="33" t="s">
        <v>137</v>
      </c>
      <c r="J12" s="33">
        <v>2024</v>
      </c>
      <c r="K12" s="33">
        <v>2023</v>
      </c>
      <c r="L12" s="33">
        <v>2022</v>
      </c>
    </row>
    <row r="13" spans="1:12" x14ac:dyDescent="0.3">
      <c r="A13" t="s">
        <v>150</v>
      </c>
      <c r="B13">
        <v>33.1</v>
      </c>
      <c r="C13">
        <v>28.8</v>
      </c>
      <c r="D13" t="s">
        <v>186</v>
      </c>
      <c r="I13" s="33" t="s">
        <v>41</v>
      </c>
      <c r="J13" s="33">
        <f>B37+B38+B41+B42+B43+B44+B45</f>
        <v>3484.7000000000007</v>
      </c>
      <c r="K13" s="33">
        <f t="shared" ref="K13" si="1">C14+C16+C17+C18+C19+C20+C21</f>
        <v>9936.75</v>
      </c>
      <c r="L13" s="33">
        <f>D14+D16+D17+D18+D19+D20+D21</f>
        <v>14472.720000000001</v>
      </c>
    </row>
    <row r="14" spans="1:12" x14ac:dyDescent="0.3">
      <c r="A14" t="s">
        <v>78</v>
      </c>
      <c r="B14">
        <v>44.27</v>
      </c>
      <c r="C14">
        <v>46.1</v>
      </c>
      <c r="D14" t="s">
        <v>187</v>
      </c>
    </row>
    <row r="15" spans="1:12" x14ac:dyDescent="0.3">
      <c r="A15" t="s">
        <v>151</v>
      </c>
      <c r="B15" t="s">
        <v>152</v>
      </c>
      <c r="C15">
        <v>450.9</v>
      </c>
      <c r="D15" t="s">
        <v>188</v>
      </c>
      <c r="I15" s="33" t="s">
        <v>137</v>
      </c>
      <c r="J15" s="33">
        <v>2022</v>
      </c>
      <c r="K15" s="33">
        <v>2023</v>
      </c>
      <c r="L15" s="33">
        <v>2024</v>
      </c>
    </row>
    <row r="16" spans="1:12" x14ac:dyDescent="0.3">
      <c r="A16" t="s">
        <v>153</v>
      </c>
      <c r="B16">
        <v>206</v>
      </c>
      <c r="C16">
        <v>344</v>
      </c>
      <c r="D16" t="s">
        <v>189</v>
      </c>
      <c r="I16" s="49" t="s">
        <v>35</v>
      </c>
      <c r="J16" s="33">
        <f>D15+Table447__Page_130[[#This Row],[2022]]+D17+D18</f>
        <v>738.06</v>
      </c>
      <c r="K16" s="33">
        <f>C15+Table447__Page_130[[#This Row],[2023]]+C17+C18</f>
        <v>1073.9000000000001</v>
      </c>
      <c r="L16" s="33">
        <f>B15+Table447__Page_130[[#This Row],[2024]]+B17+B18</f>
        <v>790.02</v>
      </c>
    </row>
    <row r="17" spans="1:4" x14ac:dyDescent="0.3">
      <c r="A17" t="s">
        <v>145</v>
      </c>
      <c r="B17" t="s">
        <v>154</v>
      </c>
      <c r="C17">
        <v>8</v>
      </c>
      <c r="D17" t="s">
        <v>190</v>
      </c>
    </row>
    <row r="18" spans="1:4" x14ac:dyDescent="0.3">
      <c r="A18" t="s">
        <v>79</v>
      </c>
      <c r="B18">
        <v>222.7</v>
      </c>
      <c r="C18">
        <v>271</v>
      </c>
      <c r="D18" t="s">
        <v>191</v>
      </c>
    </row>
    <row r="19" spans="1:4" x14ac:dyDescent="0.3">
      <c r="B19" t="s">
        <v>155</v>
      </c>
      <c r="C19">
        <v>8047.2</v>
      </c>
      <c r="D19" t="s">
        <v>192</v>
      </c>
    </row>
    <row r="20" spans="1:4" x14ac:dyDescent="0.3">
      <c r="A20" t="s">
        <v>156</v>
      </c>
      <c r="B20" t="s">
        <v>157</v>
      </c>
      <c r="C20">
        <v>1220.45</v>
      </c>
      <c r="D20" t="s">
        <v>193</v>
      </c>
    </row>
    <row r="21" spans="1:4" x14ac:dyDescent="0.3">
      <c r="A21" t="s">
        <v>158</v>
      </c>
    </row>
    <row r="23" spans="1:4" x14ac:dyDescent="0.3">
      <c r="A23" t="s">
        <v>159</v>
      </c>
      <c r="B23">
        <v>294.7</v>
      </c>
      <c r="C23">
        <v>240.6</v>
      </c>
      <c r="D23" t="s">
        <v>194</v>
      </c>
    </row>
    <row r="24" spans="1:4" x14ac:dyDescent="0.3">
      <c r="A24" t="s">
        <v>160</v>
      </c>
      <c r="B24" s="31">
        <v>1033.47</v>
      </c>
      <c r="C24">
        <v>3732.7</v>
      </c>
      <c r="D24" t="s">
        <v>195</v>
      </c>
    </row>
    <row r="25" spans="1:4" x14ac:dyDescent="0.3">
      <c r="B25" t="s">
        <v>161</v>
      </c>
      <c r="C25">
        <v>3973.3</v>
      </c>
      <c r="D25" t="s">
        <v>196</v>
      </c>
    </row>
    <row r="26" spans="1:4" x14ac:dyDescent="0.3">
      <c r="A26" t="s">
        <v>162</v>
      </c>
    </row>
    <row r="27" spans="1:4" x14ac:dyDescent="0.3">
      <c r="A27" t="s">
        <v>163</v>
      </c>
    </row>
    <row r="28" spans="1:4" x14ac:dyDescent="0.3">
      <c r="A28" t="s">
        <v>164</v>
      </c>
    </row>
    <row r="29" spans="1:4" x14ac:dyDescent="0.3">
      <c r="A29" t="s">
        <v>213</v>
      </c>
      <c r="B29" t="s">
        <v>165</v>
      </c>
      <c r="C29">
        <v>65.38</v>
      </c>
      <c r="D29" t="s">
        <v>197</v>
      </c>
    </row>
    <row r="30" spans="1:4" x14ac:dyDescent="0.3">
      <c r="A30" t="s">
        <v>214</v>
      </c>
      <c r="B30" t="s">
        <v>166</v>
      </c>
      <c r="C30">
        <v>166.38</v>
      </c>
      <c r="D30" t="s">
        <v>198</v>
      </c>
    </row>
    <row r="31" spans="1:4" x14ac:dyDescent="0.3">
      <c r="A31" t="s">
        <v>215</v>
      </c>
      <c r="B31" t="s">
        <v>167</v>
      </c>
      <c r="C31">
        <v>2.7</v>
      </c>
      <c r="D31" t="s">
        <v>199</v>
      </c>
    </row>
    <row r="32" spans="1:4" x14ac:dyDescent="0.3">
      <c r="A32" t="s">
        <v>168</v>
      </c>
      <c r="B32" t="s">
        <v>169</v>
      </c>
      <c r="C32">
        <v>4.6399999999999997</v>
      </c>
      <c r="D32" t="s">
        <v>200</v>
      </c>
    </row>
    <row r="33" spans="1:4" x14ac:dyDescent="0.3">
      <c r="A33" t="s">
        <v>170</v>
      </c>
      <c r="B33" t="s">
        <v>171</v>
      </c>
      <c r="C33">
        <v>11.48</v>
      </c>
      <c r="D33" t="s">
        <v>201</v>
      </c>
    </row>
    <row r="34" spans="1:4" x14ac:dyDescent="0.3">
      <c r="B34" t="s">
        <v>172</v>
      </c>
      <c r="C34">
        <v>250.58</v>
      </c>
      <c r="D34" t="s">
        <v>202</v>
      </c>
    </row>
    <row r="35" spans="1:4" x14ac:dyDescent="0.3">
      <c r="A35" t="s">
        <v>173</v>
      </c>
    </row>
    <row r="36" spans="1:4" x14ac:dyDescent="0.3">
      <c r="A36" t="s">
        <v>164</v>
      </c>
    </row>
    <row r="37" spans="1:4" x14ac:dyDescent="0.3">
      <c r="A37" t="s">
        <v>213</v>
      </c>
      <c r="B37">
        <v>2351.3000000000002</v>
      </c>
      <c r="C37">
        <v>2801.2</v>
      </c>
      <c r="D37" t="s">
        <v>203</v>
      </c>
    </row>
    <row r="38" spans="1:4" x14ac:dyDescent="0.3">
      <c r="A38" t="s">
        <v>214</v>
      </c>
      <c r="B38">
        <v>141.9</v>
      </c>
      <c r="C38">
        <v>140.4</v>
      </c>
      <c r="D38" t="s">
        <v>204</v>
      </c>
    </row>
    <row r="39" spans="1:4" x14ac:dyDescent="0.3">
      <c r="A39" t="s">
        <v>216</v>
      </c>
    </row>
    <row r="40" spans="1:4" x14ac:dyDescent="0.3">
      <c r="B40" t="s">
        <v>101</v>
      </c>
      <c r="C40">
        <v>34</v>
      </c>
      <c r="D40" t="s">
        <v>101</v>
      </c>
    </row>
    <row r="41" spans="1:4" x14ac:dyDescent="0.3">
      <c r="B41">
        <v>592.20000000000005</v>
      </c>
      <c r="C41">
        <v>2266.1999999999998</v>
      </c>
      <c r="D41" t="s">
        <v>205</v>
      </c>
    </row>
    <row r="42" spans="1:4" x14ac:dyDescent="0.3">
      <c r="A42" t="s">
        <v>215</v>
      </c>
      <c r="B42">
        <v>291.3</v>
      </c>
      <c r="C42">
        <v>318</v>
      </c>
      <c r="D42" t="s">
        <v>206</v>
      </c>
    </row>
    <row r="43" spans="1:4" x14ac:dyDescent="0.3">
      <c r="A43" t="s">
        <v>80</v>
      </c>
      <c r="B43">
        <v>62.8</v>
      </c>
      <c r="C43">
        <v>38.08</v>
      </c>
      <c r="D43" t="s">
        <v>207</v>
      </c>
    </row>
    <row r="44" spans="1:4" x14ac:dyDescent="0.3">
      <c r="A44" t="s">
        <v>168</v>
      </c>
      <c r="B44">
        <v>7.2</v>
      </c>
      <c r="C44">
        <v>5.4</v>
      </c>
      <c r="D44" t="s">
        <v>208</v>
      </c>
    </row>
    <row r="45" spans="1:4" x14ac:dyDescent="0.3">
      <c r="A45" t="s">
        <v>174</v>
      </c>
      <c r="B45">
        <v>38</v>
      </c>
      <c r="C45">
        <v>122.04</v>
      </c>
      <c r="D45" t="s">
        <v>209</v>
      </c>
    </row>
    <row r="46" spans="1:4" x14ac:dyDescent="0.3">
      <c r="B46">
        <v>3450</v>
      </c>
      <c r="C46">
        <v>5725</v>
      </c>
      <c r="D46" t="s">
        <v>210</v>
      </c>
    </row>
    <row r="47" spans="1:4" x14ac:dyDescent="0.3">
      <c r="A47" t="s">
        <v>175</v>
      </c>
      <c r="B47" t="s">
        <v>157</v>
      </c>
      <c r="C47">
        <v>122.45</v>
      </c>
      <c r="D47" t="s">
        <v>193</v>
      </c>
    </row>
  </sheetData>
  <phoneticPr fontId="1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921055-36CD-4B44-AE6C-27A3159565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SSKL DCF Model by Gautam Chauha</vt:lpstr>
      <vt:lpstr>Free Cash Flow</vt:lpstr>
      <vt:lpstr>Fixed Assets</vt:lpstr>
      <vt:lpstr>Net Working Capital</vt:lpstr>
      <vt:lpstr>DCF</vt:lpstr>
      <vt:lpstr>WACC</vt:lpstr>
      <vt:lpstr>Data Source --&gt;</vt:lpstr>
      <vt:lpstr>Income Statement R</vt:lpstr>
      <vt:lpstr>Balance Sheet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dc:creator>
  <cp:lastModifiedBy>gautam chauhan</cp:lastModifiedBy>
  <dcterms:created xsi:type="dcterms:W3CDTF">2022-06-25T16:24:49Z</dcterms:created>
  <dcterms:modified xsi:type="dcterms:W3CDTF">2025-07-23T11:39:31Z</dcterms:modified>
</cp:coreProperties>
</file>