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55141814\Desktop\Dividend Yield\HSI\Yearly\"/>
    </mc:Choice>
  </mc:AlternateContent>
  <xr:revisionPtr revIDLastSave="0" documentId="8_{53695D4C-54F3-415D-8BA2-8D402775CC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ighligh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2" l="1"/>
  <c r="E13" i="2"/>
  <c r="Q13" i="2"/>
  <c r="H12" i="2"/>
  <c r="H17" i="2"/>
  <c r="D21" i="2"/>
  <c r="L19" i="2"/>
  <c r="E18" i="2"/>
  <c r="P21" i="2"/>
  <c r="Q7" i="2"/>
  <c r="E10" i="2"/>
  <c r="P18" i="2"/>
  <c r="Q18" i="2"/>
  <c r="Q21" i="2"/>
  <c r="I20" i="2"/>
  <c r="E19" i="2"/>
  <c r="Q10" i="2"/>
  <c r="I12" i="2"/>
  <c r="Q8" i="2"/>
  <c r="G10" i="2"/>
  <c r="E7" i="2"/>
  <c r="I17" i="2"/>
  <c r="M14" i="2"/>
  <c r="C14" i="2"/>
  <c r="K17" i="2"/>
  <c r="J19" i="2"/>
  <c r="I9" i="2"/>
  <c r="E21" i="2"/>
  <c r="M19" i="2"/>
  <c r="O19" i="2"/>
  <c r="Q20" i="2"/>
  <c r="E14" i="2"/>
  <c r="G7" i="2"/>
  <c r="N12" i="2"/>
  <c r="J18" i="2"/>
  <c r="M13" i="2"/>
  <c r="I19" i="2"/>
  <c r="I8" i="2"/>
  <c r="J11" i="2"/>
  <c r="E12" i="2"/>
  <c r="R8" i="2"/>
  <c r="R9" i="2"/>
  <c r="H9" i="2"/>
  <c r="M10" i="2"/>
  <c r="I7" i="2"/>
  <c r="J14" i="2"/>
  <c r="I21" i="2"/>
  <c r="K7" i="2"/>
  <c r="Q11" i="2"/>
  <c r="N20" i="2"/>
  <c r="J10" i="2"/>
  <c r="M17" i="2"/>
  <c r="R14" i="2"/>
  <c r="Q9" i="2"/>
  <c r="J8" i="2"/>
  <c r="R20" i="2"/>
  <c r="R17" i="2"/>
  <c r="R12" i="2"/>
  <c r="Q17" i="2"/>
  <c r="I14" i="2"/>
  <c r="G12" i="2"/>
  <c r="K11" i="2"/>
  <c r="K8" i="2"/>
  <c r="D7" i="2"/>
  <c r="O13" i="2"/>
  <c r="R7" i="2"/>
  <c r="O21" i="2"/>
  <c r="F13" i="2"/>
  <c r="R10" i="2"/>
  <c r="K19" i="2"/>
  <c r="N14" i="2"/>
  <c r="D18" i="2"/>
  <c r="N8" i="2"/>
  <c r="F21" i="2"/>
  <c r="C18" i="2"/>
  <c r="G17" i="2"/>
  <c r="J17" i="2"/>
  <c r="H20" i="2"/>
  <c r="J20" i="2"/>
  <c r="L11" i="2"/>
  <c r="R21" i="2"/>
  <c r="J12" i="2"/>
  <c r="L8" i="2"/>
  <c r="P10" i="2"/>
  <c r="D13" i="2"/>
  <c r="C7" i="2"/>
  <c r="F7" i="2"/>
  <c r="F10" i="2"/>
  <c r="J9" i="2"/>
  <c r="F18" i="2"/>
  <c r="C10" i="2"/>
  <c r="L14" i="2"/>
  <c r="N11" i="2"/>
  <c r="R13" i="2"/>
  <c r="R18" i="2"/>
  <c r="N19" i="2"/>
  <c r="M8" i="2"/>
  <c r="P13" i="2"/>
  <c r="D10" i="2"/>
  <c r="P7" i="2"/>
  <c r="C21" i="2"/>
  <c r="G20" i="2"/>
  <c r="O18" i="2"/>
  <c r="K14" i="2"/>
  <c r="C13" i="2"/>
  <c r="O10" i="2"/>
  <c r="G9" i="2"/>
  <c r="O7" i="2"/>
  <c r="N21" i="2"/>
  <c r="F20" i="2"/>
  <c r="N18" i="2"/>
  <c r="F17" i="2"/>
  <c r="N13" i="2"/>
  <c r="F12" i="2"/>
  <c r="N10" i="2"/>
  <c r="F9" i="2"/>
  <c r="N7" i="2"/>
  <c r="E20" i="2"/>
  <c r="M18" i="2"/>
  <c r="E17" i="2"/>
  <c r="Q12" i="2"/>
  <c r="I11" i="2"/>
  <c r="E9" i="2"/>
  <c r="M7" i="2"/>
  <c r="R19" i="2"/>
  <c r="N17" i="2"/>
  <c r="J13" i="2"/>
  <c r="F11" i="2"/>
  <c r="F8" i="2"/>
  <c r="Q19" i="2"/>
  <c r="Q14" i="2"/>
  <c r="M12" i="2"/>
  <c r="I10" i="2"/>
  <c r="K20" i="2"/>
  <c r="O14" i="2"/>
  <c r="C11" i="2"/>
  <c r="C8" i="2"/>
  <c r="M21" i="2"/>
  <c r="L21" i="2"/>
  <c r="P20" i="2"/>
  <c r="D20" i="2"/>
  <c r="H19" i="2"/>
  <c r="L18" i="2"/>
  <c r="P17" i="2"/>
  <c r="D17" i="2"/>
  <c r="H14" i="2"/>
  <c r="L13" i="2"/>
  <c r="P12" i="2"/>
  <c r="D12" i="2"/>
  <c r="H11" i="2"/>
  <c r="L10" i="2"/>
  <c r="P9" i="2"/>
  <c r="D9" i="2"/>
  <c r="H8" i="2"/>
  <c r="L7" i="2"/>
  <c r="K21" i="2"/>
  <c r="O20" i="2"/>
  <c r="C20" i="2"/>
  <c r="G19" i="2"/>
  <c r="K18" i="2"/>
  <c r="O17" i="2"/>
  <c r="C17" i="2"/>
  <c r="G14" i="2"/>
  <c r="K13" i="2"/>
  <c r="O12" i="2"/>
  <c r="C12" i="2"/>
  <c r="G11" i="2"/>
  <c r="K10" i="2"/>
  <c r="O9" i="2"/>
  <c r="C9" i="2"/>
  <c r="G8" i="2"/>
  <c r="J21" i="2"/>
  <c r="F19" i="2"/>
  <c r="F14" i="2"/>
  <c r="R11" i="2"/>
  <c r="N9" i="2"/>
  <c r="J7" i="2"/>
  <c r="M20" i="2"/>
  <c r="I18" i="2"/>
  <c r="I13" i="2"/>
  <c r="E11" i="2"/>
  <c r="M9" i="2"/>
  <c r="E8" i="2"/>
  <c r="C19" i="2"/>
  <c r="K12" i="2"/>
  <c r="K9" i="2"/>
  <c r="G13" i="2"/>
  <c r="H21" i="2"/>
  <c r="L20" i="2"/>
  <c r="P19" i="2"/>
  <c r="D19" i="2"/>
  <c r="H18" i="2"/>
  <c r="L17" i="2"/>
  <c r="P14" i="2"/>
  <c r="D14" i="2"/>
  <c r="H13" i="2"/>
  <c r="L12" i="2"/>
  <c r="P11" i="2"/>
  <c r="D11" i="2"/>
  <c r="H10" i="2"/>
  <c r="L9" i="2"/>
  <c r="P8" i="2"/>
  <c r="D8" i="2"/>
  <c r="H7" i="2"/>
  <c r="G21" i="2"/>
  <c r="G18" i="2"/>
  <c r="O11" i="2"/>
  <c r="O8" i="2"/>
</calcChain>
</file>

<file path=xl/sharedStrings.xml><?xml version="1.0" encoding="utf-8"?>
<sst xmlns="http://schemas.openxmlformats.org/spreadsheetml/2006/main" count="72" uniqueCount="72">
  <si>
    <t>Right click to show data transparency (not supported for all values)</t>
  </si>
  <si>
    <t>Hang Seng Index (HSI) - Highlights</t>
  </si>
  <si>
    <t>CY 2007</t>
  </si>
  <si>
    <t>CY 2008</t>
  </si>
  <si>
    <t>CY 2009</t>
  </si>
  <si>
    <t>CY 2010</t>
  </si>
  <si>
    <t>CY 2011</t>
  </si>
  <si>
    <t>CY 2012</t>
  </si>
  <si>
    <t>CY 2013</t>
  </si>
  <si>
    <t>CY 2014</t>
  </si>
  <si>
    <t>CY 2015</t>
  </si>
  <si>
    <t>CY 2016</t>
  </si>
  <si>
    <t>CY 2017</t>
  </si>
  <si>
    <t>CY 2018</t>
  </si>
  <si>
    <t>CY 2019</t>
  </si>
  <si>
    <t>CY 2020</t>
  </si>
  <si>
    <t>CY 2021</t>
  </si>
  <si>
    <t>CY 2022</t>
  </si>
  <si>
    <t>Current</t>
  </si>
  <si>
    <t>CY 2023 Est</t>
  </si>
  <si>
    <t>CY 2024 Est</t>
  </si>
  <si>
    <t>CY 2025 Est</t>
  </si>
  <si>
    <t>12 Months Ending</t>
  </si>
  <si>
    <t>12/31/2007</t>
  </si>
  <si>
    <t>12/31/2008</t>
  </si>
  <si>
    <t>12/31/2009</t>
  </si>
  <si>
    <t>12/31/2010</t>
  </si>
  <si>
    <t>12/30/2011</t>
  </si>
  <si>
    <t>12/31/2012</t>
  </si>
  <si>
    <t>12/31/2013</t>
  </si>
  <si>
    <t>12/31/2014</t>
  </si>
  <si>
    <t>12/31/2015</t>
  </si>
  <si>
    <t>12/30/2016</t>
  </si>
  <si>
    <t>12/29/2017</t>
  </si>
  <si>
    <t>12/31/2018</t>
  </si>
  <si>
    <t>12/31/2019</t>
  </si>
  <si>
    <t>12/31/2020</t>
  </si>
  <si>
    <t>12/31/2021</t>
  </si>
  <si>
    <t>12/30/2022</t>
  </si>
  <si>
    <t>11/25/2023</t>
  </si>
  <si>
    <t>12/30/2023</t>
  </si>
  <si>
    <t>12/30/2024</t>
  </si>
  <si>
    <t>12/30/2025</t>
  </si>
  <si>
    <t>Valuation Metrics</t>
  </si>
  <si>
    <t>Price/Earnings</t>
  </si>
  <si>
    <t>INDX_ADJ_PE</t>
  </si>
  <si>
    <t>Price/Earnings before XO, Positive</t>
  </si>
  <si>
    <t>PX_POS_EARN_BEFORE_XO_ITEMS</t>
  </si>
  <si>
    <t>Price/Earnings before XO</t>
  </si>
  <si>
    <t>PE_BEF_XO_AGGTE</t>
  </si>
  <si>
    <t>Price/Book Value</t>
  </si>
  <si>
    <t>PX_TO_BOOK_RATIO</t>
  </si>
  <si>
    <t>EV/Sales</t>
  </si>
  <si>
    <t>EV_TO_T12M_SALES</t>
  </si>
  <si>
    <t>EV/EBIT</t>
  </si>
  <si>
    <t>EV_TO_T12M_EBIT</t>
  </si>
  <si>
    <t>EV/EBITDA</t>
  </si>
  <si>
    <t>EV_TO_T12M_EBITDA</t>
  </si>
  <si>
    <t>Dividend Yield</t>
  </si>
  <si>
    <t>EQY_DVD_YLD_12M</t>
  </si>
  <si>
    <t>Fundamentals</t>
  </si>
  <si>
    <t>Gross Margin</t>
  </si>
  <si>
    <t>GROSS_MARGIN</t>
  </si>
  <si>
    <t>Operating Margin</t>
  </si>
  <si>
    <t>OPER_MARGIN</t>
  </si>
  <si>
    <t>Profit Margin</t>
  </si>
  <si>
    <t>TRAIL_12M_PROF_MARGIN</t>
  </si>
  <si>
    <t>Return on Assets</t>
  </si>
  <si>
    <t>RETURN_ON_ASSET</t>
  </si>
  <si>
    <t>Return on Equity</t>
  </si>
  <si>
    <t>RETURN_COM_EQY</t>
  </si>
  <si>
    <t>Source: Bloomberg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</si>
</sst>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8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6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3" fontId="1" fillId="34" borderId="2">
      <alignment horizontal="right"/>
    </xf>
    <xf numFmtId="4" fontId="1" fillId="34" borderId="2">
      <alignment horizontal="right"/>
    </xf>
    <xf numFmtId="3" fontId="1" fillId="35" borderId="2">
      <alignment horizontal="right"/>
    </xf>
    <xf numFmtId="4" fontId="1" fillId="35" borderId="2">
      <alignment horizontal="right"/>
    </xf>
    <xf numFmtId="3" fontId="7" fillId="34" borderId="2">
      <alignment horizontal="right"/>
    </xf>
    <xf numFmtId="3" fontId="7" fillId="35" borderId="2">
      <alignment horizontal="right"/>
    </xf>
  </cellStyleXfs>
  <cellXfs count="17">
    <xf numFmtId="0" fontId="0" fillId="0" borderId="0" xfId="0"/>
    <xf numFmtId="0" fontId="2" fillId="33" borderId="0" xfId="26" applyNumberFormat="1" applyFont="1" applyFill="1" applyBorder="1" applyAlignment="1" applyProtection="1"/>
    <xf numFmtId="0" fontId="5" fillId="34" borderId="0" xfId="31" applyFont="1" applyFill="1" applyAlignment="1">
      <alignment horizontal="center"/>
    </xf>
    <xf numFmtId="0" fontId="6" fillId="33" borderId="3" xfId="33" applyNumberFormat="1" applyFont="1" applyFill="1" applyBorder="1" applyAlignment="1" applyProtection="1">
      <alignment horizontal="left"/>
    </xf>
    <xf numFmtId="0" fontId="6" fillId="33" borderId="3" xfId="32" applyNumberFormat="1" applyFont="1" applyFill="1" applyBorder="1" applyAlignment="1" applyProtection="1">
      <alignment horizontal="right"/>
    </xf>
    <xf numFmtId="0" fontId="6" fillId="33" borderId="1" xfId="30" applyNumberFormat="1" applyFont="1" applyFill="1" applyBorder="1" applyAlignment="1" applyProtection="1">
      <alignment horizontal="right"/>
    </xf>
    <xf numFmtId="0" fontId="7" fillId="34" borderId="5" xfId="35" applyNumberFormat="1" applyFont="1" applyFill="1" applyBorder="1" applyAlignment="1" applyProtection="1"/>
    <xf numFmtId="0" fontId="9" fillId="36" borderId="4" xfId="34" applyFont="1" applyFill="1" applyBorder="1"/>
    <xf numFmtId="0" fontId="4" fillId="33" borderId="15" xfId="50" applyFont="1" applyFill="1" applyBorder="1" applyAlignment="1">
      <alignment horizontal="left" vertical="center" readingOrder="1"/>
    </xf>
    <xf numFmtId="0" fontId="6" fillId="33" borderId="1" xfId="51">
      <alignment horizontal="left"/>
    </xf>
    <xf numFmtId="0" fontId="3" fillId="34" borderId="5" xfId="36" applyNumberFormat="1" applyFont="1" applyFill="1" applyBorder="1" applyAlignment="1" applyProtection="1"/>
    <xf numFmtId="3" fontId="1" fillId="34" borderId="2" xfId="52" applyNumberFormat="1" applyFont="1" applyFill="1" applyBorder="1" applyAlignment="1" applyProtection="1">
      <alignment horizontal="right"/>
    </xf>
    <xf numFmtId="4" fontId="1" fillId="34" borderId="2" xfId="53" applyNumberFormat="1" applyFont="1" applyFill="1" applyBorder="1" applyAlignment="1" applyProtection="1">
      <alignment horizontal="right"/>
    </xf>
    <xf numFmtId="3" fontId="1" fillId="35" borderId="2" xfId="54" applyNumberFormat="1" applyFont="1" applyFill="1" applyBorder="1" applyAlignment="1" applyProtection="1">
      <alignment horizontal="right"/>
    </xf>
    <xf numFmtId="4" fontId="1" fillId="35" borderId="2" xfId="55" applyNumberFormat="1" applyFont="1" applyFill="1" applyBorder="1" applyAlignment="1" applyProtection="1">
      <alignment horizontal="right"/>
    </xf>
    <xf numFmtId="3" fontId="7" fillId="34" borderId="2" xfId="56" applyNumberFormat="1" applyFont="1" applyFill="1" applyBorder="1" applyAlignment="1" applyProtection="1">
      <alignment horizontal="right"/>
    </xf>
    <xf numFmtId="3" fontId="7" fillId="35" borderId="2" xfId="57" applyNumberFormat="1" applyFont="1" applyFill="1" applyBorder="1" applyAlignment="1" applyProtection="1">
      <alignment horizontal="right"/>
    </xf>
  </cellXfs>
  <cellStyles count="5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1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6" xr:uid="{00000000-0005-0000-0000-000023000000}"/>
    <cellStyle name="fa_data_current_bold_0_grouped" xfId="57" xr:uid="{00000000-0005-0000-0000-000024000000}"/>
    <cellStyle name="fa_data_current_standard_0_grouped" xfId="54" xr:uid="{00000000-0005-0000-0000-000025000000}"/>
    <cellStyle name="fa_data_current_standard_2_grouped" xfId="55" xr:uid="{00000000-0005-0000-0000-000026000000}"/>
    <cellStyle name="fa_data_standard_0_grouped" xfId="52" xr:uid="{00000000-0005-0000-0000-000027000000}"/>
    <cellStyle name="fa_data_standard_2_grouped" xfId="53" xr:uid="{00000000-0005-0000-0000-000028000000}"/>
    <cellStyle name="fa_footer_italic" xfId="34" xr:uid="{00000000-0005-0000-0000-000029000000}"/>
    <cellStyle name="fa_row_header_bold" xfId="35" xr:uid="{00000000-0005-0000-0000-00002A000000}"/>
    <cellStyle name="fa_row_header_standard" xfId="36" xr:uid="{00000000-0005-0000-0000-00002B000000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BDH|16131388252473967932</stp>
        <tr r="O10" s="2"/>
      </tp>
      <tp t="s">
        <v>#N/A N/A</v>
        <stp/>
        <stp>BDH|13271841297789412108</stp>
        <tr r="F19" s="2"/>
      </tp>
      <tp t="s">
        <v>#N/A N/A</v>
        <stp/>
        <stp>BDH|13622865971325306350</stp>
        <tr r="E8" s="2"/>
      </tp>
      <tp t="s">
        <v>#N/A N/A</v>
        <stp/>
        <stp>BDH|10307972519315358716</stp>
        <tr r="R20" s="2"/>
      </tp>
      <tp t="s">
        <v>#N/A N/A</v>
        <stp/>
        <stp>BDH|15631147984360467706</stp>
        <tr r="D18" s="2"/>
      </tp>
      <tp t="s">
        <v>#N/A N/A</v>
        <stp/>
        <stp>BDH|16078825741629565838</stp>
        <tr r="Q9" s="2"/>
      </tp>
      <tp t="s">
        <v>#N/A N/A</v>
        <stp/>
        <stp>BDH|15509452893533744010</stp>
        <tr r="N18" s="2"/>
      </tp>
      <tp t="s">
        <v>#N/A N/A</v>
        <stp/>
        <stp>BDH|16724275873068246091</stp>
        <tr r="I13" s="2"/>
      </tp>
      <tp t="s">
        <v>#N/A N/A</v>
        <stp/>
        <stp>BDH|10339802653575935325</stp>
        <tr r="K11" s="2"/>
      </tp>
      <tp t="s">
        <v>#N/A N/A</v>
        <stp/>
        <stp>BDH|12425625592812409735</stp>
        <tr r="G8" s="2"/>
      </tp>
      <tp t="s">
        <v>#N/A N/A</v>
        <stp/>
        <stp>BDH|13500237097942384266</stp>
        <tr r="M19" s="2"/>
      </tp>
      <tp t="s">
        <v>#N/A N/A</v>
        <stp/>
        <stp>BDH|15703162889386790267</stp>
        <tr r="R19" s="2"/>
      </tp>
      <tp t="s">
        <v>#N/A N/A</v>
        <stp/>
        <stp>BDH|14902384114577429993</stp>
        <tr r="G17" s="2"/>
      </tp>
      <tp t="s">
        <v>#N/A N/A</v>
        <stp/>
        <stp>BDH|16073349676569776256</stp>
        <tr r="C21" s="2"/>
      </tp>
      <tp t="s">
        <v>#N/A N/A</v>
        <stp/>
        <stp>BDH|17744896355356305513</stp>
        <tr r="C13" s="2"/>
      </tp>
      <tp t="s">
        <v>#N/A N/A</v>
        <stp/>
        <stp>BDH|12356046396717232595</stp>
        <tr r="J17" s="2"/>
      </tp>
      <tp t="s">
        <v>#N/A N/A</v>
        <stp/>
        <stp>BDH|14429203986600532782</stp>
        <tr r="G13" s="2"/>
      </tp>
      <tp t="s">
        <v>#N/A N/A</v>
        <stp/>
        <stp>BDH|10376889160676244688</stp>
        <tr r="I12" s="2"/>
      </tp>
      <tp t="s">
        <v>#N/A N/A</v>
        <stp/>
        <stp>BDH|10317819322110720415</stp>
        <tr r="H8" s="2"/>
      </tp>
      <tp t="s">
        <v>#N/A N/A</v>
        <stp/>
        <stp>BDH|14120880843000983659</stp>
        <tr r="Q10" s="2"/>
      </tp>
      <tp t="s">
        <v>#N/A N/A</v>
        <stp/>
        <stp>BDH|10249598911109912395</stp>
        <tr r="D12" s="2"/>
      </tp>
      <tp t="s">
        <v>#N/A N/A</v>
        <stp/>
        <stp>BDH|12841408898226362795</stp>
        <tr r="N11" s="2"/>
      </tp>
      <tp t="s">
        <v>#N/A N/A</v>
        <stp/>
        <stp>BDH|13177928307174873068</stp>
        <tr r="K10" s="2"/>
      </tp>
      <tp t="s">
        <v>#N/A N/A</v>
        <stp/>
        <stp>BDH|14097965141541982627</stp>
        <tr r="L13" s="2"/>
      </tp>
      <tp t="s">
        <v>#N/A N/A</v>
        <stp/>
        <stp>BDH|15871830972385063165</stp>
        <tr r="P7" s="2"/>
      </tp>
      <tp t="s">
        <v>#N/A N/A</v>
        <stp/>
        <stp>BDH|11517260033519942779</stp>
        <tr r="R17" s="2"/>
      </tp>
      <tp t="s">
        <v>#N/A N/A</v>
        <stp/>
        <stp>BDH|15774212327503777966</stp>
        <tr r="H13" s="2"/>
      </tp>
      <tp t="s">
        <v>#N/A N/A</v>
        <stp/>
        <stp>BDH|13744134086025852086</stp>
        <tr r="M14" s="2"/>
      </tp>
      <tp t="s">
        <v>#N/A N/A</v>
        <stp/>
        <stp>BDH|16466948519887921625</stp>
        <tr r="D9" s="2"/>
      </tp>
      <tp t="s">
        <v>#N/A N/A</v>
        <stp/>
        <stp>BDH|16603677751739514317</stp>
        <tr r="O12" s="2"/>
      </tp>
      <tp t="s">
        <v>#N/A N/A</v>
        <stp/>
        <stp>BDH|17459810271616316106</stp>
        <tr r="K17" s="2"/>
      </tp>
      <tp t="s">
        <v>#N/A N/A</v>
        <stp/>
        <stp>BDH|18139693173454286230</stp>
        <tr r="L8" s="2"/>
      </tp>
      <tp t="s">
        <v>#N/A N/A</v>
        <stp/>
        <stp>BDH|15200910718644357625</stp>
        <tr r="E21" s="2"/>
      </tp>
      <tp t="s">
        <v>#N/A N/A</v>
        <stp/>
        <stp>BDH|11223472055326628981</stp>
        <tr r="D10" s="2"/>
      </tp>
      <tp t="s">
        <v>#N/A N/A</v>
        <stp/>
        <stp>BDH|18119207950831429261</stp>
        <tr r="O17" s="2"/>
      </tp>
      <tp t="s">
        <v>#N/A N/A</v>
        <stp/>
        <stp>BDH|15154818604185107473</stp>
        <tr r="E14" s="2"/>
      </tp>
      <tp t="s">
        <v>#N/A N/A</v>
        <stp/>
        <stp>BDH|16160435386671005760</stp>
        <tr r="I7" s="2"/>
      </tp>
      <tp t="s">
        <v>#N/A N/A</v>
        <stp/>
        <stp>BDH|17529571569571976970</stp>
        <tr r="L10" s="2"/>
      </tp>
      <tp t="s">
        <v>#N/A N/A</v>
        <stp/>
        <stp>BDH|17712636782233122631</stp>
        <tr r="R11" s="2"/>
      </tp>
      <tp t="s">
        <v>#N/A N/A</v>
        <stp/>
        <stp>BDH|17282241819221150979</stp>
        <tr r="J21" s="2"/>
      </tp>
      <tp t="s">
        <v>#N/A N/A</v>
        <stp/>
        <stp>BDH|13886468704923167801</stp>
        <tr r="I20" s="2"/>
      </tp>
      <tp t="s">
        <v>#N/A N/A</v>
        <stp/>
        <stp>BDH|10537834110916696241</stp>
        <tr r="O19" s="2"/>
      </tp>
      <tp t="s">
        <v>#N/A N/A</v>
        <stp/>
        <stp>BDH|11340591758388568403</stp>
        <tr r="M12" s="2"/>
      </tp>
      <tp t="s">
        <v>#N/A N/A</v>
        <stp/>
        <stp>BDH|15608355091330993273</stp>
        <tr r="F17" s="2"/>
      </tp>
      <tp t="s">
        <v>#N/A N/A</v>
        <stp/>
        <stp>BDH|13359003017586611635</stp>
        <tr r="C8" s="2"/>
      </tp>
      <tp t="s">
        <v>#N/A N/A</v>
        <stp/>
        <stp>BDH|15627564625299504905</stp>
        <tr r="O9" s="2"/>
      </tp>
      <tp t="s">
        <v>#N/A N/A</v>
        <stp/>
        <stp>BDH|13336109656960244507</stp>
        <tr r="E13" s="2"/>
      </tp>
      <tp t="s">
        <v>#N/A N/A</v>
        <stp/>
        <stp>BDH|16869265660421057135</stp>
        <tr r="N12" s="2"/>
      </tp>
      <tp t="s">
        <v>#N/A N/A</v>
        <stp/>
        <stp>BDH|16954452329555188787</stp>
        <tr r="R14" s="2"/>
      </tp>
      <tp t="s">
        <v>#N/A N/A</v>
        <stp/>
        <stp>BDH|15035003473090965059</stp>
        <tr r="P9" s="2"/>
      </tp>
      <tp t="s">
        <v>#N/A N/A</v>
        <stp/>
        <stp>BDH|11565429208185562248</stp>
        <tr r="N8" s="2"/>
      </tp>
      <tp t="s">
        <v>#N/A N/A</v>
        <stp/>
        <stp>BDH|17399419753147147211</stp>
        <tr r="L12" s="2"/>
      </tp>
      <tp t="s">
        <v>#N/A N/A</v>
        <stp/>
        <stp>BDH|14631009365287426625</stp>
        <tr r="Q14" s="2"/>
      </tp>
      <tp t="s">
        <v>#N/A N/A</v>
        <stp/>
        <stp>BDH|12040765361190639068</stp>
        <tr r="P20" s="2"/>
      </tp>
      <tp t="s">
        <v>#N/A N/A</v>
        <stp/>
        <stp>BDH|11222437707526226030</stp>
        <tr r="O18" s="2"/>
      </tp>
      <tp t="s">
        <v>#N/A N/A</v>
        <stp/>
        <stp>BDH|15515745339501332301</stp>
        <tr r="K19" s="2"/>
      </tp>
      <tp t="s">
        <v>#N/A N/A</v>
        <stp/>
        <stp>BDH|10193531811582436677</stp>
        <tr r="H18" s="2"/>
      </tp>
      <tp t="s">
        <v>#N/A N/A</v>
        <stp/>
        <stp>BDH|12222561729364960145</stp>
        <tr r="M18" s="2"/>
      </tp>
      <tp t="s">
        <v>#N/A N/A</v>
        <stp/>
        <stp>BDH|13136077660011425407</stp>
        <tr r="G21" s="2"/>
      </tp>
      <tp t="s">
        <v>#N/A N/A</v>
        <stp/>
        <stp>BDH|12134116271217323358</stp>
        <tr r="J7" s="2"/>
      </tp>
      <tp t="s">
        <v>#N/A N/A</v>
        <stp/>
        <stp>BDH|13917795945600937073</stp>
        <tr r="P21" s="2"/>
      </tp>
      <tp t="s">
        <v>#N/A N/A</v>
        <stp/>
        <stp>BDH|14544440402562914217</stp>
        <tr r="J20" s="2"/>
      </tp>
      <tp t="s">
        <v>#N/A N/A</v>
        <stp/>
        <stp>BDH|10732906292167849730</stp>
        <tr r="J8" s="2"/>
      </tp>
      <tp t="s">
        <v>#N/A N/A</v>
        <stp/>
        <stp>BDH|16917272334291481783</stp>
        <tr r="I21" s="2"/>
      </tp>
      <tp t="s">
        <v>#N/A N/A</v>
        <stp/>
        <stp>BDH|16538762452206134360</stp>
        <tr r="P14" s="2"/>
      </tp>
      <tp t="s">
        <v>#N/A N/A</v>
        <stp/>
        <stp>BDH|12511037339085502523</stp>
        <tr r="N7" s="2"/>
      </tp>
      <tp t="s">
        <v>#N/A N/A</v>
        <stp/>
        <stp>BDH|12888736748494844409</stp>
        <tr r="D13" s="2"/>
      </tp>
      <tp t="s">
        <v>#N/A N/A</v>
        <stp/>
        <stp>BDH|10980059463994763338</stp>
        <tr r="G12" s="2"/>
      </tp>
      <tp t="s">
        <v>#N/A N/A</v>
        <stp/>
        <stp>BDH|13236520415844764286</stp>
        <tr r="R8" s="2"/>
      </tp>
      <tp t="s">
        <v>#N/A N/A</v>
        <stp/>
        <stp>BDH|16428052094790439915</stp>
        <tr r="H9" s="2"/>
      </tp>
      <tp t="s">
        <v>#N/A N/A</v>
        <stp/>
        <stp>BDH|16648113855920075428</stp>
        <tr r="N20" s="2"/>
      </tp>
      <tp t="s">
        <v>#N/A N/A</v>
        <stp/>
        <stp>BDH|12498555031822023033</stp>
        <tr r="H20" s="2"/>
      </tp>
      <tp t="s">
        <v>#N/A N/A</v>
        <stp/>
        <stp>BDH|17526259239305850530</stp>
        <tr r="L11" s="2"/>
      </tp>
      <tp t="s">
        <v>#N/A N/A</v>
        <stp/>
        <stp>BDH|16395860595090660137</stp>
        <tr r="J10" s="2"/>
      </tp>
      <tp t="s">
        <v>#N/A N/A</v>
        <stp/>
        <stp>BDH|16590599522800919735</stp>
        <tr r="E19" s="2"/>
      </tp>
      <tp t="s">
        <v>#N/A N/A</v>
        <stp/>
        <stp>BDH|16199895757729514427</stp>
        <tr r="C11" s="2"/>
      </tp>
      <tp t="s">
        <v>#N/A N/A</v>
        <stp/>
        <stp>BDH|16982743809714982319</stp>
        <tr r="N9" s="2"/>
      </tp>
      <tp t="s">
        <v>#N/A N/A</v>
        <stp/>
        <stp>BDH|15881305472071698622</stp>
        <tr r="L9" s="2"/>
      </tp>
      <tp t="s">
        <v>#N/A N/A</v>
        <stp/>
        <stp>BDH|10352579356501272619</stp>
        <tr r="K13" s="2"/>
      </tp>
      <tp t="s">
        <v>#N/A N/A</v>
        <stp/>
        <stp>BDH|18228046582061280667</stp>
        <tr r="G11" s="2"/>
      </tp>
      <tp t="s">
        <v>#N/A N/A</v>
        <stp/>
        <stp>BDH|14266754667980184241</stp>
        <tr r="P13" s="2"/>
      </tp>
      <tp t="s">
        <v>#N/A N/A</v>
        <stp/>
        <stp>BDH|16874471587434512985</stp>
        <tr r="J14" s="2"/>
      </tp>
      <tp t="s">
        <v>#N/A N/A</v>
        <stp/>
        <stp>BDH|15767793827951065621</stp>
        <tr r="I10" s="2"/>
      </tp>
      <tp t="s">
        <v>#N/A N/A</v>
        <stp/>
        <stp>BDH|17392491935167567017</stp>
        <tr r="O21" s="2"/>
      </tp>
      <tp t="s">
        <v>#N/A N/A</v>
        <stp/>
        <stp>BDH|11898472451946495115</stp>
        <tr r="O14" s="2"/>
      </tp>
      <tp t="s">
        <v>#N/A N/A</v>
        <stp/>
        <stp>BDH|11541849685067075182</stp>
        <tr r="Q12" s="2"/>
      </tp>
      <tp t="s">
        <v>#N/A N/A</v>
        <stp/>
        <stp>BDH|11864178506105666216</stp>
        <tr r="R12" s="2"/>
      </tp>
      <tp t="s">
        <v>#N/A N/A</v>
        <stp/>
        <stp>BDH|12370485740935591000</stp>
        <tr r="D11" s="2"/>
      </tp>
      <tp t="s">
        <v>#N/A N/A</v>
        <stp/>
        <stp>BDH|16944887384823669125</stp>
        <tr r="H10" s="2"/>
      </tp>
      <tp t="s">
        <v>#N/A N/A</v>
        <stp/>
        <stp>BDH|16575348150566868292</stp>
        <tr r="D14" s="2"/>
      </tp>
      <tp t="s">
        <v>#N/A N/A</v>
        <stp/>
        <stp>BDH|14798673065524023436</stp>
        <tr r="E11" s="2"/>
      </tp>
      <tp t="s">
        <v>#N/A N/A</v>
        <stp/>
        <stp>BDH|17224706320096953001</stp>
        <tr r="F9" s="2"/>
      </tp>
      <tp t="s">
        <v>#N/A N/A</v>
        <stp/>
        <stp>BDH|13181260577364312695</stp>
        <tr r="L20" s="2"/>
      </tp>
      <tp t="s">
        <v>#N/A N/A</v>
        <stp/>
        <stp>BDH|15098845144879792487</stp>
        <tr r="E12" s="2"/>
      </tp>
      <tp t="s">
        <v>#N/A N/A</v>
        <stp/>
        <stp>BDH|17072190852441351794</stp>
        <tr r="O20" s="2"/>
      </tp>
      <tp t="s">
        <v>#N/A N/A</v>
        <stp/>
        <stp>BDH|18315745393741842275</stp>
        <tr r="C10" s="2"/>
      </tp>
      <tp t="s">
        <v>#N/A N/A</v>
        <stp/>
        <stp>BDH|16376518708191332729</stp>
        <tr r="N13" s="2"/>
      </tp>
      <tp t="s">
        <v>#N/A N/A</v>
        <stp/>
        <stp>BDH|12395669106885994402</stp>
        <tr r="M13" s="2"/>
      </tp>
      <tp t="s">
        <v>#N/A N/A</v>
        <stp/>
        <stp>BDH|15541051141072932661</stp>
        <tr r="D8" s="2"/>
      </tp>
    </main>
    <main first="bofaddin.rtdserver">
      <tp t="s">
        <v>#N/A N/A</v>
        <stp/>
        <stp>BDH|4372859253957911248</stp>
        <tr r="D7" s="2"/>
      </tp>
      <tp t="s">
        <v>#N/A N/A</v>
        <stp/>
        <stp>BDH|8277035478242548122</stp>
        <tr r="R7" s="2"/>
      </tp>
      <tp t="s">
        <v>#N/A N/A</v>
        <stp/>
        <stp>BDH|9316248030372670638</stp>
        <tr r="H11" s="2"/>
      </tp>
      <tp t="s">
        <v>#N/A N/A</v>
        <stp/>
        <stp>BDH|2986475899970639314</stp>
        <tr r="G14" s="2"/>
      </tp>
      <tp t="s">
        <v>#N/A N/A</v>
        <stp/>
        <stp>BDH|9707136996294173934</stp>
        <tr r="F8" s="2"/>
      </tp>
      <tp t="s">
        <v>#N/A N/A</v>
        <stp/>
        <stp>BDH|1493976934597339047</stp>
        <tr r="F13" s="2"/>
      </tp>
      <tp t="s">
        <v>#N/A N/A</v>
        <stp/>
        <stp>BDH|1183535494919655869</stp>
        <tr r="C7" s="2"/>
      </tp>
      <tp t="s">
        <v>#N/A N/A</v>
        <stp/>
        <stp>BDH|8758761823982995200</stp>
        <tr r="P8" s="2"/>
      </tp>
      <tp t="s">
        <v>#N/A N/A</v>
        <stp/>
        <stp>BDH|6741705206669046599</stp>
        <tr r="C19" s="2"/>
      </tp>
      <tp t="s">
        <v>#N/A N/A</v>
        <stp/>
        <stp>BDH|6076083486633484031</stp>
        <tr r="N10" s="2"/>
      </tp>
      <tp t="s">
        <v>#N/A N/A</v>
        <stp/>
        <stp>BDH|9649865477088855325</stp>
        <tr r="I11" s="2"/>
      </tp>
      <tp t="s">
        <v>#N/A N/A</v>
        <stp/>
        <stp>BDH|1466521205058688186</stp>
        <tr r="P12" s="2"/>
      </tp>
      <tp t="s">
        <v>#N/A N/A</v>
        <stp/>
        <stp>BDH|5546745380105351200</stp>
        <tr r="H12" s="2"/>
      </tp>
      <tp t="s">
        <v>#N/A N/A</v>
        <stp/>
        <stp>BDH|9045758524952746335</stp>
        <tr r="C9" s="2"/>
      </tp>
      <tp t="s">
        <v>#N/A N/A</v>
        <stp/>
        <stp>BDH|8980745114315177510</stp>
        <tr r="Q11" s="2"/>
      </tp>
      <tp t="s">
        <v>#N/A N/A</v>
        <stp/>
        <stp>BDH|8964097319504610317</stp>
        <tr r="D20" s="2"/>
      </tp>
      <tp t="s">
        <v>#N/A N/A</v>
        <stp/>
        <stp>BDH|9460380303752452648</stp>
        <tr r="L17" s="2"/>
      </tp>
      <tp t="s">
        <v>#N/A N/A</v>
        <stp/>
        <stp>BDH|5731875729707660609</stp>
        <tr r="I18" s="2"/>
      </tp>
      <tp t="s">
        <v>#N/A N/A</v>
        <stp/>
        <stp>BDH|8308018208780293681</stp>
        <tr r="I8" s="2"/>
      </tp>
      <tp t="s">
        <v>#N/A N/A</v>
        <stp/>
        <stp>BDH|5007848850140533678</stp>
        <tr r="F10" s="2"/>
      </tp>
      <tp t="s">
        <v>#N/A N/A</v>
        <stp/>
        <stp>BDH|5718950931420479109</stp>
        <tr r="Q21" s="2"/>
      </tp>
      <tp t="s">
        <v>#N/A N/A</v>
        <stp/>
        <stp>BDH|1789947660496817714</stp>
        <tr r="R21" s="2"/>
      </tp>
      <tp t="s">
        <v>#N/A N/A</v>
        <stp/>
        <stp>BDH|2845860452410658016</stp>
        <tr r="K7" s="2"/>
      </tp>
      <tp t="s">
        <v>#N/A N/A</v>
        <stp/>
        <stp>BDH|9749681838292878147</stp>
        <tr r="K9" s="2"/>
      </tp>
      <tp t="s">
        <v>#N/A N/A</v>
        <stp/>
        <stp>BDH|1265913358286046404</stp>
        <tr r="I9" s="2"/>
      </tp>
      <tp t="s">
        <v>#N/A N/A</v>
        <stp/>
        <stp>BDH|9963630306493334370</stp>
        <tr r="F20" s="2"/>
      </tp>
      <tp t="s">
        <v>#N/A N/A</v>
        <stp/>
        <stp>BDH|8524064264642961371</stp>
        <tr r="F14" s="2"/>
      </tp>
      <tp t="s">
        <v>#N/A N/A</v>
        <stp/>
        <stp>BDH|6049998988619445141</stp>
        <tr r="K14" s="2"/>
      </tp>
      <tp t="s">
        <v>#N/A N/A</v>
        <stp/>
        <stp>BDH|2708464314438612063</stp>
        <tr r="N21" s="2"/>
      </tp>
      <tp t="s">
        <v>#N/A N/A</v>
        <stp/>
        <stp>BDH|7934482604823494828</stp>
        <tr r="F11" s="2"/>
      </tp>
      <tp t="s">
        <v>#N/A N/A</v>
        <stp/>
        <stp>BDH|5216829237332598421</stp>
        <tr r="L19" s="2"/>
      </tp>
      <tp t="s">
        <v>#N/A N/A</v>
        <stp/>
        <stp>BDH|3404133325661515965</stp>
        <tr r="D17" s="2"/>
      </tp>
      <tp t="s">
        <v>#N/A N/A</v>
        <stp/>
        <stp>BDH|4255187494114657092</stp>
        <tr r="P11" s="2"/>
      </tp>
      <tp t="s">
        <v>#N/A N/A</v>
        <stp/>
        <stp>BDH|1143009158659800551</stp>
        <tr r="Q17" s="2"/>
      </tp>
      <tp t="s">
        <v>#N/A N/A</v>
        <stp/>
        <stp>BDH|4406336451339966257</stp>
        <tr r="N19" s="2"/>
      </tp>
      <tp t="s">
        <v>#N/A N/A</v>
        <stp/>
        <stp>BDH|7331994467689612816</stp>
        <tr r="O7" s="2"/>
      </tp>
      <tp t="s">
        <v>#N/A N/A</v>
        <stp/>
        <stp>BDH|7057740802801966879</stp>
        <tr r="E9" s="2"/>
      </tp>
      <tp t="s">
        <v>#N/A N/A</v>
        <stp/>
        <stp>BDH|3037551323158279575</stp>
        <tr r="M11" s="2"/>
      </tp>
      <tp t="s">
        <v>#N/A N/A</v>
        <stp/>
        <stp>BDH|9336566360394544719</stp>
        <tr r="M17" s="2"/>
      </tp>
      <tp t="s">
        <v>#N/A N/A</v>
        <stp/>
        <stp>BDH|4048747683833472179</stp>
        <tr r="M9" s="2"/>
      </tp>
      <tp t="s">
        <v>#N/A N/A</v>
        <stp/>
        <stp>BDH|9679777579946092504</stp>
        <tr r="R13" s="2"/>
      </tp>
      <tp t="s">
        <v>#N/A N/A</v>
        <stp/>
        <stp>BDH|6425384380083137444</stp>
        <tr r="G7" s="2"/>
      </tp>
      <tp t="s">
        <v>#N/A N/A</v>
        <stp/>
        <stp>BDH|9432299334771686316</stp>
        <tr r="E10" s="2"/>
      </tp>
      <tp t="s">
        <v>#N/A N/A</v>
        <stp/>
        <stp>BDH|3785353309488576201</stp>
        <tr r="F12" s="2"/>
      </tp>
      <tp t="s">
        <v>#N/A N/A</v>
        <stp/>
        <stp>BDH|2991907342360791537</stp>
        <tr r="R9" s="2"/>
      </tp>
      <tp t="s">
        <v>#N/A N/A</v>
        <stp/>
        <stp>BDH|4643785262416299982</stp>
        <tr r="M7" s="2"/>
      </tp>
      <tp t="s">
        <v>#N/A N/A</v>
        <stp/>
        <stp>BDH|3690840664556459095</stp>
        <tr r="I17" s="2"/>
      </tp>
      <tp t="s">
        <v>#N/A N/A</v>
        <stp/>
        <stp>BDH|6453584191631859085</stp>
        <tr r="I14" s="2"/>
      </tp>
      <tp t="s">
        <v>#N/A N/A</v>
        <stp/>
        <stp>BDH|6153872193299862504</stp>
        <tr r="Q13" s="2"/>
      </tp>
      <tp t="s">
        <v>#N/A N/A</v>
        <stp/>
        <stp>BDH|7478294918826416928</stp>
        <tr r="F7" s="2"/>
      </tp>
      <tp t="s">
        <v>#N/A N/A</v>
        <stp/>
        <stp>BDH|7339854919700671590</stp>
        <tr r="J13" s="2"/>
      </tp>
      <tp t="s">
        <v>#N/A N/A</v>
        <stp/>
        <stp>BDH|1525495505122319310</stp>
        <tr r="P10" s="2"/>
      </tp>
      <tp t="s">
        <v>#N/A N/A</v>
        <stp/>
        <stp>BDH|6013498777297420627</stp>
        <tr r="C14" s="2"/>
      </tp>
      <tp t="s">
        <v>#N/A N/A</v>
        <stp/>
        <stp>BDH|4709082747685329155</stp>
        <tr r="Q7" s="2"/>
      </tp>
      <tp t="s">
        <v>#N/A N/A</v>
        <stp/>
        <stp>BDH|5013065424165068600</stp>
        <tr r="G9" s="2"/>
      </tp>
      <tp t="s">
        <v>#N/A N/A</v>
        <stp/>
        <stp>BDH|5287478044703761244</stp>
        <tr r="Q8" s="2"/>
      </tp>
      <tp t="s">
        <v>#N/A N/A</v>
        <stp/>
        <stp>BDH|2544397556546804614</stp>
        <tr r="I19" s="2"/>
      </tp>
      <tp t="s">
        <v>#N/A N/A</v>
        <stp/>
        <stp>BDH|7396039726114187546</stp>
        <tr r="G10" s="2"/>
      </tp>
      <tp t="s">
        <v>#N/A N/A</v>
        <stp/>
        <stp>BDH|4199434675912038177</stp>
        <tr r="R18" s="2"/>
      </tp>
      <tp t="s">
        <v>#N/A N/A</v>
        <stp/>
        <stp>BDH|6261000412212568144</stp>
        <tr r="P19" s="2"/>
      </tp>
      <tp t="s">
        <v>#N/A N/A</v>
        <stp/>
        <stp>BDH|3717420869001489492</stp>
        <tr r="P17" s="2"/>
      </tp>
      <tp t="s">
        <v>#N/A N/A</v>
        <stp/>
        <stp>BDH|4325644490276054915</stp>
        <tr r="E20" s="2"/>
      </tp>
      <tp t="s">
        <v>#N/A N/A</v>
        <stp/>
        <stp>BDH|5924181472596183141</stp>
        <tr r="G20" s="2"/>
      </tp>
      <tp t="s">
        <v>#N/A N/A</v>
        <stp/>
        <stp>BDH|9136182046580346974</stp>
        <tr r="P18" s="2"/>
      </tp>
      <tp t="s">
        <v>#N/A N/A</v>
        <stp/>
        <stp>BDH|4831182149236974281</stp>
        <tr r="H21" s="2"/>
      </tp>
      <tp t="s">
        <v>#N/A N/A</v>
        <stp/>
        <stp>BDH|8051183982387774308</stp>
        <tr r="G19" s="2"/>
      </tp>
      <tp t="s">
        <v>#N/A N/A</v>
        <stp/>
        <stp>BDH|3741172795696445835</stp>
        <tr r="L18" s="2"/>
      </tp>
      <tp t="s">
        <v>#N/A N/A</v>
        <stp/>
        <stp>BDH|1525754137213552304</stp>
        <tr r="M8" s="2"/>
      </tp>
      <tp t="s">
        <v>#N/A N/A</v>
        <stp/>
        <stp>BDH|1133177002912497711</stp>
        <tr r="C20" s="2"/>
      </tp>
      <tp t="s">
        <v>#N/A N/A</v>
        <stp/>
        <stp>BDH|2704529771403584600</stp>
        <tr r="M21" s="2"/>
      </tp>
      <tp t="s">
        <v>#N/A N/A</v>
        <stp/>
        <stp>BDH|2522278260273672007</stp>
        <tr r="F18" s="2"/>
      </tp>
      <tp t="s">
        <v>#N/A N/A</v>
        <stp/>
        <stp>BDH|9318153387304679290</stp>
        <tr r="Q19" s="2"/>
      </tp>
      <tp t="s">
        <v>#N/A N/A</v>
        <stp/>
        <stp>BDH|5382685570962467031</stp>
        <tr r="G18" s="2"/>
      </tp>
      <tp t="s">
        <v>#N/A N/A</v>
        <stp/>
        <stp>BDH|1771074410984807251</stp>
        <tr r="C17" s="2"/>
      </tp>
      <tp t="s">
        <v>#N/A N/A</v>
        <stp/>
        <stp>BDH|2319376557582091012</stp>
        <tr r="C12" s="2"/>
      </tp>
      <tp t="s">
        <v>#N/A N/A</v>
        <stp/>
        <stp>BDH|1681647175672614419</stp>
        <tr r="R10" s="2"/>
      </tp>
      <tp t="s">
        <v>#N/A N/A</v>
        <stp/>
        <stp>BDH|8874009337599076555</stp>
        <tr r="O13" s="2"/>
      </tp>
      <tp t="s">
        <v>#N/A N/A</v>
        <stp/>
        <stp>BDH|1461141250255952718</stp>
        <tr r="J9" s="2"/>
      </tp>
      <tp t="s">
        <v>#N/A N/A</v>
        <stp/>
        <stp>BDH|1644303358714757419</stp>
        <tr r="K18" s="2"/>
      </tp>
      <tp t="s">
        <v>#N/A N/A</v>
        <stp/>
        <stp>BDH|8633296285795456094</stp>
        <tr r="O8" s="2"/>
      </tp>
      <tp t="s">
        <v>#N/A N/A</v>
        <stp/>
        <stp>BDH|5371010343872860375</stp>
        <tr r="O11" s="2"/>
      </tp>
      <tp t="s">
        <v>#N/A N/A</v>
        <stp/>
        <stp>BDH|8215309072495500993</stp>
        <tr r="J19" s="2"/>
      </tp>
      <tp t="s">
        <v>#N/A N/A</v>
        <stp/>
        <stp>BDH|8897738379639150130</stp>
        <tr r="H19" s="2"/>
      </tp>
      <tp t="s">
        <v>#N/A N/A</v>
        <stp/>
        <stp>BDH|3782407873677129703</stp>
        <tr r="E17" s="2"/>
      </tp>
      <tp t="s">
        <v>#N/A N/A</v>
        <stp/>
        <stp>BDH|8029873425670544384</stp>
        <tr r="L14" s="2"/>
      </tp>
      <tp t="s">
        <v>#N/A N/A</v>
        <stp/>
        <stp>BDH|5969575987438975123</stp>
        <tr r="Q20" s="2"/>
      </tp>
      <tp t="s">
        <v>#N/A N/A</v>
        <stp/>
        <stp>BDH|3041253777722448569</stp>
        <tr r="H14" s="2"/>
      </tp>
      <tp t="s">
        <v>#N/A N/A</v>
        <stp/>
        <stp>BDH|7334991127808819549</stp>
        <tr r="H17" s="2"/>
      </tp>
      <tp t="s">
        <v>#N/A N/A</v>
        <stp/>
        <stp>BDH|1333665721227178349</stp>
        <tr r="M10" s="2"/>
      </tp>
      <tp t="s">
        <v>#N/A N/A</v>
        <stp/>
        <stp>BDH|9231121924863055827</stp>
        <tr r="L7" s="2"/>
      </tp>
      <tp t="s">
        <v>#N/A N/A</v>
        <stp/>
        <stp>BDH|9498466556891542844</stp>
        <tr r="D21" s="2"/>
      </tp>
      <tp t="s">
        <v>#N/A N/A</v>
        <stp/>
        <stp>BDH|4201468442325757391</stp>
        <tr r="N14" s="2"/>
      </tp>
      <tp t="s">
        <v>#N/A N/A</v>
        <stp/>
        <stp>BDH|8034490255448107346</stp>
        <tr r="C18" s="2"/>
      </tp>
      <tp t="s">
        <v>#N/A N/A</v>
        <stp/>
        <stp>BDH|4558918888037374024</stp>
        <tr r="M20" s="2"/>
      </tp>
      <tp t="s">
        <v>#N/A N/A</v>
        <stp/>
        <stp>BDH|6037036514786392368</stp>
        <tr r="L21" s="2"/>
      </tp>
      <tp t="s">
        <v>#N/A N/A</v>
        <stp/>
        <stp>BDH|8608780388930358575</stp>
        <tr r="E7" s="2"/>
      </tp>
      <tp t="s">
        <v>#N/A N/A</v>
        <stp/>
        <stp>BDH|6096635908027189473</stp>
        <tr r="K21" s="2"/>
      </tp>
      <tp t="s">
        <v>#N/A N/A</v>
        <stp/>
        <stp>BDH|1254239445974106066</stp>
        <tr r="N17" s="2"/>
      </tp>
      <tp t="s">
        <v>#N/A N/A</v>
        <stp/>
        <stp>BDH|6045418869380322788</stp>
        <tr r="K20" s="2"/>
      </tp>
      <tp t="s">
        <v>#N/A N/A</v>
        <stp/>
        <stp>BDH|2549032955407912399</stp>
        <tr r="H7" s="2"/>
      </tp>
      <tp t="s">
        <v>#N/A N/A</v>
        <stp/>
        <stp>BDH|3617344511037098521</stp>
        <tr r="Q18" s="2"/>
      </tp>
      <tp t="s">
        <v>#N/A N/A</v>
        <stp/>
        <stp>BDH|687289522746616191</stp>
        <tr r="F21" s="2"/>
      </tp>
      <tp t="s">
        <v>#N/A N/A</v>
        <stp/>
        <stp>BDH|497048402045399345</stp>
        <tr r="K8" s="2"/>
      </tp>
      <tp t="s">
        <v>#N/A N/A</v>
        <stp/>
        <stp>BDH|218609106893071537</stp>
        <tr r="E18" s="2"/>
      </tp>
      <tp t="s">
        <v>#N/A N/A</v>
        <stp/>
        <stp>BDH|450519977852834222</stp>
        <tr r="J18" s="2"/>
      </tp>
      <tp t="s">
        <v>#N/A N/A</v>
        <stp/>
        <stp>BDH|183815848210813098</stp>
        <tr r="D19" s="2"/>
      </tp>
      <tp t="s">
        <v>#N/A N/A</v>
        <stp/>
        <stp>BDH|650021037359179436</stp>
        <tr r="K12" s="2"/>
      </tp>
      <tp t="s">
        <v>#N/A N/A</v>
        <stp/>
        <stp>BDH|906193260069961766</stp>
        <tr r="J11" s="2"/>
      </tp>
      <tp t="s">
        <v>#N/A N/A</v>
        <stp/>
        <stp>BDH|158874947630661586</stp>
        <tr r="J1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workbookViewId="0"/>
  </sheetViews>
  <sheetFormatPr defaultRowHeight="15" x14ac:dyDescent="0.25"/>
  <cols>
    <col min="1" max="1" width="23.5703125" customWidth="1"/>
    <col min="2" max="2" width="0" hidden="1" customWidth="1"/>
    <col min="3" max="22" width="13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0.25" x14ac:dyDescent="0.25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3"/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</row>
    <row r="5" spans="1:22" x14ac:dyDescent="0.25">
      <c r="A5" s="9" t="s">
        <v>22</v>
      </c>
      <c r="B5" s="9"/>
      <c r="C5" s="5" t="s">
        <v>23</v>
      </c>
      <c r="D5" s="5" t="s">
        <v>24</v>
      </c>
      <c r="E5" s="5" t="s">
        <v>25</v>
      </c>
      <c r="F5" s="5" t="s">
        <v>26</v>
      </c>
      <c r="G5" s="5" t="s">
        <v>27</v>
      </c>
      <c r="H5" s="5" t="s">
        <v>28</v>
      </c>
      <c r="I5" s="5" t="s">
        <v>29</v>
      </c>
      <c r="J5" s="5" t="s">
        <v>30</v>
      </c>
      <c r="K5" s="5" t="s">
        <v>31</v>
      </c>
      <c r="L5" s="5" t="s">
        <v>32</v>
      </c>
      <c r="M5" s="5" t="s">
        <v>33</v>
      </c>
      <c r="N5" s="5" t="s">
        <v>34</v>
      </c>
      <c r="O5" s="5" t="s">
        <v>35</v>
      </c>
      <c r="P5" s="5" t="s">
        <v>36</v>
      </c>
      <c r="Q5" s="5" t="s">
        <v>37</v>
      </c>
      <c r="R5" s="5" t="s">
        <v>38</v>
      </c>
      <c r="S5" s="5" t="s">
        <v>39</v>
      </c>
      <c r="T5" s="5" t="s">
        <v>40</v>
      </c>
      <c r="U5" s="5" t="s">
        <v>41</v>
      </c>
      <c r="V5" s="5" t="s">
        <v>42</v>
      </c>
    </row>
    <row r="6" spans="1:22" x14ac:dyDescent="0.25">
      <c r="A6" s="6" t="s">
        <v>43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6"/>
      <c r="T6" s="15"/>
      <c r="U6" s="15"/>
      <c r="V6" s="15"/>
    </row>
    <row r="7" spans="1:22" x14ac:dyDescent="0.25">
      <c r="A7" s="10" t="s">
        <v>44</v>
      </c>
      <c r="B7" s="10" t="s">
        <v>45</v>
      </c>
      <c r="C7" s="12" t="str">
        <f>_xll.BDH("HSI Index","INDX_ADJ_PE","CY 2007","CY 2007","Currency=HKD","Period=CY","FUND_PER=Y","BEST_FPERIOD_OVERRIDE=1GY","Sort=A","Dates=H","DateFormat=P","Fill=—","Direction=H","UseDPDF=Y")</f>
        <v>#N/A Review</v>
      </c>
      <c r="D7" s="12" t="str">
        <f>_xll.BDH("HSI Index","INDX_ADJ_PE","CY 2008","CY 2008","Currency=HKD","Period=CY","FUND_PER=Y","BEST_FPERIOD_OVERRIDE=1GY","Sort=A","Dates=H","DateFormat=P","Fill=—","Direction=H","UseDPDF=Y")</f>
        <v>#N/A Review</v>
      </c>
      <c r="E7" s="12" t="str">
        <f>_xll.BDH("HSI Index","INDX_ADJ_PE","CY 2009","CY 2009","Currency=HKD","Period=CY","FUND_PER=Y","BEST_FPERIOD_OVERRIDE=1GY","Sort=A","Dates=H","DateFormat=P","Fill=—","Direction=H","UseDPDF=Y")</f>
        <v>#N/A Review</v>
      </c>
      <c r="F7" s="12" t="str">
        <f>_xll.BDH("HSI Index","INDX_ADJ_PE","CY 2010","CY 2010","Currency=HKD","Period=CY","FUND_PER=Y","BEST_FPERIOD_OVERRIDE=1GY","Sort=A","Dates=H","DateFormat=P","Fill=—","Direction=H","UseDPDF=Y")</f>
        <v>#N/A Review</v>
      </c>
      <c r="G7" s="12" t="str">
        <f>_xll.BDH("HSI Index","INDX_ADJ_PE","CY 2011","CY 2011","Currency=HKD","Period=CY","FUND_PER=Y","BEST_FPERIOD_OVERRIDE=1GY","Sort=A","Dates=H","DateFormat=P","Fill=—","Direction=H","UseDPDF=Y")</f>
        <v>#N/A Review</v>
      </c>
      <c r="H7" s="12" t="str">
        <f>_xll.BDH("HSI Index","INDX_ADJ_PE","CY 2012","CY 2012","Currency=HKD","Period=CY","FUND_PER=Y","BEST_FPERIOD_OVERRIDE=1GY","Sort=A","Dates=H","DateFormat=P","Fill=—","Direction=H","UseDPDF=Y")</f>
        <v>#N/A Requesting Data...</v>
      </c>
      <c r="I7" s="12" t="str">
        <f>_xll.BDH("HSI Index","INDX_ADJ_PE","CY 2013","CY 2013","Currency=HKD","Period=CY","FUND_PER=Y","BEST_FPERIOD_OVERRIDE=1GY","Sort=A","Dates=H","DateFormat=P","Fill=—","Direction=H","UseDPDF=Y")</f>
        <v>#N/A Review</v>
      </c>
      <c r="J7" s="12" t="str">
        <f>_xll.BDH("HSI Index","INDX_ADJ_PE","CY 2014","CY 2014","Currency=HKD","Period=CY","FUND_PER=Y","BEST_FPERIOD_OVERRIDE=1GY","Sort=A","Dates=H","DateFormat=P","Fill=—","Direction=H","UseDPDF=Y")</f>
        <v>#N/A Requesting Data...</v>
      </c>
      <c r="K7" s="12" t="str">
        <f>_xll.BDH("HSI Index","INDX_ADJ_PE","CY 2015","CY 2015","Currency=HKD","Period=CY","FUND_PER=Y","BEST_FPERIOD_OVERRIDE=1GY","Sort=A","Dates=H","DateFormat=P","Fill=—","Direction=H","UseDPDF=Y")</f>
        <v>#N/A Review</v>
      </c>
      <c r="L7" s="12" t="str">
        <f>_xll.BDH("HSI Index","INDX_ADJ_PE","CY 2016","CY 2016","Currency=HKD","Period=CY","FUND_PER=Y","BEST_FPERIOD_OVERRIDE=1GY","Sort=A","Dates=H","DateFormat=P","Fill=—","Direction=H","UseDPDF=Y")</f>
        <v>#N/A Requesting Data...</v>
      </c>
      <c r="M7" s="12" t="str">
        <f>_xll.BDH("HSI Index","INDX_ADJ_PE","CY 2017","CY 2017","Currency=HKD","Period=CY","FUND_PER=Y","BEST_FPERIOD_OVERRIDE=1GY","Sort=A","Dates=H","DateFormat=P","Fill=—","Direction=H","UseDPDF=Y")</f>
        <v>#N/A Requesting Data...</v>
      </c>
      <c r="N7" s="12" t="str">
        <f>_xll.BDH("HSI Index","INDX_ADJ_PE","CY 2018","CY 2018","Currency=HKD","Period=CY","FUND_PER=Y","BEST_FPERIOD_OVERRIDE=1GY","Sort=A","Dates=H","DateFormat=P","Fill=—","Direction=H","UseDPDF=Y")</f>
        <v>#N/A Requesting Data...</v>
      </c>
      <c r="O7" s="12" t="str">
        <f>_xll.BDH("HSI Index","INDX_ADJ_PE","CY 2019","CY 2019","Currency=HKD","Period=CY","FUND_PER=Y","BEST_FPERIOD_OVERRIDE=1GY","Sort=A","Dates=H","DateFormat=P","Fill=—","Direction=H","UseDPDF=Y")</f>
        <v>#N/A Requesting Data...</v>
      </c>
      <c r="P7" s="12" t="str">
        <f>_xll.BDH("HSI Index","INDX_ADJ_PE","CY 2020","CY 2020","Currency=HKD","Period=CY","FUND_PER=Y","BEST_FPERIOD_OVERRIDE=1GY","Sort=A","Dates=H","DateFormat=P","Fill=—","Direction=H","UseDPDF=Y")</f>
        <v>#N/A Requesting Data...</v>
      </c>
      <c r="Q7" s="12" t="str">
        <f>_xll.BDH("HSI Index","INDX_ADJ_PE","CY 2021","CY 2021","Currency=HKD","Period=CY","FUND_PER=Y","BEST_FPERIOD_OVERRIDE=1GY","Sort=A","Dates=H","DateFormat=P","Fill=—","Direction=H","UseDPDF=Y")</f>
        <v>#N/A Review</v>
      </c>
      <c r="R7" s="12" t="str">
        <f>_xll.BDH("HSI Index","INDX_ADJ_PE","CY 2022","CY 2022","Currency=HKD","Period=CY","FUND_PER=Y","BEST_FPERIOD_OVERRIDE=1GY","Sort=A","Dates=H","DateFormat=P","Fill=—","Direction=H","UseDPDF=Y")</f>
        <v>#N/A Review</v>
      </c>
      <c r="S7" s="14">
        <v>9.7298980000000004</v>
      </c>
      <c r="T7" s="12">
        <v>8.7880177308809007</v>
      </c>
      <c r="U7" s="12">
        <v>8.0493585301499202</v>
      </c>
      <c r="V7" s="12">
        <v>7.4496886515437897</v>
      </c>
    </row>
    <row r="8" spans="1:22" x14ac:dyDescent="0.25">
      <c r="A8" s="10" t="s">
        <v>46</v>
      </c>
      <c r="B8" s="10" t="s">
        <v>47</v>
      </c>
      <c r="C8" s="12" t="str">
        <f>_xll.BDH("HSI Index","PX_POS_EARN_BEFORE_XO_ITEMS","CY 2007","CY 2007","Currency=HKD","Period=CY","FUND_PER=Y","BEST_FPERIOD_OVERRIDE=1GY","Sort=A","Dates=H","DateFormat=P","Fill=—","Direction=H","UseDPDF=Y")</f>
        <v>#N/A Requesting Data...</v>
      </c>
      <c r="D8" s="12" t="str">
        <f>_xll.BDH("HSI Index","PX_POS_EARN_BEFORE_XO_ITEMS","CY 2008","CY 2008","Currency=HKD","Period=CY","FUND_PER=Y","BEST_FPERIOD_OVERRIDE=1GY","Sort=A","Dates=H","DateFormat=P","Fill=—","Direction=H","UseDPDF=Y")</f>
        <v>#N/A Requesting Data...</v>
      </c>
      <c r="E8" s="12" t="str">
        <f>_xll.BDH("HSI Index","PX_POS_EARN_BEFORE_XO_ITEMS","CY 2009","CY 2009","Currency=HKD","Period=CY","FUND_PER=Y","BEST_FPERIOD_OVERRIDE=1GY","Sort=A","Dates=H","DateFormat=P","Fill=—","Direction=H","UseDPDF=Y")</f>
        <v>#N/A Requesting Data...</v>
      </c>
      <c r="F8" s="12" t="str">
        <f>_xll.BDH("HSI Index","PX_POS_EARN_BEFORE_XO_ITEMS","CY 2010","CY 2010","Currency=HKD","Period=CY","FUND_PER=Y","BEST_FPERIOD_OVERRIDE=1GY","Sort=A","Dates=H","DateFormat=P","Fill=—","Direction=H","UseDPDF=Y")</f>
        <v>#N/A Requesting Data...</v>
      </c>
      <c r="G8" s="12" t="str">
        <f>_xll.BDH("HSI Index","PX_POS_EARN_BEFORE_XO_ITEMS","CY 2011","CY 2011","Currency=HKD","Period=CY","FUND_PER=Y","BEST_FPERIOD_OVERRIDE=1GY","Sort=A","Dates=H","DateFormat=P","Fill=—","Direction=H","UseDPDF=Y")</f>
        <v>#N/A Requesting Data...</v>
      </c>
      <c r="H8" s="12" t="str">
        <f>_xll.BDH("HSI Index","PX_POS_EARN_BEFORE_XO_ITEMS","CY 2012","CY 2012","Currency=HKD","Period=CY","FUND_PER=Y","BEST_FPERIOD_OVERRIDE=1GY","Sort=A","Dates=H","DateFormat=P","Fill=—","Direction=H","UseDPDF=Y")</f>
        <v>#N/A Requesting Data...</v>
      </c>
      <c r="I8" s="12" t="str">
        <f>_xll.BDH("HSI Index","PX_POS_EARN_BEFORE_XO_ITEMS","CY 2013","CY 2013","Currency=HKD","Period=CY","FUND_PER=Y","BEST_FPERIOD_OVERRIDE=1GY","Sort=A","Dates=H","DateFormat=P","Fill=—","Direction=H","UseDPDF=Y")</f>
        <v>#N/A Review</v>
      </c>
      <c r="J8" s="12" t="str">
        <f>_xll.BDH("HSI Index","PX_POS_EARN_BEFORE_XO_ITEMS","CY 2014","CY 2014","Currency=HKD","Period=CY","FUND_PER=Y","BEST_FPERIOD_OVERRIDE=1GY","Sort=A","Dates=H","DateFormat=P","Fill=—","Direction=H","UseDPDF=Y")</f>
        <v>#N/A Review</v>
      </c>
      <c r="K8" s="12" t="str">
        <f>_xll.BDH("HSI Index","PX_POS_EARN_BEFORE_XO_ITEMS","CY 2015","CY 2015","Currency=HKD","Period=CY","FUND_PER=Y","BEST_FPERIOD_OVERRIDE=1GY","Sort=A","Dates=H","DateFormat=P","Fill=—","Direction=H","UseDPDF=Y")</f>
        <v>#N/A Review</v>
      </c>
      <c r="L8" s="12" t="str">
        <f>_xll.BDH("HSI Index","PX_POS_EARN_BEFORE_XO_ITEMS","CY 2016","CY 2016","Currency=HKD","Period=CY","FUND_PER=Y","BEST_FPERIOD_OVERRIDE=1GY","Sort=A","Dates=H","DateFormat=P","Fill=—","Direction=H","UseDPDF=Y")</f>
        <v>#N/A Review</v>
      </c>
      <c r="M8" s="12" t="str">
        <f>_xll.BDH("HSI Index","PX_POS_EARN_BEFORE_XO_ITEMS","CY 2017","CY 2017","Currency=HKD","Period=CY","FUND_PER=Y","BEST_FPERIOD_OVERRIDE=1GY","Sort=A","Dates=H","DateFormat=P","Fill=—","Direction=H","UseDPDF=Y")</f>
        <v>#N/A Requesting Data...</v>
      </c>
      <c r="N8" s="12" t="str">
        <f>_xll.BDH("HSI Index","PX_POS_EARN_BEFORE_XO_ITEMS","CY 2018","CY 2018","Currency=HKD","Period=CY","FUND_PER=Y","BEST_FPERIOD_OVERRIDE=1GY","Sort=A","Dates=H","DateFormat=P","Fill=—","Direction=H","UseDPDF=Y")</f>
        <v>#N/A Review</v>
      </c>
      <c r="O8" s="12" t="str">
        <f>_xll.BDH("HSI Index","PX_POS_EARN_BEFORE_XO_ITEMS","CY 2019","CY 2019","Currency=HKD","Period=CY","FUND_PER=Y","BEST_FPERIOD_OVERRIDE=1GY","Sort=A","Dates=H","DateFormat=P","Fill=—","Direction=H","UseDPDF=Y")</f>
        <v>#N/A Requesting Data...</v>
      </c>
      <c r="P8" s="12" t="str">
        <f>_xll.BDH("HSI Index","PX_POS_EARN_BEFORE_XO_ITEMS","CY 2020","CY 2020","Currency=HKD","Period=CY","FUND_PER=Y","BEST_FPERIOD_OVERRIDE=1GY","Sort=A","Dates=H","DateFormat=P","Fill=—","Direction=H","UseDPDF=Y")</f>
        <v>#N/A Requesting Data...</v>
      </c>
      <c r="Q8" s="12" t="str">
        <f>_xll.BDH("HSI Index","PX_POS_EARN_BEFORE_XO_ITEMS","CY 2021","CY 2021","Currency=HKD","Period=CY","FUND_PER=Y","BEST_FPERIOD_OVERRIDE=1GY","Sort=A","Dates=H","DateFormat=P","Fill=—","Direction=H","UseDPDF=Y")</f>
        <v>#N/A Review</v>
      </c>
      <c r="R8" s="12" t="str">
        <f>_xll.BDH("HSI Index","PX_POS_EARN_BEFORE_XO_ITEMS","CY 2022","CY 2022","Currency=HKD","Period=CY","FUND_PER=Y","BEST_FPERIOD_OVERRIDE=1GY","Sort=A","Dates=H","DateFormat=P","Fill=—","Direction=H","UseDPDF=Y")</f>
        <v>#N/A Review</v>
      </c>
      <c r="S8" s="14">
        <v>9.4652600000000007</v>
      </c>
      <c r="T8" s="12">
        <v>9.1327771374513702</v>
      </c>
      <c r="U8" s="12">
        <v>8.2329850272000407</v>
      </c>
      <c r="V8" s="12">
        <v>7.6486025683054004</v>
      </c>
    </row>
    <row r="9" spans="1:22" x14ac:dyDescent="0.25">
      <c r="A9" s="10" t="s">
        <v>48</v>
      </c>
      <c r="B9" s="10" t="s">
        <v>49</v>
      </c>
      <c r="C9" s="12" t="str">
        <f>_xll.BDH("HSI Index","PE_BEF_XO_AGGTE","CY 2007","CY 2007","Currency=HKD","Period=CY","FUND_PER=Y","BEST_FPERIOD_OVERRIDE=1GY","Sort=A","Dates=H","DateFormat=P","Fill=—","Direction=H","UseDPDF=Y")</f>
        <v>#N/A Requesting Data...</v>
      </c>
      <c r="D9" s="12" t="str">
        <f>_xll.BDH("HSI Index","PE_BEF_XO_AGGTE","CY 2008","CY 2008","Currency=HKD","Period=CY","FUND_PER=Y","BEST_FPERIOD_OVERRIDE=1GY","Sort=A","Dates=H","DateFormat=P","Fill=—","Direction=H","UseDPDF=Y")</f>
        <v>#N/A Requesting Data...</v>
      </c>
      <c r="E9" s="12" t="str">
        <f>_xll.BDH("HSI Index","PE_BEF_XO_AGGTE","CY 2009","CY 2009","Currency=HKD","Period=CY","FUND_PER=Y","BEST_FPERIOD_OVERRIDE=1GY","Sort=A","Dates=H","DateFormat=P","Fill=—","Direction=H","UseDPDF=Y")</f>
        <v>#N/A Requesting Data...</v>
      </c>
      <c r="F9" s="12" t="str">
        <f>_xll.BDH("HSI Index","PE_BEF_XO_AGGTE","CY 2010","CY 2010","Currency=HKD","Period=CY","FUND_PER=Y","BEST_FPERIOD_OVERRIDE=1GY","Sort=A","Dates=H","DateFormat=P","Fill=—","Direction=H","UseDPDF=Y")</f>
        <v>#N/A Requesting Data...</v>
      </c>
      <c r="G9" s="12" t="str">
        <f>_xll.BDH("HSI Index","PE_BEF_XO_AGGTE","CY 2011","CY 2011","Currency=HKD","Period=CY","FUND_PER=Y","BEST_FPERIOD_OVERRIDE=1GY","Sort=A","Dates=H","DateFormat=P","Fill=—","Direction=H","UseDPDF=Y")</f>
        <v>#N/A Requesting Data...</v>
      </c>
      <c r="H9" s="12" t="str">
        <f>_xll.BDH("HSI Index","PE_BEF_XO_AGGTE","CY 2012","CY 2012","Currency=HKD","Period=CY","FUND_PER=Y","BEST_FPERIOD_OVERRIDE=1GY","Sort=A","Dates=H","DateFormat=P","Fill=—","Direction=H","UseDPDF=Y")</f>
        <v>#N/A Review</v>
      </c>
      <c r="I9" s="12" t="str">
        <f>_xll.BDH("HSI Index","PE_BEF_XO_AGGTE","CY 2013","CY 2013","Currency=HKD","Period=CY","FUND_PER=Y","BEST_FPERIOD_OVERRIDE=1GY","Sort=A","Dates=H","DateFormat=P","Fill=—","Direction=H","UseDPDF=Y")</f>
        <v>#N/A Review</v>
      </c>
      <c r="J9" s="12" t="str">
        <f>_xll.BDH("HSI Index","PE_BEF_XO_AGGTE","CY 2014","CY 2014","Currency=HKD","Period=CY","FUND_PER=Y","BEST_FPERIOD_OVERRIDE=1GY","Sort=A","Dates=H","DateFormat=P","Fill=—","Direction=H","UseDPDF=Y")</f>
        <v>#N/A Review</v>
      </c>
      <c r="K9" s="12" t="str">
        <f>_xll.BDH("HSI Index","PE_BEF_XO_AGGTE","CY 2015","CY 2015","Currency=HKD","Period=CY","FUND_PER=Y","BEST_FPERIOD_OVERRIDE=1GY","Sort=A","Dates=H","DateFormat=P","Fill=—","Direction=H","UseDPDF=Y")</f>
        <v>#N/A Requesting Data...</v>
      </c>
      <c r="L9" s="12" t="str">
        <f>_xll.BDH("HSI Index","PE_BEF_XO_AGGTE","CY 2016","CY 2016","Currency=HKD","Period=CY","FUND_PER=Y","BEST_FPERIOD_OVERRIDE=1GY","Sort=A","Dates=H","DateFormat=P","Fill=—","Direction=H","UseDPDF=Y")</f>
        <v>#N/A Requesting Data...</v>
      </c>
      <c r="M9" s="12" t="str">
        <f>_xll.BDH("HSI Index","PE_BEF_XO_AGGTE","CY 2017","CY 2017","Currency=HKD","Period=CY","FUND_PER=Y","BEST_FPERIOD_OVERRIDE=1GY","Sort=A","Dates=H","DateFormat=P","Fill=—","Direction=H","UseDPDF=Y")</f>
        <v>#N/A Requesting Data...</v>
      </c>
      <c r="N9" s="12" t="str">
        <f>_xll.BDH("HSI Index","PE_BEF_XO_AGGTE","CY 2018","CY 2018","Currency=HKD","Period=CY","FUND_PER=Y","BEST_FPERIOD_OVERRIDE=1GY","Sort=A","Dates=H","DateFormat=P","Fill=—","Direction=H","UseDPDF=Y")</f>
        <v>#N/A Requesting Data...</v>
      </c>
      <c r="O9" s="12" t="str">
        <f>_xll.BDH("HSI Index","PE_BEF_XO_AGGTE","CY 2019","CY 2019","Currency=HKD","Period=CY","FUND_PER=Y","BEST_FPERIOD_OVERRIDE=1GY","Sort=A","Dates=H","DateFormat=P","Fill=—","Direction=H","UseDPDF=Y")</f>
        <v>#N/A Requesting Data...</v>
      </c>
      <c r="P9" s="12" t="str">
        <f>_xll.BDH("HSI Index","PE_BEF_XO_AGGTE","CY 2020","CY 2020","Currency=HKD","Period=CY","FUND_PER=Y","BEST_FPERIOD_OVERRIDE=1GY","Sort=A","Dates=H","DateFormat=P","Fill=—","Direction=H","UseDPDF=Y")</f>
        <v>#N/A Requesting Data...</v>
      </c>
      <c r="Q9" s="12" t="str">
        <f>_xll.BDH("HSI Index","PE_BEF_XO_AGGTE","CY 2021","CY 2021","Currency=HKD","Period=CY","FUND_PER=Y","BEST_FPERIOD_OVERRIDE=1GY","Sort=A","Dates=H","DateFormat=P","Fill=—","Direction=H","UseDPDF=Y")</f>
        <v>#N/A Review</v>
      </c>
      <c r="R9" s="12" t="str">
        <f>_xll.BDH("HSI Index","PE_BEF_XO_AGGTE","CY 2022","CY 2022","Currency=HKD","Period=CY","FUND_PER=Y","BEST_FPERIOD_OVERRIDE=1GY","Sort=A","Dates=H","DateFormat=P","Fill=—","Direction=H","UseDPDF=Y")</f>
        <v>#N/A Review</v>
      </c>
      <c r="S9" s="14">
        <v>9.77698</v>
      </c>
      <c r="T9" s="12"/>
      <c r="U9" s="12"/>
      <c r="V9" s="12"/>
    </row>
    <row r="10" spans="1:22" x14ac:dyDescent="0.25">
      <c r="A10" s="10" t="s">
        <v>50</v>
      </c>
      <c r="B10" s="10" t="s">
        <v>51</v>
      </c>
      <c r="C10" s="12" t="str">
        <f>_xll.BDH("HSI Index","PX_TO_BOOK_RATIO","CY 2007","CY 2007","Currency=HKD","Period=CY","FUND_PER=Y","BEST_FPERIOD_OVERRIDE=1GY","Sort=A","Dates=H","DateFormat=P","Fill=—","Direction=H","UseDPDF=Y")</f>
        <v>#N/A Review</v>
      </c>
      <c r="D10" s="12" t="str">
        <f>_xll.BDH("HSI Index","PX_TO_BOOK_RATIO","CY 2008","CY 2008","Currency=HKD","Period=CY","FUND_PER=Y","BEST_FPERIOD_OVERRIDE=1GY","Sort=A","Dates=H","DateFormat=P","Fill=—","Direction=H","UseDPDF=Y")</f>
        <v>#N/A Requesting Data...</v>
      </c>
      <c r="E10" s="12" t="str">
        <f>_xll.BDH("HSI Index","PX_TO_BOOK_RATIO","CY 2009","CY 2009","Currency=HKD","Period=CY","FUND_PER=Y","BEST_FPERIOD_OVERRIDE=1GY","Sort=A","Dates=H","DateFormat=P","Fill=—","Direction=H","UseDPDF=Y")</f>
        <v>#N/A Review</v>
      </c>
      <c r="F10" s="12" t="str">
        <f>_xll.BDH("HSI Index","PX_TO_BOOK_RATIO","CY 2010","CY 2010","Currency=HKD","Period=CY","FUND_PER=Y","BEST_FPERIOD_OVERRIDE=1GY","Sort=A","Dates=H","DateFormat=P","Fill=—","Direction=H","UseDPDF=Y")</f>
        <v>#N/A Review</v>
      </c>
      <c r="G10" s="12" t="str">
        <f>_xll.BDH("HSI Index","PX_TO_BOOK_RATIO","CY 2011","CY 2011","Currency=HKD","Period=CY","FUND_PER=Y","BEST_FPERIOD_OVERRIDE=1GY","Sort=A","Dates=H","DateFormat=P","Fill=—","Direction=H","UseDPDF=Y")</f>
        <v>#N/A Review</v>
      </c>
      <c r="H10" s="12" t="str">
        <f>_xll.BDH("HSI Index","PX_TO_BOOK_RATIO","CY 2012","CY 2012","Currency=HKD","Period=CY","FUND_PER=Y","BEST_FPERIOD_OVERRIDE=1GY","Sort=A","Dates=H","DateFormat=P","Fill=—","Direction=H","UseDPDF=Y")</f>
        <v>#N/A Requesting Data...</v>
      </c>
      <c r="I10" s="12" t="str">
        <f>_xll.BDH("HSI Index","PX_TO_BOOK_RATIO","CY 2013","CY 2013","Currency=HKD","Period=CY","FUND_PER=Y","BEST_FPERIOD_OVERRIDE=1GY","Sort=A","Dates=H","DateFormat=P","Fill=—","Direction=H","UseDPDF=Y")</f>
        <v>#N/A Requesting Data...</v>
      </c>
      <c r="J10" s="12" t="str">
        <f>_xll.BDH("HSI Index","PX_TO_BOOK_RATIO","CY 2014","CY 2014","Currency=HKD","Period=CY","FUND_PER=Y","BEST_FPERIOD_OVERRIDE=1GY","Sort=A","Dates=H","DateFormat=P","Fill=—","Direction=H","UseDPDF=Y")</f>
        <v>#N/A Review</v>
      </c>
      <c r="K10" s="12" t="str">
        <f>_xll.BDH("HSI Index","PX_TO_BOOK_RATIO","CY 2015","CY 2015","Currency=HKD","Period=CY","FUND_PER=Y","BEST_FPERIOD_OVERRIDE=1GY","Sort=A","Dates=H","DateFormat=P","Fill=—","Direction=H","UseDPDF=Y")</f>
        <v>#N/A Requesting Data...</v>
      </c>
      <c r="L10" s="12" t="str">
        <f>_xll.BDH("HSI Index","PX_TO_BOOK_RATIO","CY 2016","CY 2016","Currency=HKD","Period=CY","FUND_PER=Y","BEST_FPERIOD_OVERRIDE=1GY","Sort=A","Dates=H","DateFormat=P","Fill=—","Direction=H","UseDPDF=Y")</f>
        <v>#N/A Requesting Data...</v>
      </c>
      <c r="M10" s="12" t="str">
        <f>_xll.BDH("HSI Index","PX_TO_BOOK_RATIO","CY 2017","CY 2017","Currency=HKD","Period=CY","FUND_PER=Y","BEST_FPERIOD_OVERRIDE=1GY","Sort=A","Dates=H","DateFormat=P","Fill=—","Direction=H","UseDPDF=Y")</f>
        <v>#N/A Review</v>
      </c>
      <c r="N10" s="12" t="str">
        <f>_xll.BDH("HSI Index","PX_TO_BOOK_RATIO","CY 2018","CY 2018","Currency=HKD","Period=CY","FUND_PER=Y","BEST_FPERIOD_OVERRIDE=1GY","Sort=A","Dates=H","DateFormat=P","Fill=—","Direction=H","UseDPDF=Y")</f>
        <v>#N/A Requesting Data...</v>
      </c>
      <c r="O10" s="12" t="str">
        <f>_xll.BDH("HSI Index","PX_TO_BOOK_RATIO","CY 2019","CY 2019","Currency=HKD","Period=CY","FUND_PER=Y","BEST_FPERIOD_OVERRIDE=1GY","Sort=A","Dates=H","DateFormat=P","Fill=—","Direction=H","UseDPDF=Y")</f>
        <v>#N/A Requesting Data...</v>
      </c>
      <c r="P10" s="12" t="str">
        <f>_xll.BDH("HSI Index","PX_TO_BOOK_RATIO","CY 2020","CY 2020","Currency=HKD","Period=CY","FUND_PER=Y","BEST_FPERIOD_OVERRIDE=1GY","Sort=A","Dates=H","DateFormat=P","Fill=—","Direction=H","UseDPDF=Y")</f>
        <v>#N/A Review</v>
      </c>
      <c r="Q10" s="12" t="str">
        <f>_xll.BDH("HSI Index","PX_TO_BOOK_RATIO","CY 2021","CY 2021","Currency=HKD","Period=CY","FUND_PER=Y","BEST_FPERIOD_OVERRIDE=1GY","Sort=A","Dates=H","DateFormat=P","Fill=—","Direction=H","UseDPDF=Y")</f>
        <v>#N/A Review</v>
      </c>
      <c r="R10" s="12" t="str">
        <f>_xll.BDH("HSI Index","PX_TO_BOOK_RATIO","CY 2022","CY 2022","Currency=HKD","Period=CY","FUND_PER=Y","BEST_FPERIOD_OVERRIDE=1GY","Sort=A","Dates=H","DateFormat=P","Fill=—","Direction=H","UseDPDF=Y")</f>
        <v>#N/A Review</v>
      </c>
      <c r="S10" s="14">
        <v>1.0150859999999999</v>
      </c>
      <c r="T10" s="12">
        <v>0.976826849853908</v>
      </c>
      <c r="U10" s="12">
        <v>0.90463807618034597</v>
      </c>
      <c r="V10" s="12">
        <v>0.83708327905709801</v>
      </c>
    </row>
    <row r="11" spans="1:22" x14ac:dyDescent="0.25">
      <c r="A11" s="10" t="s">
        <v>52</v>
      </c>
      <c r="B11" s="10" t="s">
        <v>53</v>
      </c>
      <c r="C11" s="12" t="str">
        <f>_xll.BDH("HSI Index","EV_TO_T12M_SALES","CY 2007","CY 2007","Currency=HKD","Period=CY","FUND_PER=Y","BEST_FPERIOD_OVERRIDE=1GY","FA_ADJUSTED=GAAP","Sort=A","Dates=H","DateFormat=P","Fill=—","Direction=H","UseDPDF=Y")</f>
        <v>#N/A Requesting Data...</v>
      </c>
      <c r="D11" s="12" t="str">
        <f>_xll.BDH("HSI Index","EV_TO_T12M_SALES","CY 2008","CY 2008","Currency=HKD","Period=CY","FUND_PER=Y","BEST_FPERIOD_OVERRIDE=1GY","FA_ADJUSTED=GAAP","Sort=A","Dates=H","DateFormat=P","Fill=—","Direction=H","UseDPDF=Y")</f>
        <v>#N/A Requesting Data...</v>
      </c>
      <c r="E11" s="12" t="str">
        <f>_xll.BDH("HSI Index","EV_TO_T12M_SALES","CY 2009","CY 2009","Currency=HKD","Period=CY","FUND_PER=Y","BEST_FPERIOD_OVERRIDE=1GY","FA_ADJUSTED=GAAP","Sort=A","Dates=H","DateFormat=P","Fill=—","Direction=H","UseDPDF=Y")</f>
        <v>#N/A Requesting Data...</v>
      </c>
      <c r="F11" s="12" t="str">
        <f>_xll.BDH("HSI Index","EV_TO_T12M_SALES","CY 2010","CY 2010","Currency=HKD","Period=CY","FUND_PER=Y","BEST_FPERIOD_OVERRIDE=1GY","FA_ADJUSTED=GAAP","Sort=A","Dates=H","DateFormat=P","Fill=—","Direction=H","UseDPDF=Y")</f>
        <v>#N/A Requesting Data...</v>
      </c>
      <c r="G11" s="12" t="str">
        <f>_xll.BDH("HSI Index","EV_TO_T12M_SALES","CY 2011","CY 2011","Currency=HKD","Period=CY","FUND_PER=Y","BEST_FPERIOD_OVERRIDE=1GY","FA_ADJUSTED=GAAP","Sort=A","Dates=H","DateFormat=P","Fill=—","Direction=H","UseDPDF=Y")</f>
        <v>#N/A Requesting Data...</v>
      </c>
      <c r="H11" s="12" t="str">
        <f>_xll.BDH("HSI Index","EV_TO_T12M_SALES","CY 2012","CY 2012","Currency=HKD","Period=CY","FUND_PER=Y","BEST_FPERIOD_OVERRIDE=1GY","FA_ADJUSTED=GAAP","Sort=A","Dates=H","DateFormat=P","Fill=—","Direction=H","UseDPDF=Y")</f>
        <v>#N/A Requesting Data...</v>
      </c>
      <c r="I11" s="12" t="str">
        <f>_xll.BDH("HSI Index","EV_TO_T12M_SALES","CY 2013","CY 2013","Currency=HKD","Period=CY","FUND_PER=Y","BEST_FPERIOD_OVERRIDE=1GY","FA_ADJUSTED=GAAP","Sort=A","Dates=H","DateFormat=P","Fill=—","Direction=H","UseDPDF=Y")</f>
        <v>#N/A Requesting Data...</v>
      </c>
      <c r="J11" s="12" t="str">
        <f>_xll.BDH("HSI Index","EV_TO_T12M_SALES","CY 2014","CY 2014","Currency=HKD","Period=CY","FUND_PER=Y","BEST_FPERIOD_OVERRIDE=1GY","FA_ADJUSTED=GAAP","Sort=A","Dates=H","DateFormat=P","Fill=—","Direction=H","UseDPDF=Y")</f>
        <v>#N/A Review</v>
      </c>
      <c r="K11" s="12" t="str">
        <f>_xll.BDH("HSI Index","EV_TO_T12M_SALES","CY 2015","CY 2015","Currency=HKD","Period=CY","FUND_PER=Y","BEST_FPERIOD_OVERRIDE=1GY","FA_ADJUSTED=GAAP","Sort=A","Dates=H","DateFormat=P","Fill=—","Direction=H","UseDPDF=Y")</f>
        <v>#N/A Review</v>
      </c>
      <c r="L11" s="12" t="str">
        <f>_xll.BDH("HSI Index","EV_TO_T12M_SALES","CY 2016","CY 2016","Currency=HKD","Period=CY","FUND_PER=Y","BEST_FPERIOD_OVERRIDE=1GY","FA_ADJUSTED=GAAP","Sort=A","Dates=H","DateFormat=P","Fill=—","Direction=H","UseDPDF=Y")</f>
        <v>#N/A Review</v>
      </c>
      <c r="M11" s="12" t="str">
        <f>_xll.BDH("HSI Index","EV_TO_T12M_SALES","CY 2017","CY 2017","Currency=HKD","Period=CY","FUND_PER=Y","BEST_FPERIOD_OVERRIDE=1GY","FA_ADJUSTED=GAAP","Sort=A","Dates=H","DateFormat=P","Fill=—","Direction=H","UseDPDF=Y")</f>
        <v>#N/A Review</v>
      </c>
      <c r="N11" s="12" t="str">
        <f>_xll.BDH("HSI Index","EV_TO_T12M_SALES","CY 2018","CY 2018","Currency=HKD","Period=CY","FUND_PER=Y","BEST_FPERIOD_OVERRIDE=1GY","FA_ADJUSTED=GAAP","Sort=A","Dates=H","DateFormat=P","Fill=—","Direction=H","UseDPDF=Y")</f>
        <v>#N/A Review</v>
      </c>
      <c r="O11" s="12" t="str">
        <f>_xll.BDH("HSI Index","EV_TO_T12M_SALES","CY 2019","CY 2019","Currency=HKD","Period=CY","FUND_PER=Y","BEST_FPERIOD_OVERRIDE=1GY","FA_ADJUSTED=GAAP","Sort=A","Dates=H","DateFormat=P","Fill=—","Direction=H","UseDPDF=Y")</f>
        <v>#N/A Requesting Data...</v>
      </c>
      <c r="P11" s="12" t="str">
        <f>_xll.BDH("HSI Index","EV_TO_T12M_SALES","CY 2020","CY 2020","Currency=HKD","Period=CY","FUND_PER=Y","BEST_FPERIOD_OVERRIDE=1GY","FA_ADJUSTED=GAAP","Sort=A","Dates=H","DateFormat=P","Fill=—","Direction=H","UseDPDF=Y")</f>
        <v>#N/A Requesting Data...</v>
      </c>
      <c r="Q11" s="12" t="str">
        <f>_xll.BDH("HSI Index","EV_TO_T12M_SALES","CY 2021","CY 2021","Currency=HKD","Period=CY","FUND_PER=Y","BEST_FPERIOD_OVERRIDE=1GY","FA_ADJUSTED=GAAP","Sort=A","Dates=H","DateFormat=P","Fill=—","Direction=H","UseDPDF=Y")</f>
        <v>#N/A Review</v>
      </c>
      <c r="R11" s="12" t="str">
        <f>_xll.BDH("HSI Index","EV_TO_T12M_SALES","CY 2022","CY 2022","Currency=HKD","Period=CY","FUND_PER=Y","BEST_FPERIOD_OVERRIDE=1GY","FA_ADJUSTED=GAAP","Sort=A","Dates=H","DateFormat=P","Fill=—","Direction=H","UseDPDF=Y")</f>
        <v>#N/A Requesting Data...</v>
      </c>
      <c r="S11" s="14">
        <v>1.1328530000000001</v>
      </c>
      <c r="T11" s="12">
        <v>2.0677703428630099</v>
      </c>
      <c r="U11" s="12">
        <v>1.9481325823092901</v>
      </c>
      <c r="V11" s="12">
        <v>1.9088958539366701</v>
      </c>
    </row>
    <row r="12" spans="1:22" x14ac:dyDescent="0.25">
      <c r="A12" s="10" t="s">
        <v>54</v>
      </c>
      <c r="B12" s="10" t="s">
        <v>55</v>
      </c>
      <c r="C12" s="12" t="str">
        <f>_xll.BDH("HSI Index","EV_TO_T12M_EBIT","CY 2007","CY 2007","Currency=HKD","Period=CY","FUND_PER=Y","BEST_FPERIOD_OVERRIDE=1GY","FA_ADJUSTED=GAAP","Sort=A","Dates=H","DateFormat=P","Fill=—","Direction=H","UseDPDF=Y")</f>
        <v>#N/A Requesting Data...</v>
      </c>
      <c r="D12" s="12" t="str">
        <f>_xll.BDH("HSI Index","EV_TO_T12M_EBIT","CY 2008","CY 2008","Currency=HKD","Period=CY","FUND_PER=Y","BEST_FPERIOD_OVERRIDE=1GY","FA_ADJUSTED=GAAP","Sort=A","Dates=H","DateFormat=P","Fill=—","Direction=H","UseDPDF=Y")</f>
        <v>#N/A Requesting Data...</v>
      </c>
      <c r="E12" s="12" t="str">
        <f>_xll.BDH("HSI Index","EV_TO_T12M_EBIT","CY 2009","CY 2009","Currency=HKD","Period=CY","FUND_PER=Y","BEST_FPERIOD_OVERRIDE=1GY","FA_ADJUSTED=GAAP","Sort=A","Dates=H","DateFormat=P","Fill=—","Direction=H","UseDPDF=Y")</f>
        <v>#N/A Review</v>
      </c>
      <c r="F12" s="12" t="str">
        <f>_xll.BDH("HSI Index","EV_TO_T12M_EBIT","CY 2010","CY 2010","Currency=HKD","Period=CY","FUND_PER=Y","BEST_FPERIOD_OVERRIDE=1GY","FA_ADJUSTED=GAAP","Sort=A","Dates=H","DateFormat=P","Fill=—","Direction=H","UseDPDF=Y")</f>
        <v>#N/A Requesting Data...</v>
      </c>
      <c r="G12" s="12" t="str">
        <f>_xll.BDH("HSI Index","EV_TO_T12M_EBIT","CY 2011","CY 2011","Currency=HKD","Period=CY","FUND_PER=Y","BEST_FPERIOD_OVERRIDE=1GY","FA_ADJUSTED=GAAP","Sort=A","Dates=H","DateFormat=P","Fill=—","Direction=H","UseDPDF=Y")</f>
        <v>#N/A Review</v>
      </c>
      <c r="H12" s="12" t="str">
        <f>_xll.BDH("HSI Index","EV_TO_T12M_EBIT","CY 2012","CY 2012","Currency=HKD","Period=CY","FUND_PER=Y","BEST_FPERIOD_OVERRIDE=1GY","FA_ADJUSTED=GAAP","Sort=A","Dates=H","DateFormat=P","Fill=—","Direction=H","UseDPDF=Y")</f>
        <v>#N/A Review</v>
      </c>
      <c r="I12" s="12" t="str">
        <f>_xll.BDH("HSI Index","EV_TO_T12M_EBIT","CY 2013","CY 2013","Currency=HKD","Period=CY","FUND_PER=Y","BEST_FPERIOD_OVERRIDE=1GY","FA_ADJUSTED=GAAP","Sort=A","Dates=H","DateFormat=P","Fill=—","Direction=H","UseDPDF=Y")</f>
        <v>#N/A Review</v>
      </c>
      <c r="J12" s="12" t="str">
        <f>_xll.BDH("HSI Index","EV_TO_T12M_EBIT","CY 2014","CY 2014","Currency=HKD","Period=CY","FUND_PER=Y","BEST_FPERIOD_OVERRIDE=1GY","FA_ADJUSTED=GAAP","Sort=A","Dates=H","DateFormat=P","Fill=—","Direction=H","UseDPDF=Y")</f>
        <v>#N/A Review</v>
      </c>
      <c r="K12" s="12" t="str">
        <f>_xll.BDH("HSI Index","EV_TO_T12M_EBIT","CY 2015","CY 2015","Currency=HKD","Period=CY","FUND_PER=Y","BEST_FPERIOD_OVERRIDE=1GY","FA_ADJUSTED=GAAP","Sort=A","Dates=H","DateFormat=P","Fill=—","Direction=H","UseDPDF=Y")</f>
        <v>#N/A Requesting Data...</v>
      </c>
      <c r="L12" s="12" t="str">
        <f>_xll.BDH("HSI Index","EV_TO_T12M_EBIT","CY 2016","CY 2016","Currency=HKD","Period=CY","FUND_PER=Y","BEST_FPERIOD_OVERRIDE=1GY","FA_ADJUSTED=GAAP","Sort=A","Dates=H","DateFormat=P","Fill=—","Direction=H","UseDPDF=Y")</f>
        <v>#N/A Requesting Data...</v>
      </c>
      <c r="M12" s="12" t="str">
        <f>_xll.BDH("HSI Index","EV_TO_T12M_EBIT","CY 2017","CY 2017","Currency=HKD","Period=CY","FUND_PER=Y","BEST_FPERIOD_OVERRIDE=1GY","FA_ADJUSTED=GAAP","Sort=A","Dates=H","DateFormat=P","Fill=—","Direction=H","UseDPDF=Y")</f>
        <v>#N/A Requesting Data...</v>
      </c>
      <c r="N12" s="12" t="str">
        <f>_xll.BDH("HSI Index","EV_TO_T12M_EBIT","CY 2018","CY 2018","Currency=HKD","Period=CY","FUND_PER=Y","BEST_FPERIOD_OVERRIDE=1GY","FA_ADJUSTED=GAAP","Sort=A","Dates=H","DateFormat=P","Fill=—","Direction=H","UseDPDF=Y")</f>
        <v>#N/A Review</v>
      </c>
      <c r="O12" s="12" t="str">
        <f>_xll.BDH("HSI Index","EV_TO_T12M_EBIT","CY 2019","CY 2019","Currency=HKD","Period=CY","FUND_PER=Y","BEST_FPERIOD_OVERRIDE=1GY","FA_ADJUSTED=GAAP","Sort=A","Dates=H","DateFormat=P","Fill=—","Direction=H","UseDPDF=Y")</f>
        <v>#N/A Requesting Data...</v>
      </c>
      <c r="P12" s="12" t="str">
        <f>_xll.BDH("HSI Index","EV_TO_T12M_EBIT","CY 2020","CY 2020","Currency=HKD","Period=CY","FUND_PER=Y","BEST_FPERIOD_OVERRIDE=1GY","FA_ADJUSTED=GAAP","Sort=A","Dates=H","DateFormat=P","Fill=—","Direction=H","UseDPDF=Y")</f>
        <v>#N/A Requesting Data...</v>
      </c>
      <c r="Q12" s="12" t="str">
        <f>_xll.BDH("HSI Index","EV_TO_T12M_EBIT","CY 2021","CY 2021","Currency=HKD","Period=CY","FUND_PER=Y","BEST_FPERIOD_OVERRIDE=1GY","FA_ADJUSTED=GAAP","Sort=A","Dates=H","DateFormat=P","Fill=—","Direction=H","UseDPDF=Y")</f>
        <v>#N/A Requesting Data...</v>
      </c>
      <c r="R12" s="12" t="str">
        <f>_xll.BDH("HSI Index","EV_TO_T12M_EBIT","CY 2022","CY 2022","Currency=HKD","Period=CY","FUND_PER=Y","BEST_FPERIOD_OVERRIDE=1GY","FA_ADJUSTED=GAAP","Sort=A","Dates=H","DateFormat=P","Fill=—","Direction=H","UseDPDF=Y")</f>
        <v>#N/A Review</v>
      </c>
      <c r="S12" s="14">
        <v>8.4149720000000006</v>
      </c>
      <c r="T12" s="12"/>
      <c r="U12" s="12"/>
      <c r="V12" s="12"/>
    </row>
    <row r="13" spans="1:22" x14ac:dyDescent="0.25">
      <c r="A13" s="10" t="s">
        <v>56</v>
      </c>
      <c r="B13" s="10" t="s">
        <v>57</v>
      </c>
      <c r="C13" s="12" t="str">
        <f>_xll.BDH("HSI Index","EV_TO_T12M_EBITDA","CY 2007","CY 2007","Currency=HKD","Period=CY","FUND_PER=Y","BEST_FPERIOD_OVERRIDE=1GY","FA_ADJUSTED=GAAP","Sort=A","Dates=H","DateFormat=P","Fill=—","Direction=H","UseDPDF=Y")</f>
        <v>#N/A Requesting Data...</v>
      </c>
      <c r="D13" s="12" t="str">
        <f>_xll.BDH("HSI Index","EV_TO_T12M_EBITDA","CY 2008","CY 2008","Currency=HKD","Period=CY","FUND_PER=Y","BEST_FPERIOD_OVERRIDE=1GY","FA_ADJUSTED=GAAP","Sort=A","Dates=H","DateFormat=P","Fill=—","Direction=H","UseDPDF=Y")</f>
        <v>#N/A Review</v>
      </c>
      <c r="E13" s="12" t="str">
        <f>_xll.BDH("HSI Index","EV_TO_T12M_EBITDA","CY 2009","CY 2009","Currency=HKD","Period=CY","FUND_PER=Y","BEST_FPERIOD_OVERRIDE=1GY","FA_ADJUSTED=GAAP","Sort=A","Dates=H","DateFormat=P","Fill=—","Direction=H","UseDPDF=Y")</f>
        <v>#N/A Review</v>
      </c>
      <c r="F13" s="12" t="str">
        <f>_xll.BDH("HSI Index","EV_TO_T12M_EBITDA","CY 2010","CY 2010","Currency=HKD","Period=CY","FUND_PER=Y","BEST_FPERIOD_OVERRIDE=1GY","FA_ADJUSTED=GAAP","Sort=A","Dates=H","DateFormat=P","Fill=—","Direction=H","UseDPDF=Y")</f>
        <v>#N/A Review</v>
      </c>
      <c r="G13" s="12" t="str">
        <f>_xll.BDH("HSI Index","EV_TO_T12M_EBITDA","CY 2011","CY 2011","Currency=HKD","Period=CY","FUND_PER=Y","BEST_FPERIOD_OVERRIDE=1GY","FA_ADJUSTED=GAAP","Sort=A","Dates=H","DateFormat=P","Fill=—","Direction=H","UseDPDF=Y")</f>
        <v>#N/A Requesting Data...</v>
      </c>
      <c r="H13" s="12" t="str">
        <f>_xll.BDH("HSI Index","EV_TO_T12M_EBITDA","CY 2012","CY 2012","Currency=HKD","Period=CY","FUND_PER=Y","BEST_FPERIOD_OVERRIDE=1GY","FA_ADJUSTED=GAAP","Sort=A","Dates=H","DateFormat=P","Fill=—","Direction=H","UseDPDF=Y")</f>
        <v>#N/A Requesting Data...</v>
      </c>
      <c r="I13" s="12" t="str">
        <f>_xll.BDH("HSI Index","EV_TO_T12M_EBITDA","CY 2013","CY 2013","Currency=HKD","Period=CY","FUND_PER=Y","BEST_FPERIOD_OVERRIDE=1GY","FA_ADJUSTED=GAAP","Sort=A","Dates=H","DateFormat=P","Fill=—","Direction=H","UseDPDF=Y")</f>
        <v>#N/A Requesting Data...</v>
      </c>
      <c r="J13" s="12" t="str">
        <f>_xll.BDH("HSI Index","EV_TO_T12M_EBITDA","CY 2014","CY 2014","Currency=HKD","Period=CY","FUND_PER=Y","BEST_FPERIOD_OVERRIDE=1GY","FA_ADJUSTED=GAAP","Sort=A","Dates=H","DateFormat=P","Fill=—","Direction=H","UseDPDF=Y")</f>
        <v>#N/A Requesting Data...</v>
      </c>
      <c r="K13" s="12" t="str">
        <f>_xll.BDH("HSI Index","EV_TO_T12M_EBITDA","CY 2015","CY 2015","Currency=HKD","Period=CY","FUND_PER=Y","BEST_FPERIOD_OVERRIDE=1GY","FA_ADJUSTED=GAAP","Sort=A","Dates=H","DateFormat=P","Fill=—","Direction=H","UseDPDF=Y")</f>
        <v>#N/A Requesting Data...</v>
      </c>
      <c r="L13" s="12" t="str">
        <f>_xll.BDH("HSI Index","EV_TO_T12M_EBITDA","CY 2016","CY 2016","Currency=HKD","Period=CY","FUND_PER=Y","BEST_FPERIOD_OVERRIDE=1GY","FA_ADJUSTED=GAAP","Sort=A","Dates=H","DateFormat=P","Fill=—","Direction=H","UseDPDF=Y")</f>
        <v>#N/A Requesting Data...</v>
      </c>
      <c r="M13" s="12" t="str">
        <f>_xll.BDH("HSI Index","EV_TO_T12M_EBITDA","CY 2017","CY 2017","Currency=HKD","Period=CY","FUND_PER=Y","BEST_FPERIOD_OVERRIDE=1GY","FA_ADJUSTED=GAAP","Sort=A","Dates=H","DateFormat=P","Fill=—","Direction=H","UseDPDF=Y")</f>
        <v>#N/A Review</v>
      </c>
      <c r="N13" s="12" t="str">
        <f>_xll.BDH("HSI Index","EV_TO_T12M_EBITDA","CY 2018","CY 2018","Currency=HKD","Period=CY","FUND_PER=Y","BEST_FPERIOD_OVERRIDE=1GY","FA_ADJUSTED=GAAP","Sort=A","Dates=H","DateFormat=P","Fill=—","Direction=H","UseDPDF=Y")</f>
        <v>#N/A Requesting Data...</v>
      </c>
      <c r="O13" s="12" t="str">
        <f>_xll.BDH("HSI Index","EV_TO_T12M_EBITDA","CY 2019","CY 2019","Currency=HKD","Period=CY","FUND_PER=Y","BEST_FPERIOD_OVERRIDE=1GY","FA_ADJUSTED=GAAP","Sort=A","Dates=H","DateFormat=P","Fill=—","Direction=H","UseDPDF=Y")</f>
        <v>#N/A Review</v>
      </c>
      <c r="P13" s="12" t="str">
        <f>_xll.BDH("HSI Index","EV_TO_T12M_EBITDA","CY 2020","CY 2020","Currency=HKD","Period=CY","FUND_PER=Y","BEST_FPERIOD_OVERRIDE=1GY","FA_ADJUSTED=GAAP","Sort=A","Dates=H","DateFormat=P","Fill=—","Direction=H","UseDPDF=Y")</f>
        <v>#N/A Requesting Data...</v>
      </c>
      <c r="Q13" s="12" t="str">
        <f>_xll.BDH("HSI Index","EV_TO_T12M_EBITDA","CY 2021","CY 2021","Currency=HKD","Period=CY","FUND_PER=Y","BEST_FPERIOD_OVERRIDE=1GY","FA_ADJUSTED=GAAP","Sort=A","Dates=H","DateFormat=P","Fill=—","Direction=H","UseDPDF=Y")</f>
        <v>#N/A Review</v>
      </c>
      <c r="R13" s="12" t="str">
        <f>_xll.BDH("HSI Index","EV_TO_T12M_EBITDA","CY 2022","CY 2022","Currency=HKD","Period=CY","FUND_PER=Y","BEST_FPERIOD_OVERRIDE=1GY","FA_ADJUSTED=GAAP","Sort=A","Dates=H","DateFormat=P","Fill=—","Direction=H","UseDPDF=Y")</f>
        <v>#N/A Review</v>
      </c>
      <c r="S13" s="14"/>
      <c r="T13" s="12"/>
      <c r="U13" s="12"/>
      <c r="V13" s="12"/>
    </row>
    <row r="14" spans="1:22" x14ac:dyDescent="0.25">
      <c r="A14" s="10" t="s">
        <v>58</v>
      </c>
      <c r="B14" s="10" t="s">
        <v>59</v>
      </c>
      <c r="C14" s="12" t="str">
        <f>_xll.BDH("HSI Index","EQY_DVD_YLD_12M","CY 2007","CY 2007","Currency=HKD","Period=CY","FUND_PER=Y","BEST_FPERIOD_OVERRIDE=1GY","Sort=A","Dates=H","DateFormat=P","Fill=—","Direction=H","UseDPDF=Y")</f>
        <v>#N/A Review</v>
      </c>
      <c r="D14" s="12" t="str">
        <f>_xll.BDH("HSI Index","EQY_DVD_YLD_12M","CY 2008","CY 2008","Currency=HKD","Period=CY","FUND_PER=Y","BEST_FPERIOD_OVERRIDE=1GY","Sort=A","Dates=H","DateFormat=P","Fill=—","Direction=H","UseDPDF=Y")</f>
        <v>#N/A Requesting Data...</v>
      </c>
      <c r="E14" s="12" t="str">
        <f>_xll.BDH("HSI Index","EQY_DVD_YLD_12M","CY 2009","CY 2009","Currency=HKD","Period=CY","FUND_PER=Y","BEST_FPERIOD_OVERRIDE=1GY","Sort=A","Dates=H","DateFormat=P","Fill=—","Direction=H","UseDPDF=Y")</f>
        <v>#N/A Review</v>
      </c>
      <c r="F14" s="12" t="str">
        <f>_xll.BDH("HSI Index","EQY_DVD_YLD_12M","CY 2010","CY 2010","Currency=HKD","Period=CY","FUND_PER=Y","BEST_FPERIOD_OVERRIDE=1GY","Sort=A","Dates=H","DateFormat=P","Fill=—","Direction=H","UseDPDF=Y")</f>
        <v>#N/A Requesting Data...</v>
      </c>
      <c r="G14" s="12" t="str">
        <f>_xll.BDH("HSI Index","EQY_DVD_YLD_12M","CY 2011","CY 2011","Currency=HKD","Period=CY","FUND_PER=Y","BEST_FPERIOD_OVERRIDE=1GY","Sort=A","Dates=H","DateFormat=P","Fill=—","Direction=H","UseDPDF=Y")</f>
        <v>#N/A Requesting Data...</v>
      </c>
      <c r="H14" s="12" t="str">
        <f>_xll.BDH("HSI Index","EQY_DVD_YLD_12M","CY 2012","CY 2012","Currency=HKD","Period=CY","FUND_PER=Y","BEST_FPERIOD_OVERRIDE=1GY","Sort=A","Dates=H","DateFormat=P","Fill=—","Direction=H","UseDPDF=Y")</f>
        <v>#N/A Requesting Data...</v>
      </c>
      <c r="I14" s="12" t="str">
        <f>_xll.BDH("HSI Index","EQY_DVD_YLD_12M","CY 2013","CY 2013","Currency=HKD","Period=CY","FUND_PER=Y","BEST_FPERIOD_OVERRIDE=1GY","Sort=A","Dates=H","DateFormat=P","Fill=—","Direction=H","UseDPDF=Y")</f>
        <v>#N/A Review</v>
      </c>
      <c r="J14" s="12" t="str">
        <f>_xll.BDH("HSI Index","EQY_DVD_YLD_12M","CY 2014","CY 2014","Currency=HKD","Period=CY","FUND_PER=Y","BEST_FPERIOD_OVERRIDE=1GY","Sort=A","Dates=H","DateFormat=P","Fill=—","Direction=H","UseDPDF=Y")</f>
        <v>#N/A Review</v>
      </c>
      <c r="K14" s="12" t="str">
        <f>_xll.BDH("HSI Index","EQY_DVD_YLD_12M","CY 2015","CY 2015","Currency=HKD","Period=CY","FUND_PER=Y","BEST_FPERIOD_OVERRIDE=1GY","Sort=A","Dates=H","DateFormat=P","Fill=—","Direction=H","UseDPDF=Y")</f>
        <v>#N/A Requesting Data...</v>
      </c>
      <c r="L14" s="12" t="str">
        <f>_xll.BDH("HSI Index","EQY_DVD_YLD_12M","CY 2016","CY 2016","Currency=HKD","Period=CY","FUND_PER=Y","BEST_FPERIOD_OVERRIDE=1GY","Sort=A","Dates=H","DateFormat=P","Fill=—","Direction=H","UseDPDF=Y")</f>
        <v>#N/A Review</v>
      </c>
      <c r="M14" s="12" t="str">
        <f>_xll.BDH("HSI Index","EQY_DVD_YLD_12M","CY 2017","CY 2017","Currency=HKD","Period=CY","FUND_PER=Y","BEST_FPERIOD_OVERRIDE=1GY","Sort=A","Dates=H","DateFormat=P","Fill=—","Direction=H","UseDPDF=Y")</f>
        <v>#N/A Review</v>
      </c>
      <c r="N14" s="12" t="str">
        <f>_xll.BDH("HSI Index","EQY_DVD_YLD_12M","CY 2018","CY 2018","Currency=HKD","Period=CY","FUND_PER=Y","BEST_FPERIOD_OVERRIDE=1GY","Sort=A","Dates=H","DateFormat=P","Fill=—","Direction=H","UseDPDF=Y")</f>
        <v>#N/A Review</v>
      </c>
      <c r="O14" s="12" t="str">
        <f>_xll.BDH("HSI Index","EQY_DVD_YLD_12M","CY 2019","CY 2019","Currency=HKD","Period=CY","FUND_PER=Y","BEST_FPERIOD_OVERRIDE=1GY","Sort=A","Dates=H","DateFormat=P","Fill=—","Direction=H","UseDPDF=Y")</f>
        <v>#N/A Requesting Data...</v>
      </c>
      <c r="P14" s="12" t="str">
        <f>_xll.BDH("HSI Index","EQY_DVD_YLD_12M","CY 2020","CY 2020","Currency=HKD","Period=CY","FUND_PER=Y","BEST_FPERIOD_OVERRIDE=1GY","Sort=A","Dates=H","DateFormat=P","Fill=—","Direction=H","UseDPDF=Y")</f>
        <v>#N/A Requesting Data...</v>
      </c>
      <c r="Q14" s="12" t="str">
        <f>_xll.BDH("HSI Index","EQY_DVD_YLD_12M","CY 2021","CY 2021","Currency=HKD","Period=CY","FUND_PER=Y","BEST_FPERIOD_OVERRIDE=1GY","Sort=A","Dates=H","DateFormat=P","Fill=—","Direction=H","UseDPDF=Y")</f>
        <v>#N/A Requesting Data...</v>
      </c>
      <c r="R14" s="12" t="str">
        <f>_xll.BDH("HSI Index","EQY_DVD_YLD_12M","CY 2022","CY 2022","Currency=HKD","Period=CY","FUND_PER=Y","BEST_FPERIOD_OVERRIDE=1GY","Sort=A","Dates=H","DateFormat=P","Fill=—","Direction=H","UseDPDF=Y")</f>
        <v>#N/A Review</v>
      </c>
      <c r="S14" s="14">
        <v>3.9881579999999999</v>
      </c>
      <c r="T14" s="12">
        <v>4.0707789138784696</v>
      </c>
      <c r="U14" s="12">
        <v>4.4774400529787899</v>
      </c>
      <c r="V14" s="12">
        <v>4.5744834407893498</v>
      </c>
    </row>
    <row r="15" spans="1:22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3"/>
      <c r="T15" s="11"/>
      <c r="U15" s="11"/>
      <c r="V15" s="11"/>
    </row>
    <row r="16" spans="1:22" x14ac:dyDescent="0.25">
      <c r="A16" s="6" t="s">
        <v>60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6"/>
      <c r="T16" s="15"/>
      <c r="U16" s="15"/>
      <c r="V16" s="15"/>
    </row>
    <row r="17" spans="1:22" x14ac:dyDescent="0.25">
      <c r="A17" s="10" t="s">
        <v>61</v>
      </c>
      <c r="B17" s="10" t="s">
        <v>62</v>
      </c>
      <c r="C17" s="12" t="str">
        <f>_xll.BDH("HSI Index","GROSS_MARGIN","CY 2007","CY 2007","Currency=HKD","Period=CY","FUND_PER=Y","BEST_FPERIOD_OVERRIDE=1GY","FA_ADJUSTED=GAAP","Sort=A","Dates=H","DateFormat=P","Fill=—","Direction=H","UseDPDF=Y")</f>
        <v>#N/A Requesting Data...</v>
      </c>
      <c r="D17" s="12" t="str">
        <f>_xll.BDH("HSI Index","GROSS_MARGIN","CY 2008","CY 2008","Currency=HKD","Period=CY","FUND_PER=Y","BEST_FPERIOD_OVERRIDE=1GY","FA_ADJUSTED=GAAP","Sort=A","Dates=H","DateFormat=P","Fill=—","Direction=H","UseDPDF=Y")</f>
        <v>#N/A Requesting Data...</v>
      </c>
      <c r="E17" s="12" t="str">
        <f>_xll.BDH("HSI Index","GROSS_MARGIN","CY 2009","CY 2009","Currency=HKD","Period=CY","FUND_PER=Y","BEST_FPERIOD_OVERRIDE=1GY","FA_ADJUSTED=GAAP","Sort=A","Dates=H","DateFormat=P","Fill=—","Direction=H","UseDPDF=Y")</f>
        <v>#N/A Requesting Data...</v>
      </c>
      <c r="F17" s="12" t="str">
        <f>_xll.BDH("HSI Index","GROSS_MARGIN","CY 2010","CY 2010","Currency=HKD","Period=CY","FUND_PER=Y","BEST_FPERIOD_OVERRIDE=1GY","FA_ADJUSTED=GAAP","Sort=A","Dates=H","DateFormat=P","Fill=—","Direction=H","UseDPDF=Y")</f>
        <v>#N/A Requesting Data...</v>
      </c>
      <c r="G17" s="12" t="str">
        <f>_xll.BDH("HSI Index","GROSS_MARGIN","CY 2011","CY 2011","Currency=HKD","Period=CY","FUND_PER=Y","BEST_FPERIOD_OVERRIDE=1GY","FA_ADJUSTED=GAAP","Sort=A","Dates=H","DateFormat=P","Fill=—","Direction=H","UseDPDF=Y")</f>
        <v>#N/A Review</v>
      </c>
      <c r="H17" s="12" t="str">
        <f>_xll.BDH("HSI Index","GROSS_MARGIN","CY 2012","CY 2012","Currency=HKD","Period=CY","FUND_PER=Y","BEST_FPERIOD_OVERRIDE=1GY","FA_ADJUSTED=GAAP","Sort=A","Dates=H","DateFormat=P","Fill=—","Direction=H","UseDPDF=Y")</f>
        <v>#N/A Review</v>
      </c>
      <c r="I17" s="12" t="str">
        <f>_xll.BDH("HSI Index","GROSS_MARGIN","CY 2013","CY 2013","Currency=HKD","Period=CY","FUND_PER=Y","BEST_FPERIOD_OVERRIDE=1GY","FA_ADJUSTED=GAAP","Sort=A","Dates=H","DateFormat=P","Fill=—","Direction=H","UseDPDF=Y")</f>
        <v>#N/A Review</v>
      </c>
      <c r="J17" s="12" t="str">
        <f>_xll.BDH("HSI Index","GROSS_MARGIN","CY 2014","CY 2014","Currency=HKD","Period=CY","FUND_PER=Y","BEST_FPERIOD_OVERRIDE=1GY","FA_ADJUSTED=GAAP","Sort=A","Dates=H","DateFormat=P","Fill=—","Direction=H","UseDPDF=Y")</f>
        <v>#N/A Review</v>
      </c>
      <c r="K17" s="12" t="str">
        <f>_xll.BDH("HSI Index","GROSS_MARGIN","CY 2015","CY 2015","Currency=HKD","Period=CY","FUND_PER=Y","BEST_FPERIOD_OVERRIDE=1GY","FA_ADJUSTED=GAAP","Sort=A","Dates=H","DateFormat=P","Fill=—","Direction=H","UseDPDF=Y")</f>
        <v>#N/A Review</v>
      </c>
      <c r="L17" s="12" t="str">
        <f>_xll.BDH("HSI Index","GROSS_MARGIN","CY 2016","CY 2016","Currency=HKD","Period=CY","FUND_PER=Y","BEST_FPERIOD_OVERRIDE=1GY","FA_ADJUSTED=GAAP","Sort=A","Dates=H","DateFormat=P","Fill=—","Direction=H","UseDPDF=Y")</f>
        <v>#N/A Requesting Data...</v>
      </c>
      <c r="M17" s="12" t="str">
        <f>_xll.BDH("HSI Index","GROSS_MARGIN","CY 2017","CY 2017","Currency=HKD","Period=CY","FUND_PER=Y","BEST_FPERIOD_OVERRIDE=1GY","FA_ADJUSTED=GAAP","Sort=A","Dates=H","DateFormat=P","Fill=—","Direction=H","UseDPDF=Y")</f>
        <v>#N/A Review</v>
      </c>
      <c r="N17" s="12" t="str">
        <f>_xll.BDH("HSI Index","GROSS_MARGIN","CY 2018","CY 2018","Currency=HKD","Period=CY","FUND_PER=Y","BEST_FPERIOD_OVERRIDE=1GY","FA_ADJUSTED=GAAP","Sort=A","Dates=H","DateFormat=P","Fill=—","Direction=H","UseDPDF=Y")</f>
        <v>#N/A Requesting Data...</v>
      </c>
      <c r="O17" s="12" t="str">
        <f>_xll.BDH("HSI Index","GROSS_MARGIN","CY 2019","CY 2019","Currency=HKD","Period=CY","FUND_PER=Y","BEST_FPERIOD_OVERRIDE=1GY","FA_ADJUSTED=GAAP","Sort=A","Dates=H","DateFormat=P","Fill=—","Direction=H","UseDPDF=Y")</f>
        <v>#N/A Requesting Data...</v>
      </c>
      <c r="P17" s="12" t="str">
        <f>_xll.BDH("HSI Index","GROSS_MARGIN","CY 2020","CY 2020","Currency=HKD","Period=CY","FUND_PER=Y","BEST_FPERIOD_OVERRIDE=1GY","FA_ADJUSTED=GAAP","Sort=A","Dates=H","DateFormat=P","Fill=—","Direction=H","UseDPDF=Y")</f>
        <v>#N/A Requesting Data...</v>
      </c>
      <c r="Q17" s="12" t="str">
        <f>_xll.BDH("HSI Index","GROSS_MARGIN","CY 2021","CY 2021","Currency=HKD","Period=CY","FUND_PER=Y","BEST_FPERIOD_OVERRIDE=1GY","FA_ADJUSTED=GAAP","Sort=A","Dates=H","DateFormat=P","Fill=—","Direction=H","UseDPDF=Y")</f>
        <v>#N/A Review</v>
      </c>
      <c r="R17" s="12" t="str">
        <f>_xll.BDH("HSI Index","GROSS_MARGIN","CY 2022","CY 2022","Currency=HKD","Period=CY","FUND_PER=Y","BEST_FPERIOD_OVERRIDE=1GY","FA_ADJUSTED=GAAP","Sort=A","Dates=H","DateFormat=P","Fill=—","Direction=H","UseDPDF=Y")</f>
        <v>#N/A Review</v>
      </c>
      <c r="S17" s="14"/>
      <c r="T17" s="12"/>
      <c r="U17" s="12"/>
      <c r="V17" s="12"/>
    </row>
    <row r="18" spans="1:22" x14ac:dyDescent="0.25">
      <c r="A18" s="10" t="s">
        <v>63</v>
      </c>
      <c r="B18" s="10" t="s">
        <v>64</v>
      </c>
      <c r="C18" s="12" t="str">
        <f>_xll.BDH("HSI Index","OPER_MARGIN","CY 2007","CY 2007","Currency=HKD","Period=CY","FUND_PER=Y","BEST_FPERIOD_OVERRIDE=1GY","FA_ADJUSTED=GAAP","Sort=A","Dates=H","DateFormat=P","Fill=—","Direction=H","UseDPDF=Y")</f>
        <v>#N/A Review</v>
      </c>
      <c r="D18" s="12" t="str">
        <f>_xll.BDH("HSI Index","OPER_MARGIN","CY 2008","CY 2008","Currency=HKD","Period=CY","FUND_PER=Y","BEST_FPERIOD_OVERRIDE=1GY","FA_ADJUSTED=GAAP","Sort=A","Dates=H","DateFormat=P","Fill=—","Direction=H","UseDPDF=Y")</f>
        <v>#N/A Review</v>
      </c>
      <c r="E18" s="12" t="str">
        <f>_xll.BDH("HSI Index","OPER_MARGIN","CY 2009","CY 2009","Currency=HKD","Period=CY","FUND_PER=Y","BEST_FPERIOD_OVERRIDE=1GY","FA_ADJUSTED=GAAP","Sort=A","Dates=H","DateFormat=P","Fill=—","Direction=H","UseDPDF=Y")</f>
        <v>#N/A Review</v>
      </c>
      <c r="F18" s="12" t="str">
        <f>_xll.BDH("HSI Index","OPER_MARGIN","CY 2010","CY 2010","Currency=HKD","Period=CY","FUND_PER=Y","BEST_FPERIOD_OVERRIDE=1GY","FA_ADJUSTED=GAAP","Sort=A","Dates=H","DateFormat=P","Fill=—","Direction=H","UseDPDF=Y")</f>
        <v>#N/A Review</v>
      </c>
      <c r="G18" s="12" t="str">
        <f>_xll.BDH("HSI Index","OPER_MARGIN","CY 2011","CY 2011","Currency=HKD","Period=CY","FUND_PER=Y","BEST_FPERIOD_OVERRIDE=1GY","FA_ADJUSTED=GAAP","Sort=A","Dates=H","DateFormat=P","Fill=—","Direction=H","UseDPDF=Y")</f>
        <v>#N/A Requesting Data...</v>
      </c>
      <c r="H18" s="12" t="str">
        <f>_xll.BDH("HSI Index","OPER_MARGIN","CY 2012","CY 2012","Currency=HKD","Period=CY","FUND_PER=Y","BEST_FPERIOD_OVERRIDE=1GY","FA_ADJUSTED=GAAP","Sort=A","Dates=H","DateFormat=P","Fill=—","Direction=H","UseDPDF=Y")</f>
        <v>#N/A Requesting Data...</v>
      </c>
      <c r="I18" s="12" t="str">
        <f>_xll.BDH("HSI Index","OPER_MARGIN","CY 2013","CY 2013","Currency=HKD","Period=CY","FUND_PER=Y","BEST_FPERIOD_OVERRIDE=1GY","FA_ADJUSTED=GAAP","Sort=A","Dates=H","DateFormat=P","Fill=—","Direction=H","UseDPDF=Y")</f>
        <v>#N/A Requesting Data...</v>
      </c>
      <c r="J18" s="12" t="str">
        <f>_xll.BDH("HSI Index","OPER_MARGIN","CY 2014","CY 2014","Currency=HKD","Period=CY","FUND_PER=Y","BEST_FPERIOD_OVERRIDE=1GY","FA_ADJUSTED=GAAP","Sort=A","Dates=H","DateFormat=P","Fill=—","Direction=H","UseDPDF=Y")</f>
        <v>#N/A Review</v>
      </c>
      <c r="K18" s="12" t="str">
        <f>_xll.BDH("HSI Index","OPER_MARGIN","CY 2015","CY 2015","Currency=HKD","Period=CY","FUND_PER=Y","BEST_FPERIOD_OVERRIDE=1GY","FA_ADJUSTED=GAAP","Sort=A","Dates=H","DateFormat=P","Fill=—","Direction=H","UseDPDF=Y")</f>
        <v>#N/A Requesting Data...</v>
      </c>
      <c r="L18" s="12" t="str">
        <f>_xll.BDH("HSI Index","OPER_MARGIN","CY 2016","CY 2016","Currency=HKD","Period=CY","FUND_PER=Y","BEST_FPERIOD_OVERRIDE=1GY","FA_ADJUSTED=GAAP","Sort=A","Dates=H","DateFormat=P","Fill=—","Direction=H","UseDPDF=Y")</f>
        <v>#N/A Requesting Data...</v>
      </c>
      <c r="M18" s="12" t="str">
        <f>_xll.BDH("HSI Index","OPER_MARGIN","CY 2017","CY 2017","Currency=HKD","Period=CY","FUND_PER=Y","BEST_FPERIOD_OVERRIDE=1GY","FA_ADJUSTED=GAAP","Sort=A","Dates=H","DateFormat=P","Fill=—","Direction=H","UseDPDF=Y")</f>
        <v>#N/A Requesting Data...</v>
      </c>
      <c r="N18" s="12" t="str">
        <f>_xll.BDH("HSI Index","OPER_MARGIN","CY 2018","CY 2018","Currency=HKD","Period=CY","FUND_PER=Y","BEST_FPERIOD_OVERRIDE=1GY","FA_ADJUSTED=GAAP","Sort=A","Dates=H","DateFormat=P","Fill=—","Direction=H","UseDPDF=Y")</f>
        <v>#N/A Requesting Data...</v>
      </c>
      <c r="O18" s="12" t="str">
        <f>_xll.BDH("HSI Index","OPER_MARGIN","CY 2019","CY 2019","Currency=HKD","Period=CY","FUND_PER=Y","BEST_FPERIOD_OVERRIDE=1GY","FA_ADJUSTED=GAAP","Sort=A","Dates=H","DateFormat=P","Fill=—","Direction=H","UseDPDF=Y")</f>
        <v>#N/A Requesting Data...</v>
      </c>
      <c r="P18" s="12" t="str">
        <f>_xll.BDH("HSI Index","OPER_MARGIN","CY 2020","CY 2020","Currency=HKD","Period=CY","FUND_PER=Y","BEST_FPERIOD_OVERRIDE=1GY","FA_ADJUSTED=GAAP","Sort=A","Dates=H","DateFormat=P","Fill=—","Direction=H","UseDPDF=Y")</f>
        <v>#N/A Review</v>
      </c>
      <c r="Q18" s="12" t="str">
        <f>_xll.BDH("HSI Index","OPER_MARGIN","CY 2021","CY 2021","Currency=HKD","Period=CY","FUND_PER=Y","BEST_FPERIOD_OVERRIDE=1GY","FA_ADJUSTED=GAAP","Sort=A","Dates=H","DateFormat=P","Fill=—","Direction=H","UseDPDF=Y")</f>
        <v>#N/A Review</v>
      </c>
      <c r="R18" s="12" t="str">
        <f>_xll.BDH("HSI Index","OPER_MARGIN","CY 2022","CY 2022","Currency=HKD","Period=CY","FUND_PER=Y","BEST_FPERIOD_OVERRIDE=1GY","FA_ADJUSTED=GAAP","Sort=A","Dates=H","DateFormat=P","Fill=—","Direction=H","UseDPDF=Y")</f>
        <v>#N/A Review</v>
      </c>
      <c r="S18" s="14">
        <v>14.75422</v>
      </c>
      <c r="T18" s="12">
        <v>17.332521538297101</v>
      </c>
      <c r="U18" s="12">
        <v>17.637182188577</v>
      </c>
      <c r="V18" s="12">
        <v>17.4478270152234</v>
      </c>
    </row>
    <row r="19" spans="1:22" x14ac:dyDescent="0.25">
      <c r="A19" s="10" t="s">
        <v>65</v>
      </c>
      <c r="B19" s="10" t="s">
        <v>66</v>
      </c>
      <c r="C19" s="12" t="str">
        <f>_xll.BDH("HSI Index","TRAIL_12M_PROF_MARGIN","CY 2007","CY 2007","Currency=HKD","Period=CY","FUND_PER=Y","BEST_FPERIOD_OVERRIDE=1GY","FA_ADJUSTED=GAAP","Sort=A","Dates=H","DateFormat=P","Fill=—","Direction=H","UseDPDF=Y")</f>
        <v>#N/A Requesting Data...</v>
      </c>
      <c r="D19" s="12" t="str">
        <f>_xll.BDH("HSI Index","TRAIL_12M_PROF_MARGIN","CY 2008","CY 2008","Currency=HKD","Period=CY","FUND_PER=Y","BEST_FPERIOD_OVERRIDE=1GY","FA_ADJUSTED=GAAP","Sort=A","Dates=H","DateFormat=P","Fill=—","Direction=H","UseDPDF=Y")</f>
        <v>#N/A Requesting Data...</v>
      </c>
      <c r="E19" s="12" t="str">
        <f>_xll.BDH("HSI Index","TRAIL_12M_PROF_MARGIN","CY 2009","CY 2009","Currency=HKD","Period=CY","FUND_PER=Y","BEST_FPERIOD_OVERRIDE=1GY","FA_ADJUSTED=GAAP","Sort=A","Dates=H","DateFormat=P","Fill=—","Direction=H","UseDPDF=Y")</f>
        <v>#N/A Review</v>
      </c>
      <c r="F19" s="12" t="str">
        <f>_xll.BDH("HSI Index","TRAIL_12M_PROF_MARGIN","CY 2010","CY 2010","Currency=HKD","Period=CY","FUND_PER=Y","BEST_FPERIOD_OVERRIDE=1GY","FA_ADJUSTED=GAAP","Sort=A","Dates=H","DateFormat=P","Fill=—","Direction=H","UseDPDF=Y")</f>
        <v>#N/A Requesting Data...</v>
      </c>
      <c r="G19" s="12" t="str">
        <f>_xll.BDH("HSI Index","TRAIL_12M_PROF_MARGIN","CY 2011","CY 2011","Currency=HKD","Period=CY","FUND_PER=Y","BEST_FPERIOD_OVERRIDE=1GY","FA_ADJUSTED=GAAP","Sort=A","Dates=H","DateFormat=P","Fill=—","Direction=H","UseDPDF=Y")</f>
        <v>#N/A Requesting Data...</v>
      </c>
      <c r="H19" s="12" t="str">
        <f>_xll.BDH("HSI Index","TRAIL_12M_PROF_MARGIN","CY 2012","CY 2012","Currency=HKD","Period=CY","FUND_PER=Y","BEST_FPERIOD_OVERRIDE=1GY","FA_ADJUSTED=GAAP","Sort=A","Dates=H","DateFormat=P","Fill=—","Direction=H","UseDPDF=Y")</f>
        <v>#N/A Requesting Data...</v>
      </c>
      <c r="I19" s="12" t="str">
        <f>_xll.BDH("HSI Index","TRAIL_12M_PROF_MARGIN","CY 2013","CY 2013","Currency=HKD","Period=CY","FUND_PER=Y","BEST_FPERIOD_OVERRIDE=1GY","FA_ADJUSTED=GAAP","Sort=A","Dates=H","DateFormat=P","Fill=—","Direction=H","UseDPDF=Y")</f>
        <v>#N/A Review</v>
      </c>
      <c r="J19" s="12" t="str">
        <f>_xll.BDH("HSI Index","TRAIL_12M_PROF_MARGIN","CY 2014","CY 2014","Currency=HKD","Period=CY","FUND_PER=Y","BEST_FPERIOD_OVERRIDE=1GY","FA_ADJUSTED=GAAP","Sort=A","Dates=H","DateFormat=P","Fill=—","Direction=H","UseDPDF=Y")</f>
        <v>#N/A Review</v>
      </c>
      <c r="K19" s="12" t="str">
        <f>_xll.BDH("HSI Index","TRAIL_12M_PROF_MARGIN","CY 2015","CY 2015","Currency=HKD","Period=CY","FUND_PER=Y","BEST_FPERIOD_OVERRIDE=1GY","FA_ADJUSTED=GAAP","Sort=A","Dates=H","DateFormat=P","Fill=—","Direction=H","UseDPDF=Y")</f>
        <v>#N/A Review</v>
      </c>
      <c r="L19" s="12" t="str">
        <f>_xll.BDH("HSI Index","TRAIL_12M_PROF_MARGIN","CY 2016","CY 2016","Currency=HKD","Period=CY","FUND_PER=Y","BEST_FPERIOD_OVERRIDE=1GY","FA_ADJUSTED=GAAP","Sort=A","Dates=H","DateFormat=P","Fill=—","Direction=H","UseDPDF=Y")</f>
        <v>#N/A Review</v>
      </c>
      <c r="M19" s="12" t="str">
        <f>_xll.BDH("HSI Index","TRAIL_12M_PROF_MARGIN","CY 2017","CY 2017","Currency=HKD","Period=CY","FUND_PER=Y","BEST_FPERIOD_OVERRIDE=1GY","FA_ADJUSTED=GAAP","Sort=A","Dates=H","DateFormat=P","Fill=—","Direction=H","UseDPDF=Y")</f>
        <v>#N/A Review</v>
      </c>
      <c r="N19" s="12" t="str">
        <f>_xll.BDH("HSI Index","TRAIL_12M_PROF_MARGIN","CY 2018","CY 2018","Currency=HKD","Period=CY","FUND_PER=Y","BEST_FPERIOD_OVERRIDE=1GY","FA_ADJUSTED=GAAP","Sort=A","Dates=H","DateFormat=P","Fill=—","Direction=H","UseDPDF=Y")</f>
        <v>#N/A Review</v>
      </c>
      <c r="O19" s="12" t="str">
        <f>_xll.BDH("HSI Index","TRAIL_12M_PROF_MARGIN","CY 2019","CY 2019","Currency=HKD","Period=CY","FUND_PER=Y","BEST_FPERIOD_OVERRIDE=1GY","FA_ADJUSTED=GAAP","Sort=A","Dates=H","DateFormat=P","Fill=—","Direction=H","UseDPDF=Y")</f>
        <v>#N/A Review</v>
      </c>
      <c r="P19" s="12" t="str">
        <f>_xll.BDH("HSI Index","TRAIL_12M_PROF_MARGIN","CY 2020","CY 2020","Currency=HKD","Period=CY","FUND_PER=Y","BEST_FPERIOD_OVERRIDE=1GY","FA_ADJUSTED=GAAP","Sort=A","Dates=H","DateFormat=P","Fill=—","Direction=H","UseDPDF=Y")</f>
        <v>#N/A Requesting Data...</v>
      </c>
      <c r="Q19" s="12" t="str">
        <f>_xll.BDH("HSI Index","TRAIL_12M_PROF_MARGIN","CY 2021","CY 2021","Currency=HKD","Period=CY","FUND_PER=Y","BEST_FPERIOD_OVERRIDE=1GY","FA_ADJUSTED=GAAP","Sort=A","Dates=H","DateFormat=P","Fill=—","Direction=H","UseDPDF=Y")</f>
        <v>#N/A Requesting Data...</v>
      </c>
      <c r="R19" s="12" t="str">
        <f>_xll.BDH("HSI Index","TRAIL_12M_PROF_MARGIN","CY 2022","CY 2022","Currency=HKD","Period=CY","FUND_PER=Y","BEST_FPERIOD_OVERRIDE=1GY","FA_ADJUSTED=GAAP","Sort=A","Dates=H","DateFormat=P","Fill=—","Direction=H","UseDPDF=Y")</f>
        <v>#N/A Requesting Data...</v>
      </c>
      <c r="S19" s="14">
        <v>13.52036</v>
      </c>
      <c r="T19" s="12">
        <v>13.6793572258679</v>
      </c>
      <c r="U19" s="12">
        <v>13.800705845211899</v>
      </c>
      <c r="V19" s="12">
        <v>13.974965441118499</v>
      </c>
    </row>
    <row r="20" spans="1:22" x14ac:dyDescent="0.25">
      <c r="A20" s="10" t="s">
        <v>67</v>
      </c>
      <c r="B20" s="10" t="s">
        <v>68</v>
      </c>
      <c r="C20" s="12" t="str">
        <f>_xll.BDH("HSI Index","RETURN_ON_ASSET","CY 2007","CY 2007","Currency=HKD","Period=CY","FUND_PER=Y","BEST_FPERIOD_OVERRIDE=1GY","FA_ADJUSTED=GAAP","Sort=A","Dates=H","DateFormat=P","Fill=—","Direction=H","UseDPDF=Y")</f>
        <v>#N/A Requesting Data...</v>
      </c>
      <c r="D20" s="12" t="str">
        <f>_xll.BDH("HSI Index","RETURN_ON_ASSET","CY 2008","CY 2008","Currency=HKD","Period=CY","FUND_PER=Y","BEST_FPERIOD_OVERRIDE=1GY","FA_ADJUSTED=GAAP","Sort=A","Dates=H","DateFormat=P","Fill=—","Direction=H","UseDPDF=Y")</f>
        <v>#N/A Requesting Data...</v>
      </c>
      <c r="E20" s="12" t="str">
        <f>_xll.BDH("HSI Index","RETURN_ON_ASSET","CY 2009","CY 2009","Currency=HKD","Period=CY","FUND_PER=Y","BEST_FPERIOD_OVERRIDE=1GY","FA_ADJUSTED=GAAP","Sort=A","Dates=H","DateFormat=P","Fill=—","Direction=H","UseDPDF=Y")</f>
        <v>#N/A Requesting Data...</v>
      </c>
      <c r="F20" s="12" t="str">
        <f>_xll.BDH("HSI Index","RETURN_ON_ASSET","CY 2010","CY 2010","Currency=HKD","Period=CY","FUND_PER=Y","BEST_FPERIOD_OVERRIDE=1GY","FA_ADJUSTED=GAAP","Sort=A","Dates=H","DateFormat=P","Fill=—","Direction=H","UseDPDF=Y")</f>
        <v>#N/A Requesting Data...</v>
      </c>
      <c r="G20" s="12" t="str">
        <f>_xll.BDH("HSI Index","RETURN_ON_ASSET","CY 2011","CY 2011","Currency=HKD","Period=CY","FUND_PER=Y","BEST_FPERIOD_OVERRIDE=1GY","FA_ADJUSTED=GAAP","Sort=A","Dates=H","DateFormat=P","Fill=—","Direction=H","UseDPDF=Y")</f>
        <v>#N/A Requesting Data...</v>
      </c>
      <c r="H20" s="12" t="str">
        <f>_xll.BDH("HSI Index","RETURN_ON_ASSET","CY 2012","CY 2012","Currency=HKD","Period=CY","FUND_PER=Y","BEST_FPERIOD_OVERRIDE=1GY","FA_ADJUSTED=GAAP","Sort=A","Dates=H","DateFormat=P","Fill=—","Direction=H","UseDPDF=Y")</f>
        <v>#N/A Review</v>
      </c>
      <c r="I20" s="12" t="str">
        <f>_xll.BDH("HSI Index","RETURN_ON_ASSET","CY 2013","CY 2013","Currency=HKD","Period=CY","FUND_PER=Y","BEST_FPERIOD_OVERRIDE=1GY","FA_ADJUSTED=GAAP","Sort=A","Dates=H","DateFormat=P","Fill=—","Direction=H","UseDPDF=Y")</f>
        <v>#N/A Review</v>
      </c>
      <c r="J20" s="12" t="str">
        <f>_xll.BDH("HSI Index","RETURN_ON_ASSET","CY 2014","CY 2014","Currency=HKD","Period=CY","FUND_PER=Y","BEST_FPERIOD_OVERRIDE=1GY","FA_ADJUSTED=GAAP","Sort=A","Dates=H","DateFormat=P","Fill=—","Direction=H","UseDPDF=Y")</f>
        <v>#N/A Review</v>
      </c>
      <c r="K20" s="12" t="str">
        <f>_xll.BDH("HSI Index","RETURN_ON_ASSET","CY 2015","CY 2015","Currency=HKD","Period=CY","FUND_PER=Y","BEST_FPERIOD_OVERRIDE=1GY","FA_ADJUSTED=GAAP","Sort=A","Dates=H","DateFormat=P","Fill=—","Direction=H","UseDPDF=Y")</f>
        <v>#N/A Requesting Data...</v>
      </c>
      <c r="L20" s="12" t="str">
        <f>_xll.BDH("HSI Index","RETURN_ON_ASSET","CY 2016","CY 2016","Currency=HKD","Period=CY","FUND_PER=Y","BEST_FPERIOD_OVERRIDE=1GY","FA_ADJUSTED=GAAP","Sort=A","Dates=H","DateFormat=P","Fill=—","Direction=H","UseDPDF=Y")</f>
        <v>#N/A Requesting Data...</v>
      </c>
      <c r="M20" s="12" t="str">
        <f>_xll.BDH("HSI Index","RETURN_ON_ASSET","CY 2017","CY 2017","Currency=HKD","Period=CY","FUND_PER=Y","BEST_FPERIOD_OVERRIDE=1GY","FA_ADJUSTED=GAAP","Sort=A","Dates=H","DateFormat=P","Fill=—","Direction=H","UseDPDF=Y")</f>
        <v>#N/A Requesting Data...</v>
      </c>
      <c r="N20" s="12" t="str">
        <f>_xll.BDH("HSI Index","RETURN_ON_ASSET","CY 2018","CY 2018","Currency=HKD","Period=CY","FUND_PER=Y","BEST_FPERIOD_OVERRIDE=1GY","FA_ADJUSTED=GAAP","Sort=A","Dates=H","DateFormat=P","Fill=—","Direction=H","UseDPDF=Y")</f>
        <v>#N/A Review</v>
      </c>
      <c r="O20" s="12" t="str">
        <f>_xll.BDH("HSI Index","RETURN_ON_ASSET","CY 2019","CY 2019","Currency=HKD","Period=CY","FUND_PER=Y","BEST_FPERIOD_OVERRIDE=1GY","FA_ADJUSTED=GAAP","Sort=A","Dates=H","DateFormat=P","Fill=—","Direction=H","UseDPDF=Y")</f>
        <v>#N/A Requesting Data...</v>
      </c>
      <c r="P20" s="12" t="str">
        <f>_xll.BDH("HSI Index","RETURN_ON_ASSET","CY 2020","CY 2020","Currency=HKD","Period=CY","FUND_PER=Y","BEST_FPERIOD_OVERRIDE=1GY","FA_ADJUSTED=GAAP","Sort=A","Dates=H","DateFormat=P","Fill=—","Direction=H","UseDPDF=Y")</f>
        <v>#N/A Requesting Data...</v>
      </c>
      <c r="Q20" s="12" t="str">
        <f>_xll.BDH("HSI Index","RETURN_ON_ASSET","CY 2021","CY 2021","Currency=HKD","Period=CY","FUND_PER=Y","BEST_FPERIOD_OVERRIDE=1GY","FA_ADJUSTED=GAAP","Sort=A","Dates=H","DateFormat=P","Fill=—","Direction=H","UseDPDF=Y")</f>
        <v>#N/A Review</v>
      </c>
      <c r="R20" s="12" t="str">
        <f>_xll.BDH("HSI Index","RETURN_ON_ASSET","CY 2022","CY 2022","Currency=HKD","Period=CY","FUND_PER=Y","BEST_FPERIOD_OVERRIDE=1GY","FA_ADJUSTED=GAAP","Sort=A","Dates=H","DateFormat=P","Fill=—","Direction=H","UseDPDF=Y")</f>
        <v>#N/A Review</v>
      </c>
      <c r="S20" s="14">
        <v>1.286384</v>
      </c>
      <c r="T20" s="12">
        <v>0.95410099999999998</v>
      </c>
      <c r="U20" s="12">
        <v>0.92177500000000001</v>
      </c>
      <c r="V20" s="12">
        <v>0.88787799999999995</v>
      </c>
    </row>
    <row r="21" spans="1:22" x14ac:dyDescent="0.25">
      <c r="A21" s="10" t="s">
        <v>69</v>
      </c>
      <c r="B21" s="10" t="s">
        <v>70</v>
      </c>
      <c r="C21" s="12" t="str">
        <f>_xll.BDH("HSI Index","RETURN_COM_EQY","CY 2007","CY 2007","Currency=HKD","Period=CY","FUND_PER=Y","BEST_FPERIOD_OVERRIDE=1GY","FA_ADJUSTED=GAAP","Sort=A","Dates=H","DateFormat=P","Fill=—","Direction=H","UseDPDF=Y")</f>
        <v>#N/A Requesting Data...</v>
      </c>
      <c r="D21" s="12" t="str">
        <f>_xll.BDH("HSI Index","RETURN_COM_EQY","CY 2008","CY 2008","Currency=HKD","Period=CY","FUND_PER=Y","BEST_FPERIOD_OVERRIDE=1GY","FA_ADJUSTED=GAAP","Sort=A","Dates=H","DateFormat=P","Fill=—","Direction=H","UseDPDF=Y")</f>
        <v>#N/A Review</v>
      </c>
      <c r="E21" s="12" t="str">
        <f>_xll.BDH("HSI Index","RETURN_COM_EQY","CY 2009","CY 2009","Currency=HKD","Period=CY","FUND_PER=Y","BEST_FPERIOD_OVERRIDE=1GY","FA_ADJUSTED=GAAP","Sort=A","Dates=H","DateFormat=P","Fill=—","Direction=H","UseDPDF=Y")</f>
        <v>#N/A Review</v>
      </c>
      <c r="F21" s="12" t="str">
        <f>_xll.BDH("HSI Index","RETURN_COM_EQY","CY 2010","CY 2010","Currency=HKD","Period=CY","FUND_PER=Y","BEST_FPERIOD_OVERRIDE=1GY","FA_ADJUSTED=GAAP","Sort=A","Dates=H","DateFormat=P","Fill=—","Direction=H","UseDPDF=Y")</f>
        <v>#N/A Review</v>
      </c>
      <c r="G21" s="12" t="str">
        <f>_xll.BDH("HSI Index","RETURN_COM_EQY","CY 2011","CY 2011","Currency=HKD","Period=CY","FUND_PER=Y","BEST_FPERIOD_OVERRIDE=1GY","FA_ADJUSTED=GAAP","Sort=A","Dates=H","DateFormat=P","Fill=—","Direction=H","UseDPDF=Y")</f>
        <v>#N/A Requesting Data...</v>
      </c>
      <c r="H21" s="12" t="str">
        <f>_xll.BDH("HSI Index","RETURN_COM_EQY","CY 2012","CY 2012","Currency=HKD","Period=CY","FUND_PER=Y","BEST_FPERIOD_OVERRIDE=1GY","FA_ADJUSTED=GAAP","Sort=A","Dates=H","DateFormat=P","Fill=—","Direction=H","UseDPDF=Y")</f>
        <v>#N/A Requesting Data...</v>
      </c>
      <c r="I21" s="12" t="str">
        <f>_xll.BDH("HSI Index","RETURN_COM_EQY","CY 2013","CY 2013","Currency=HKD","Period=CY","FUND_PER=Y","BEST_FPERIOD_OVERRIDE=1GY","FA_ADJUSTED=GAAP","Sort=A","Dates=H","DateFormat=P","Fill=—","Direction=H","UseDPDF=Y")</f>
        <v>#N/A Review</v>
      </c>
      <c r="J21" s="12" t="str">
        <f>_xll.BDH("HSI Index","RETURN_COM_EQY","CY 2014","CY 2014","Currency=HKD","Period=CY","FUND_PER=Y","BEST_FPERIOD_OVERRIDE=1GY","FA_ADJUSTED=GAAP","Sort=A","Dates=H","DateFormat=P","Fill=—","Direction=H","UseDPDF=Y")</f>
        <v>#N/A Requesting Data...</v>
      </c>
      <c r="K21" s="12" t="str">
        <f>_xll.BDH("HSI Index","RETURN_COM_EQY","CY 2015","CY 2015","Currency=HKD","Period=CY","FUND_PER=Y","BEST_FPERIOD_OVERRIDE=1GY","FA_ADJUSTED=GAAP","Sort=A","Dates=H","DateFormat=P","Fill=—","Direction=H","UseDPDF=Y")</f>
        <v>#N/A Requesting Data...</v>
      </c>
      <c r="L21" s="12" t="str">
        <f>_xll.BDH("HSI Index","RETURN_COM_EQY","CY 2016","CY 2016","Currency=HKD","Period=CY","FUND_PER=Y","BEST_FPERIOD_OVERRIDE=1GY","FA_ADJUSTED=GAAP","Sort=A","Dates=H","DateFormat=P","Fill=—","Direction=H","UseDPDF=Y")</f>
        <v>#N/A Requesting Data...</v>
      </c>
      <c r="M21" s="12" t="str">
        <f>_xll.BDH("HSI Index","RETURN_COM_EQY","CY 2017","CY 2017","Currency=HKD","Period=CY","FUND_PER=Y","BEST_FPERIOD_OVERRIDE=1GY","FA_ADJUSTED=GAAP","Sort=A","Dates=H","DateFormat=P","Fill=—","Direction=H","UseDPDF=Y")</f>
        <v>#N/A Requesting Data...</v>
      </c>
      <c r="N21" s="12" t="str">
        <f>_xll.BDH("HSI Index","RETURN_COM_EQY","CY 2018","CY 2018","Currency=HKD","Period=CY","FUND_PER=Y","BEST_FPERIOD_OVERRIDE=1GY","FA_ADJUSTED=GAAP","Sort=A","Dates=H","DateFormat=P","Fill=—","Direction=H","UseDPDF=Y")</f>
        <v>#N/A Requesting Data...</v>
      </c>
      <c r="O21" s="12" t="str">
        <f>_xll.BDH("HSI Index","RETURN_COM_EQY","CY 2019","CY 2019","Currency=HKD","Period=CY","FUND_PER=Y","BEST_FPERIOD_OVERRIDE=1GY","FA_ADJUSTED=GAAP","Sort=A","Dates=H","DateFormat=P","Fill=—","Direction=H","UseDPDF=Y")</f>
        <v>#N/A Review</v>
      </c>
      <c r="P21" s="12" t="str">
        <f>_xll.BDH("HSI Index","RETURN_COM_EQY","CY 2020","CY 2020","Currency=HKD","Period=CY","FUND_PER=Y","BEST_FPERIOD_OVERRIDE=1GY","FA_ADJUSTED=GAAP","Sort=A","Dates=H","DateFormat=P","Fill=—","Direction=H","UseDPDF=Y")</f>
        <v>#N/A Review</v>
      </c>
      <c r="Q21" s="12" t="str">
        <f>_xll.BDH("HSI Index","RETURN_COM_EQY","CY 2021","CY 2021","Currency=HKD","Period=CY","FUND_PER=Y","BEST_FPERIOD_OVERRIDE=1GY","FA_ADJUSTED=GAAP","Sort=A","Dates=H","DateFormat=P","Fill=—","Direction=H","UseDPDF=Y")</f>
        <v>#N/A Review</v>
      </c>
      <c r="R21" s="12" t="str">
        <f>_xll.BDH("HSI Index","RETURN_COM_EQY","CY 2022","CY 2022","Currency=HKD","Period=CY","FUND_PER=Y","BEST_FPERIOD_OVERRIDE=1GY","FA_ADJUSTED=GAAP","Sort=A","Dates=H","DateFormat=P","Fill=—","Direction=H","UseDPDF=Y")</f>
        <v>#N/A Review</v>
      </c>
      <c r="S21" s="14">
        <v>9.7211269999999992</v>
      </c>
      <c r="T21" s="12">
        <v>10.7034692094407</v>
      </c>
      <c r="U21" s="12">
        <v>10.987971837573101</v>
      </c>
      <c r="V21" s="12">
        <v>10.944264283332499</v>
      </c>
    </row>
    <row r="22" spans="1:22" x14ac:dyDescent="0.25">
      <c r="A22" s="7" t="s">
        <v>71</v>
      </c>
      <c r="B22" s="7"/>
      <c r="C22" s="7" t="s">
        <v>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Highlights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1155141814</cp:lastModifiedBy>
  <dcterms:created xsi:type="dcterms:W3CDTF">2013-04-03T15:49:21Z</dcterms:created>
  <dcterms:modified xsi:type="dcterms:W3CDTF">2023-11-25T07:34:59Z</dcterms:modified>
</cp:coreProperties>
</file>